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l\Documents\DoH\Unit\Threshold update\Summary\"/>
    </mc:Choice>
  </mc:AlternateContent>
  <bookViews>
    <workbookView xWindow="0" yWindow="0" windowWidth="12288" windowHeight="5160" tabRatio="778"/>
  </bookViews>
  <sheets>
    <sheet name="Costs April 2026" sheetId="11" r:id="rId1"/>
    <sheet name="Costs to other nations" sheetId="1" r:id="rId2"/>
    <sheet name="Figure 1 NHS costs" sheetId="8" r:id="rId3"/>
    <sheet name="Figure 2 Excess deaths NHS" sheetId="7" r:id="rId4"/>
    <sheet name="Data figures and table" sheetId="6" r:id="rId5"/>
    <sheet name="Excess deaths over time NHS" sheetId="12" r:id="rId6"/>
    <sheet name="Excess deaths over time UK" sheetId="5" r:id="rId7"/>
    <sheet name="What is 1bn" sheetId="3"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1" l="1"/>
  <c r="B10" i="1"/>
  <c r="B16" i="1"/>
  <c r="D10" i="3" l="1"/>
  <c r="C10" i="3"/>
  <c r="B10" i="3"/>
  <c r="B9" i="3"/>
  <c r="B4" i="3"/>
  <c r="B3" i="3"/>
  <c r="B5" i="3"/>
  <c r="B6" i="3" s="1"/>
  <c r="B25" i="11"/>
  <c r="B26" i="11"/>
  <c r="B27" i="11" l="1"/>
  <c r="B28" i="11" l="1"/>
  <c r="E29" i="6"/>
  <c r="E28" i="6"/>
  <c r="E27" i="6"/>
  <c r="E26" i="6"/>
  <c r="E25" i="6"/>
  <c r="E24" i="6"/>
  <c r="E23" i="6"/>
  <c r="E22" i="6"/>
  <c r="E21" i="6"/>
  <c r="E20" i="6"/>
  <c r="E19" i="6"/>
  <c r="G41" i="12"/>
  <c r="G40" i="12"/>
  <c r="G39" i="12"/>
  <c r="G38" i="12"/>
  <c r="G37" i="12"/>
  <c r="G36" i="12"/>
  <c r="G35" i="12"/>
  <c r="G34" i="12"/>
  <c r="G33" i="12"/>
  <c r="G32" i="12"/>
  <c r="G31" i="12"/>
  <c r="G30" i="12"/>
  <c r="G29" i="12"/>
  <c r="G28" i="12"/>
  <c r="G27" i="12"/>
  <c r="G26" i="12"/>
  <c r="G25" i="12"/>
  <c r="G24" i="12"/>
  <c r="G23" i="12"/>
  <c r="G22" i="12"/>
  <c r="G21" i="12"/>
  <c r="G20" i="12"/>
  <c r="B20" i="12"/>
  <c r="B21" i="12" s="1"/>
  <c r="B3" i="12"/>
  <c r="B7" i="12" s="1"/>
  <c r="F16" i="11"/>
  <c r="F15" i="11"/>
  <c r="F14" i="11"/>
  <c r="F13" i="11"/>
  <c r="F12" i="11"/>
  <c r="F11" i="11"/>
  <c r="F10" i="11"/>
  <c r="F9" i="11"/>
  <c r="F8" i="11"/>
  <c r="F7" i="11"/>
  <c r="F6" i="11"/>
  <c r="B9" i="11"/>
  <c r="F31" i="11"/>
  <c r="F30" i="11"/>
  <c r="F29" i="11"/>
  <c r="F28" i="11"/>
  <c r="F27" i="11"/>
  <c r="F26" i="11"/>
  <c r="F25" i="11"/>
  <c r="F24" i="11"/>
  <c r="F23" i="11"/>
  <c r="F22" i="11"/>
  <c r="F21" i="11"/>
  <c r="G25" i="11" l="1"/>
  <c r="G10" i="11"/>
  <c r="G23" i="11"/>
  <c r="G21" i="11" s="1"/>
  <c r="H21" i="11" s="1"/>
  <c r="G31" i="11"/>
  <c r="G26" i="11" s="1"/>
  <c r="I26" i="11" s="1"/>
  <c r="K26" i="11" s="1"/>
  <c r="M26" i="11" s="1"/>
  <c r="G8" i="11"/>
  <c r="G6" i="11" s="1"/>
  <c r="G16" i="11"/>
  <c r="F7" i="5"/>
  <c r="J7" i="5" s="1"/>
  <c r="I8" i="11"/>
  <c r="I25" i="11"/>
  <c r="K25" i="11" s="1"/>
  <c r="M25" i="11" s="1"/>
  <c r="G9" i="11" l="1"/>
  <c r="I10" i="11"/>
  <c r="K10" i="11" s="1"/>
  <c r="M10" i="11" s="1"/>
  <c r="F9" i="5"/>
  <c r="I9" i="5" s="1"/>
  <c r="G11" i="11"/>
  <c r="I11" i="11" s="1"/>
  <c r="F10" i="12" s="1"/>
  <c r="I23" i="11"/>
  <c r="K23" i="11" s="1"/>
  <c r="M23" i="11" s="1"/>
  <c r="F9" i="12"/>
  <c r="H9" i="12" s="1"/>
  <c r="F7" i="12"/>
  <c r="J7" i="12" s="1"/>
  <c r="K8" i="11"/>
  <c r="M8" i="11" s="1"/>
  <c r="F5" i="5"/>
  <c r="J5" i="5" s="1"/>
  <c r="H6" i="11"/>
  <c r="I31" i="11"/>
  <c r="K31" i="11" s="1"/>
  <c r="M31" i="11" s="1"/>
  <c r="G24" i="11"/>
  <c r="I24" i="11" s="1"/>
  <c r="K24" i="11" s="1"/>
  <c r="M24" i="11" s="1"/>
  <c r="G27" i="11"/>
  <c r="I27" i="11" s="1"/>
  <c r="K27" i="11" s="1"/>
  <c r="M27" i="11" s="1"/>
  <c r="G22" i="11"/>
  <c r="I22" i="11" s="1"/>
  <c r="K22" i="11" s="1"/>
  <c r="M22" i="11" s="1"/>
  <c r="I21" i="11"/>
  <c r="I16" i="11"/>
  <c r="H7" i="5"/>
  <c r="F15" i="5"/>
  <c r="B9" i="6"/>
  <c r="I7" i="5"/>
  <c r="I9" i="11"/>
  <c r="F8" i="5"/>
  <c r="G7" i="11"/>
  <c r="I6" i="11"/>
  <c r="B20" i="1"/>
  <c r="B14" i="1"/>
  <c r="B15" i="1" s="1"/>
  <c r="G41" i="5"/>
  <c r="G40" i="5"/>
  <c r="G39" i="5"/>
  <c r="G38" i="5"/>
  <c r="G37" i="5"/>
  <c r="G36" i="5"/>
  <c r="G35" i="5"/>
  <c r="G34" i="5"/>
  <c r="G33" i="5"/>
  <c r="G32" i="5"/>
  <c r="G31" i="5"/>
  <c r="G30" i="5"/>
  <c r="G29" i="5"/>
  <c r="G28" i="5"/>
  <c r="G27" i="5"/>
  <c r="G26" i="5"/>
  <c r="G25" i="5"/>
  <c r="G24" i="5"/>
  <c r="G23" i="5"/>
  <c r="G22" i="5"/>
  <c r="G21" i="5"/>
  <c r="G20" i="5"/>
  <c r="B5" i="1"/>
  <c r="B24" i="1"/>
  <c r="B26" i="1" s="1"/>
  <c r="I9" i="12" l="1"/>
  <c r="B28" i="1"/>
  <c r="B27" i="1"/>
  <c r="B21" i="1"/>
  <c r="B9" i="1" s="1"/>
  <c r="B22" i="1"/>
  <c r="J9" i="12"/>
  <c r="H9" i="5"/>
  <c r="B7" i="6"/>
  <c r="I7" i="12"/>
  <c r="H7" i="12"/>
  <c r="J9" i="5"/>
  <c r="K11" i="11"/>
  <c r="M11" i="11" s="1"/>
  <c r="J10" i="12"/>
  <c r="H10" i="12"/>
  <c r="F10" i="5"/>
  <c r="I10" i="5" s="1"/>
  <c r="G12" i="11"/>
  <c r="F11" i="5" s="1"/>
  <c r="G28" i="11"/>
  <c r="G29" i="11" s="1"/>
  <c r="G30" i="11" s="1"/>
  <c r="B10" i="6"/>
  <c r="G5" i="5"/>
  <c r="H5" i="5"/>
  <c r="I5" i="5"/>
  <c r="I10" i="12"/>
  <c r="H7" i="11"/>
  <c r="H8" i="11" s="1"/>
  <c r="H9" i="11" s="1"/>
  <c r="H10" i="11" s="1"/>
  <c r="H11" i="11" s="1"/>
  <c r="F5" i="12"/>
  <c r="J5" i="12" s="1"/>
  <c r="M5" i="12" s="1"/>
  <c r="K6" i="11"/>
  <c r="M6" i="11" s="1"/>
  <c r="N6" i="11" s="1"/>
  <c r="J6" i="11"/>
  <c r="L6" i="11" s="1"/>
  <c r="F8" i="12"/>
  <c r="H8" i="12" s="1"/>
  <c r="K9" i="11"/>
  <c r="M9" i="11" s="1"/>
  <c r="F15" i="12"/>
  <c r="B15" i="6" s="1"/>
  <c r="K16" i="11"/>
  <c r="M16" i="11" s="1"/>
  <c r="J21" i="11"/>
  <c r="L21" i="11" s="1"/>
  <c r="K21" i="11"/>
  <c r="M21" i="11" s="1"/>
  <c r="N21" i="11" s="1"/>
  <c r="N22" i="11" s="1"/>
  <c r="N23" i="11" s="1"/>
  <c r="N24" i="11" s="1"/>
  <c r="N25" i="11" s="1"/>
  <c r="N26" i="11" s="1"/>
  <c r="N27" i="11" s="1"/>
  <c r="H22" i="11"/>
  <c r="H23" i="11" s="1"/>
  <c r="H24" i="11" s="1"/>
  <c r="H25" i="11" s="1"/>
  <c r="H26" i="11" s="1"/>
  <c r="H27" i="11" s="1"/>
  <c r="H28" i="11" s="1"/>
  <c r="J15" i="5"/>
  <c r="H15" i="5"/>
  <c r="I15" i="5"/>
  <c r="I7" i="11"/>
  <c r="F6" i="5"/>
  <c r="J10" i="5"/>
  <c r="G13" i="11"/>
  <c r="I12" i="11"/>
  <c r="H8" i="5"/>
  <c r="J8" i="5"/>
  <c r="I8" i="5"/>
  <c r="I28" i="11"/>
  <c r="K28" i="11" s="1"/>
  <c r="M28" i="11" s="1"/>
  <c r="B4" i="1"/>
  <c r="B7" i="1" s="1"/>
  <c r="E5" i="6" l="1"/>
  <c r="N28" i="11"/>
  <c r="G6" i="5"/>
  <c r="G7" i="5" s="1"/>
  <c r="G8" i="5" s="1"/>
  <c r="G9" i="5" s="1"/>
  <c r="G10" i="5" s="1"/>
  <c r="G11" i="5" s="1"/>
  <c r="H10" i="5"/>
  <c r="H12" i="11"/>
  <c r="H13" i="11" s="1"/>
  <c r="I8" i="12"/>
  <c r="B5" i="6"/>
  <c r="J8" i="12"/>
  <c r="J22" i="11"/>
  <c r="J23" i="11" s="1"/>
  <c r="J15" i="12"/>
  <c r="I15" i="12"/>
  <c r="H15" i="12"/>
  <c r="I5" i="12"/>
  <c r="L5" i="12" s="1"/>
  <c r="C19" i="6" s="1"/>
  <c r="B8" i="6"/>
  <c r="G5" i="12"/>
  <c r="C5" i="6" s="1"/>
  <c r="H5" i="12"/>
  <c r="K5" i="12" s="1"/>
  <c r="B19" i="6" s="1"/>
  <c r="F11" i="12"/>
  <c r="I11" i="12" s="1"/>
  <c r="K12" i="11"/>
  <c r="M12" i="11" s="1"/>
  <c r="F6" i="12"/>
  <c r="K7" i="11"/>
  <c r="M7" i="11" s="1"/>
  <c r="N7" i="11" s="1"/>
  <c r="J7" i="11"/>
  <c r="L7" i="11" s="1"/>
  <c r="H29" i="11"/>
  <c r="H30" i="11" s="1"/>
  <c r="H31" i="11" s="1"/>
  <c r="G14" i="11"/>
  <c r="I14" i="11" s="1"/>
  <c r="F12" i="5"/>
  <c r="I13" i="11"/>
  <c r="D19" i="6"/>
  <c r="P5" i="12"/>
  <c r="J6" i="5"/>
  <c r="I6" i="5"/>
  <c r="H6" i="5"/>
  <c r="J11" i="5"/>
  <c r="I11" i="5"/>
  <c r="H11" i="5"/>
  <c r="I30" i="11"/>
  <c r="K30" i="11" s="1"/>
  <c r="M30" i="11" s="1"/>
  <c r="I29" i="11"/>
  <c r="K29" i="11" s="1"/>
  <c r="M29" i="11" s="1"/>
  <c r="B6" i="1"/>
  <c r="G6" i="12" l="1"/>
  <c r="N29" i="11"/>
  <c r="N30" i="11" s="1"/>
  <c r="N31" i="11" s="1"/>
  <c r="E6" i="6"/>
  <c r="N8" i="11"/>
  <c r="H6" i="12"/>
  <c r="K6" i="12" s="1"/>
  <c r="J6" i="12"/>
  <c r="M6" i="12" s="1"/>
  <c r="M7" i="12" s="1"/>
  <c r="O5" i="12"/>
  <c r="J11" i="12"/>
  <c r="L22" i="11"/>
  <c r="I6" i="12"/>
  <c r="L6" i="12" s="1"/>
  <c r="O6" i="12" s="1"/>
  <c r="N5" i="12"/>
  <c r="F13" i="12"/>
  <c r="H13" i="12" s="1"/>
  <c r="K14" i="11"/>
  <c r="M14" i="11" s="1"/>
  <c r="J24" i="11"/>
  <c r="L23" i="11"/>
  <c r="B6" i="6"/>
  <c r="F12" i="12"/>
  <c r="B12" i="6" s="1"/>
  <c r="K13" i="11"/>
  <c r="M13" i="11" s="1"/>
  <c r="H14" i="11"/>
  <c r="J8" i="11"/>
  <c r="H11" i="12"/>
  <c r="B11" i="6"/>
  <c r="G7" i="12"/>
  <c r="C6" i="6"/>
  <c r="J12" i="5"/>
  <c r="I12" i="5"/>
  <c r="G12" i="5"/>
  <c r="H12" i="5"/>
  <c r="G15" i="11"/>
  <c r="I15" i="11" s="1"/>
  <c r="F13" i="5"/>
  <c r="B3" i="5"/>
  <c r="B7" i="5" s="1"/>
  <c r="P6" i="12" l="1"/>
  <c r="D20" i="6"/>
  <c r="B20" i="6"/>
  <c r="K7" i="12"/>
  <c r="N6" i="12"/>
  <c r="N9" i="11"/>
  <c r="E7" i="6"/>
  <c r="I13" i="12"/>
  <c r="C20" i="6"/>
  <c r="L7" i="12"/>
  <c r="C21" i="6" s="1"/>
  <c r="J13" i="12"/>
  <c r="J12" i="12"/>
  <c r="B13" i="6"/>
  <c r="H12" i="12"/>
  <c r="J25" i="11"/>
  <c r="L24" i="11"/>
  <c r="J9" i="11"/>
  <c r="L8" i="11"/>
  <c r="F14" i="12"/>
  <c r="I14" i="12" s="1"/>
  <c r="K15" i="11"/>
  <c r="M15" i="11" s="1"/>
  <c r="I12" i="12"/>
  <c r="H15" i="11"/>
  <c r="H16" i="11" s="1"/>
  <c r="G13" i="5"/>
  <c r="F14" i="5"/>
  <c r="I14" i="5" s="1"/>
  <c r="D21" i="6"/>
  <c r="P7" i="12"/>
  <c r="M8" i="12"/>
  <c r="G8" i="12"/>
  <c r="C7" i="6"/>
  <c r="O7" i="12"/>
  <c r="J13" i="5"/>
  <c r="H13" i="5"/>
  <c r="I13" i="5"/>
  <c r="B20" i="5"/>
  <c r="B21" i="5" s="1"/>
  <c r="N7" i="12" l="1"/>
  <c r="K5" i="6"/>
  <c r="K8" i="12"/>
  <c r="B22" i="6" s="1"/>
  <c r="B21" i="6"/>
  <c r="J14" i="5"/>
  <c r="L8" i="12"/>
  <c r="C22" i="6" s="1"/>
  <c r="N10" i="11"/>
  <c r="E8" i="6"/>
  <c r="B14" i="6"/>
  <c r="H14" i="5"/>
  <c r="H14" i="12"/>
  <c r="J14" i="12"/>
  <c r="J26" i="11"/>
  <c r="L25" i="11"/>
  <c r="J10" i="11"/>
  <c r="L9" i="11"/>
  <c r="G14" i="5"/>
  <c r="G15" i="5" s="1"/>
  <c r="P8" i="12"/>
  <c r="D22" i="6"/>
  <c r="M9" i="12"/>
  <c r="O8" i="12"/>
  <c r="G9" i="12"/>
  <c r="C8" i="6"/>
  <c r="K9" i="12" l="1"/>
  <c r="K10" i="12" s="1"/>
  <c r="N8" i="12"/>
  <c r="K9" i="6"/>
  <c r="K7" i="6"/>
  <c r="K8" i="6"/>
  <c r="K6" i="6"/>
  <c r="K11" i="6"/>
  <c r="K10" i="6"/>
  <c r="L9" i="12"/>
  <c r="C23" i="6" s="1"/>
  <c r="N11" i="11"/>
  <c r="E9" i="6"/>
  <c r="J11" i="11"/>
  <c r="L10" i="11"/>
  <c r="J27" i="11"/>
  <c r="L26" i="11"/>
  <c r="B23" i="6"/>
  <c r="N9" i="12"/>
  <c r="C9" i="6"/>
  <c r="G10" i="12"/>
  <c r="D23" i="6"/>
  <c r="P9" i="12"/>
  <c r="M10" i="12"/>
  <c r="K12" i="6" l="1"/>
  <c r="L10" i="12"/>
  <c r="O9" i="12"/>
  <c r="N12" i="11"/>
  <c r="E10" i="6"/>
  <c r="L27" i="11"/>
  <c r="J28" i="11"/>
  <c r="J12" i="11"/>
  <c r="L11" i="11"/>
  <c r="P10" i="12"/>
  <c r="D24" i="6"/>
  <c r="M11" i="12"/>
  <c r="O10" i="12"/>
  <c r="C24" i="6"/>
  <c r="L11" i="12"/>
  <c r="G11" i="12"/>
  <c r="C10" i="6"/>
  <c r="N10" i="12"/>
  <c r="B24" i="6"/>
  <c r="K11" i="12"/>
  <c r="N13" i="11" l="1"/>
  <c r="E11" i="6"/>
  <c r="L28" i="11"/>
  <c r="J29" i="11"/>
  <c r="J13" i="11"/>
  <c r="L12" i="11"/>
  <c r="N11" i="12"/>
  <c r="B25" i="6"/>
  <c r="K12" i="12"/>
  <c r="C11" i="6"/>
  <c r="G12" i="12"/>
  <c r="P11" i="12"/>
  <c r="D25" i="6"/>
  <c r="M12" i="12"/>
  <c r="O11" i="12"/>
  <c r="C25" i="6"/>
  <c r="L12" i="12"/>
  <c r="M5" i="5"/>
  <c r="L5" i="5"/>
  <c r="O5" i="5" s="1"/>
  <c r="K5" i="5"/>
  <c r="N5" i="5" s="1"/>
  <c r="N14" i="11" l="1"/>
  <c r="E12" i="6"/>
  <c r="J14" i="11"/>
  <c r="L13" i="11"/>
  <c r="J30" i="11"/>
  <c r="L29" i="11"/>
  <c r="P12" i="12"/>
  <c r="D26" i="6"/>
  <c r="M13" i="12"/>
  <c r="O12" i="12"/>
  <c r="C26" i="6"/>
  <c r="L13" i="12"/>
  <c r="N12" i="12"/>
  <c r="B26" i="6"/>
  <c r="K13" i="12"/>
  <c r="C12" i="6"/>
  <c r="G13" i="12"/>
  <c r="P5" i="5"/>
  <c r="M6" i="5"/>
  <c r="L6" i="5"/>
  <c r="O6" i="5" s="1"/>
  <c r="K6" i="5"/>
  <c r="N6" i="5" s="1"/>
  <c r="N15" i="11" l="1"/>
  <c r="E13" i="6"/>
  <c r="J31" i="11"/>
  <c r="L30" i="11"/>
  <c r="J15" i="11"/>
  <c r="L14" i="11"/>
  <c r="C13" i="6"/>
  <c r="G14" i="12"/>
  <c r="P13" i="12"/>
  <c r="D27" i="6"/>
  <c r="M14" i="12"/>
  <c r="O13" i="12"/>
  <c r="C27" i="6"/>
  <c r="L14" i="12"/>
  <c r="N13" i="12"/>
  <c r="B27" i="6"/>
  <c r="K14" i="12"/>
  <c r="L5" i="6" s="1"/>
  <c r="P6" i="5"/>
  <c r="L7" i="5"/>
  <c r="O7" i="5" s="1"/>
  <c r="M7" i="5"/>
  <c r="K7" i="5"/>
  <c r="K16" i="6" s="1"/>
  <c r="K18" i="6" l="1"/>
  <c r="K22" i="6"/>
  <c r="K19" i="6"/>
  <c r="K21" i="6"/>
  <c r="K17" i="6"/>
  <c r="K20" i="6"/>
  <c r="L8" i="6"/>
  <c r="L9" i="6"/>
  <c r="L10" i="6"/>
  <c r="L7" i="6"/>
  <c r="L11" i="6"/>
  <c r="L6" i="6"/>
  <c r="N16" i="11"/>
  <c r="E15" i="6" s="1"/>
  <c r="E14" i="6"/>
  <c r="J16" i="11"/>
  <c r="L15" i="11"/>
  <c r="L31" i="11"/>
  <c r="B18" i="11"/>
  <c r="G15" i="12"/>
  <c r="C14" i="6"/>
  <c r="O14" i="12"/>
  <c r="C28" i="6"/>
  <c r="L15" i="12"/>
  <c r="N14" i="12"/>
  <c r="B28" i="6"/>
  <c r="K15" i="12"/>
  <c r="P14" i="12"/>
  <c r="D28" i="6"/>
  <c r="M15" i="12"/>
  <c r="P7" i="5"/>
  <c r="N7" i="5"/>
  <c r="M8" i="5"/>
  <c r="L8" i="5"/>
  <c r="O8" i="5" s="1"/>
  <c r="K8" i="5"/>
  <c r="N8" i="5" s="1"/>
  <c r="L12" i="6" l="1"/>
  <c r="K23" i="6"/>
  <c r="L16" i="11"/>
  <c r="B19" i="11"/>
  <c r="P15" i="12"/>
  <c r="D29" i="6"/>
  <c r="N15" i="12"/>
  <c r="B29" i="6"/>
  <c r="O15" i="12"/>
  <c r="C29" i="6"/>
  <c r="C15" i="6"/>
  <c r="G16" i="5"/>
  <c r="P8" i="5"/>
  <c r="K9" i="5"/>
  <c r="N9" i="5" s="1"/>
  <c r="M9" i="5"/>
  <c r="L9" i="5"/>
  <c r="O9" i="5" s="1"/>
  <c r="P9" i="5" l="1"/>
  <c r="K10" i="5"/>
  <c r="N10" i="5" s="1"/>
  <c r="M10" i="5"/>
  <c r="L10" i="5"/>
  <c r="O10" i="5" s="1"/>
  <c r="P10" i="5" l="1"/>
  <c r="K11" i="5"/>
  <c r="N11" i="5" s="1"/>
  <c r="M11" i="5"/>
  <c r="L11" i="5"/>
  <c r="O11" i="5" s="1"/>
  <c r="K12" i="5" l="1"/>
  <c r="N12" i="5" s="1"/>
  <c r="P11" i="5"/>
  <c r="L12" i="5"/>
  <c r="O12" i="5" s="1"/>
  <c r="M12" i="5"/>
  <c r="K13" i="5" l="1"/>
  <c r="N13" i="5" s="1"/>
  <c r="M13" i="5"/>
  <c r="P12" i="5"/>
  <c r="L13" i="5"/>
  <c r="O13" i="5" s="1"/>
  <c r="K14" i="5" l="1"/>
  <c r="L16" i="6" s="1"/>
  <c r="M14" i="5"/>
  <c r="P13" i="5"/>
  <c r="L14" i="5"/>
  <c r="L18" i="6" l="1"/>
  <c r="L17" i="6"/>
  <c r="L20" i="6"/>
  <c r="L19" i="6"/>
  <c r="L22" i="6"/>
  <c r="L21" i="6"/>
  <c r="P14" i="5"/>
  <c r="M15" i="5"/>
  <c r="P15" i="5" s="1"/>
  <c r="O14" i="5"/>
  <c r="L15" i="5"/>
  <c r="O15" i="5" s="1"/>
  <c r="N14" i="5"/>
  <c r="K15" i="5"/>
  <c r="N15" i="5" s="1"/>
  <c r="L23" i="6" l="1"/>
</calcChain>
</file>

<file path=xl/comments1.xml><?xml version="1.0" encoding="utf-8"?>
<comments xmlns="http://schemas.openxmlformats.org/spreadsheetml/2006/main">
  <authors>
    <author>Karl</author>
  </authors>
  <commentList>
    <comment ref="A1" authorId="0" shapeId="0">
      <text>
        <r>
          <rPr>
            <b/>
            <sz val="9"/>
            <color indexed="81"/>
            <rFont val="Tahoma"/>
            <charset val="1"/>
          </rPr>
          <t xml:space="preserve">Karl:
Policy paper
Arrangement between the United States of America and the United Kingdom on pharmaceutical pricing (HTML)
Published 2 April 2026
</t>
        </r>
        <r>
          <rPr>
            <sz val="9"/>
            <color indexed="81"/>
            <rFont val="Tahoma"/>
            <charset val="1"/>
          </rPr>
          <t xml:space="preserve">
https://www.gov.uk/government/publications/uk-us-arrangement-on-pharmaceutical-trade-and-pricing/arrangement-between-the-united-states-of-america-and-the-united-kingdom-on-pharmaceutical-pricing-html</t>
        </r>
      </text>
    </comment>
    <comment ref="A4" authorId="0" shapeId="0">
      <text>
        <r>
          <rPr>
            <b/>
            <sz val="9"/>
            <color indexed="81"/>
            <rFont val="Tahoma"/>
            <family val="2"/>
          </rPr>
          <t>Karl:</t>
        </r>
        <r>
          <rPr>
            <sz val="9"/>
            <color indexed="81"/>
            <rFont val="Tahoma"/>
            <family val="2"/>
          </rPr>
          <t xml:space="preserve">
Source ONS
https://www.ons.gov.uk/economy/grossdomesticproductgdp/timeseries/ybha/pn2</t>
        </r>
      </text>
    </comment>
    <comment ref="A5" authorId="0" shapeId="0">
      <text>
        <r>
          <rPr>
            <b/>
            <sz val="9"/>
            <color indexed="81"/>
            <rFont val="Tahoma"/>
            <charset val="1"/>
          </rPr>
          <t xml:space="preserve">Karl:
3 March 2026
Economic and fiscal outlook – March 2026
</t>
        </r>
        <r>
          <rPr>
            <sz val="9"/>
            <color indexed="81"/>
            <rFont val="Tahoma"/>
            <charset val="1"/>
          </rPr>
          <t xml:space="preserve">
https://obr.uk/economic-and-fiscal-outlooks/#chapter-1
</t>
        </r>
      </text>
    </comment>
    <comment ref="A11" authorId="0" shapeId="0">
      <text>
        <r>
          <rPr>
            <b/>
            <sz val="9"/>
            <color indexed="81"/>
            <rFont val="Tahoma"/>
            <family val="2"/>
          </rPr>
          <t xml:space="preserve">Karl:
Policy paper (DSIT)
Arrangement between the United States of America and the United Kingdom on pharmaceutical pricing (HTML)
Published 2 April 2026
</t>
        </r>
        <r>
          <rPr>
            <sz val="9"/>
            <color indexed="81"/>
            <rFont val="Tahoma"/>
            <family val="2"/>
          </rPr>
          <t xml:space="preserve">
https://www.gov.uk/government/publications/uk-us-arrangement-on-pharmaceutical-trade-and-pricing/arrangement-between-the-united-states-of-america-and-the-united-kingdom-on-pharmaceutical-pricing-html</t>
        </r>
      </text>
    </comment>
    <comment ref="B22" authorId="0" shapeId="0">
      <text>
        <r>
          <rPr>
            <b/>
            <sz val="9"/>
            <color indexed="81"/>
            <rFont val="Tahoma"/>
            <family val="2"/>
          </rPr>
          <t>Karl:</t>
        </r>
        <r>
          <rPr>
            <sz val="9"/>
            <color indexed="81"/>
            <rFont val="Tahoma"/>
            <family val="2"/>
          </rPr>
          <t xml:space="preserve">
See 
https://www.england.nhs.uk/long-read/planning-guidance-and-budget-for-2024-25/#:~:text=Core%20service%20development%20and%20transformation,3.4</t>
        </r>
      </text>
    </comment>
    <comment ref="B23" authorId="0" shapeId="0">
      <text>
        <r>
          <rPr>
            <b/>
            <sz val="9"/>
            <color indexed="81"/>
            <rFont val="Tahoma"/>
            <family val="2"/>
          </rPr>
          <t>Karl:</t>
        </r>
        <r>
          <rPr>
            <sz val="9"/>
            <color indexed="81"/>
            <rFont val="Tahoma"/>
            <family val="2"/>
          </rPr>
          <t xml:space="preserve">
For 24/25, see,
https://www.gov.uk/government/statistics/adult-social-care-finance-report-england-2024-to-2025/adult-social-care-finance-report-england-2024-to-2025#:~:text=gross%20current%20expenditure%20(%20GCE%20)%20on,support%20in%202024%20to%202025.</t>
        </r>
      </text>
    </comment>
    <comment ref="B24" authorId="0" shapeId="0">
      <text>
        <r>
          <rPr>
            <b/>
            <sz val="9"/>
            <color indexed="81"/>
            <rFont val="Tahoma"/>
            <family val="2"/>
          </rPr>
          <t>Karl:</t>
        </r>
        <r>
          <rPr>
            <sz val="9"/>
            <color indexed="81"/>
            <rFont val="Tahoma"/>
            <family val="2"/>
          </rPr>
          <t xml:space="preserve">
Derived from results reported in 
Longo, F., Claxton, K. P., Martin, S., &amp; Lomas, J. (2023). More long-term care for better health care and vice versa: investigating the mortality effects of interactions between these public sectors. Fiscal Studies.  https://doi.org/10.1111/1475-5890.12322
This represents the longer run net effects on social care costs.
We analyse cross-sectional data so results reflect a longer-run equilibrium. In LAs where NHS spend is higher we already account for the reduction in mortality and, consequently, any increase in adult socal care (ASC) costs.  Our estimates suggest that the reduction in demand for ASC services generates savings that exceed the higher ASC costs of people living longer. One possible reason is that the NHS also increases quality of life, helping people to stay out of care homes and, therefore, reducing ASC expenidture. 
However it should be noted that these resutls are based on a range of differences in expenditure once other things are accounted for. For the NHS the range is between -£3.5bn to +£4.6bn. So for much larger changes in expenditure outside this range (+ or - £10bn) maybe subject to more marked diminishing marginal returns. This means the effect of a reduction in available NHS expenditure is likel to be greater. </t>
        </r>
      </text>
    </comment>
  </commentList>
</comments>
</file>

<file path=xl/comments2.xml><?xml version="1.0" encoding="utf-8"?>
<comments xmlns="http://schemas.openxmlformats.org/spreadsheetml/2006/main">
  <authors>
    <author>Karl</author>
  </authors>
  <commentList>
    <comment ref="B3" authorId="0" shapeId="0">
      <text>
        <r>
          <rPr>
            <b/>
            <sz val="9"/>
            <color indexed="81"/>
            <rFont val="Tahoma"/>
            <family val="2"/>
          </rPr>
          <t>Karl:</t>
        </r>
        <r>
          <rPr>
            <sz val="9"/>
            <color indexed="81"/>
            <rFont val="Tahoma"/>
            <family val="2"/>
          </rPr>
          <t xml:space="preserve">
See 
https://www.england.nhs.uk/long-read/planning-guidance-and-budget-for-2024-25/#:~:text=Core%20service%20development%20and%20transformation,3.4</t>
        </r>
      </text>
    </comment>
    <comment ref="A4" authorId="0" shapeId="0">
      <text>
        <r>
          <rPr>
            <b/>
            <sz val="9"/>
            <color indexed="81"/>
            <rFont val="Tahoma"/>
            <family val="2"/>
          </rPr>
          <t>Karl:</t>
        </r>
        <r>
          <rPr>
            <sz val="9"/>
            <color indexed="81"/>
            <rFont val="Tahoma"/>
            <family val="2"/>
          </rPr>
          <t xml:space="preserve">
using NHS spend 24/25 to get the % as that is the most comparable to other countries </t>
        </r>
      </text>
    </comment>
    <comment ref="B12" authorId="0" shapeId="0">
      <text>
        <r>
          <rPr>
            <b/>
            <sz val="9"/>
            <color indexed="81"/>
            <rFont val="Tahoma"/>
            <family val="2"/>
          </rPr>
          <t>Karl:</t>
        </r>
        <r>
          <rPr>
            <sz val="9"/>
            <color indexed="81"/>
            <rFont val="Tahoma"/>
            <family val="2"/>
          </rPr>
          <t xml:space="preserve">
https://www.england.nhs.uk/long-read/planning-guidance-and-budget-for-2024-25/#:~:text=Core%20service%20development%20and%20transformation,3.4</t>
        </r>
      </text>
    </comment>
    <comment ref="B13" authorId="0" shapeId="0">
      <text>
        <r>
          <rPr>
            <b/>
            <sz val="9"/>
            <color indexed="81"/>
            <rFont val="Tahoma"/>
            <family val="2"/>
          </rPr>
          <t>Karl:</t>
        </r>
        <r>
          <rPr>
            <sz val="9"/>
            <color indexed="81"/>
            <rFont val="Tahoma"/>
            <family val="2"/>
          </rPr>
          <t xml:space="preserve">
https://www.gov.scot/publications/scottish-budget-2024-25/pages/5/</t>
        </r>
      </text>
    </comment>
    <comment ref="B18" authorId="0" shapeId="0">
      <text>
        <r>
          <rPr>
            <b/>
            <sz val="9"/>
            <color indexed="81"/>
            <rFont val="Tahoma"/>
            <family val="2"/>
          </rPr>
          <t>Karl:</t>
        </r>
        <r>
          <rPr>
            <sz val="9"/>
            <color indexed="81"/>
            <rFont val="Tahoma"/>
            <family val="2"/>
          </rPr>
          <t xml:space="preserve">
https://www.england.nhs.uk/long-read/planning-guidance-and-budget-for-2024-25/#:~:text=Core%20service%20development%20and%20transformation,3.4</t>
        </r>
      </text>
    </comment>
    <comment ref="B19" authorId="0" shapeId="0">
      <text>
        <r>
          <rPr>
            <b/>
            <sz val="9"/>
            <color indexed="81"/>
            <rFont val="Tahoma"/>
            <family val="2"/>
          </rPr>
          <t>Karl:</t>
        </r>
        <r>
          <rPr>
            <sz val="9"/>
            <color indexed="81"/>
            <rFont val="Tahoma"/>
            <family val="2"/>
          </rPr>
          <t xml:space="preserve">
https://www.wao.gov.uk/news/health-boards-wales-continue-experience-significant-financial-challenges#:~:text=Health%20services%20in%20Wales%20received,25%20falling%20into%20this%20category.
</t>
        </r>
      </text>
    </comment>
    <comment ref="B24" authorId="0" shapeId="0">
      <text>
        <r>
          <rPr>
            <b/>
            <sz val="9"/>
            <color indexed="81"/>
            <rFont val="Tahoma"/>
            <family val="2"/>
          </rPr>
          <t>Karl:</t>
        </r>
        <r>
          <rPr>
            <sz val="9"/>
            <color indexed="81"/>
            <rFont val="Tahoma"/>
            <family val="2"/>
          </rPr>
          <t xml:space="preserve">
https://www.england.nhs.uk/long-read/planning-guidance-and-budget-for-2024-25/#:~:text=Core%20service%20development%20and%20transformation,3.4</t>
        </r>
      </text>
    </comment>
    <comment ref="B25" authorId="0" shapeId="0">
      <text>
        <r>
          <rPr>
            <b/>
            <sz val="9"/>
            <color indexed="81"/>
            <rFont val="Tahoma"/>
            <family val="2"/>
          </rPr>
          <t>Karl:</t>
        </r>
        <r>
          <rPr>
            <sz val="9"/>
            <color indexed="81"/>
            <rFont val="Tahoma"/>
            <family val="2"/>
          </rPr>
          <t xml:space="preserve">
https://www.finance-ni.gov.uk/news/executive-agrees-2024-25-budget#:~:text=The%202024%2D25%20budget%20was%20agreed%20by%20the,billion%20*%20Department%20for%20Communities:%20%C2%A3856.0%20million</t>
        </r>
      </text>
    </comment>
  </commentList>
</comments>
</file>

<file path=xl/comments3.xml><?xml version="1.0" encoding="utf-8"?>
<comments xmlns="http://schemas.openxmlformats.org/spreadsheetml/2006/main">
  <authors>
    <author>Karl</author>
  </authors>
  <commentList>
    <comment ref="B2" authorId="0" shapeId="0">
      <text>
        <r>
          <rPr>
            <b/>
            <sz val="9"/>
            <color indexed="81"/>
            <rFont val="Tahoma"/>
            <family val="2"/>
          </rPr>
          <t>Karl:</t>
        </r>
        <r>
          <rPr>
            <sz val="9"/>
            <color indexed="81"/>
            <rFont val="Tahoma"/>
            <family val="2"/>
          </rPr>
          <t xml:space="preserve">
Excess deaths in England and Wales: March 2020 to June 2022 - Office for National Statistics
source
https://www.ons.gov.uk/peoplepopulationandcommunity/birthsdeathsandmarriages/deaths/articles/excessdeathsinenglandandwalesmarch2020tojune2022/2022-09-20
</t>
        </r>
      </text>
    </comment>
    <comment ref="K3" authorId="0" shapeId="0">
      <text>
        <r>
          <rPr>
            <b/>
            <sz val="9"/>
            <color indexed="81"/>
            <rFont val="Tahoma"/>
            <family val="2"/>
          </rPr>
          <t>Karl:</t>
        </r>
        <r>
          <rPr>
            <sz val="9"/>
            <color indexed="81"/>
            <rFont val="Tahoma"/>
            <family val="2"/>
          </rPr>
          <t xml:space="preserve">
Cumulative to each year
</t>
        </r>
      </text>
    </comment>
    <comment ref="A4" authorId="0" shapeId="0">
      <text>
        <r>
          <rPr>
            <b/>
            <sz val="9"/>
            <color indexed="81"/>
            <rFont val="Tahoma"/>
            <family val="2"/>
          </rPr>
          <t>Karl:</t>
        </r>
        <r>
          <rPr>
            <sz val="9"/>
            <color indexed="81"/>
            <rFont val="Tahoma"/>
            <family val="2"/>
          </rPr>
          <t xml:space="preserve">
https://www.ons.gov.uk/peoplepopulationandcommunity/birthsdeathsandmarriages/deaths/adhocs/1596covid19andexcessmortalityinwalesmarch2020tojune2022
COVID-19 and excess mortality in Wales: March 2020 to June 2022
7008
</t>
        </r>
      </text>
    </comment>
    <comment ref="A5" authorId="0" shapeId="0">
      <text>
        <r>
          <rPr>
            <b/>
            <sz val="9"/>
            <color indexed="81"/>
            <rFont val="Tahoma"/>
            <family val="2"/>
          </rPr>
          <t>Karl:</t>
        </r>
        <r>
          <rPr>
            <sz val="9"/>
            <color indexed="81"/>
            <rFont val="Tahoma"/>
            <family val="2"/>
          </rPr>
          <t xml:space="preserve">
https://www.parliament.scot/chamber-and-committees/committees/current-and-previous-committees/session-6-covid19-recovery-committee/correspondence/2022/excess-deaths-in-scotland-since-the-start-of-the-pandemic#:~:text=The%20overriding%20message%20from%20this,a%20contributory%20factor%5B1%5D.
Excess mortality in Soctland during the covid pandemic: March 2020 to April 2022
7008
</t>
        </r>
      </text>
    </comment>
    <comment ref="A6" authorId="0" shapeId="0">
      <text>
        <r>
          <rPr>
            <b/>
            <sz val="9"/>
            <color indexed="81"/>
            <rFont val="Tahoma"/>
            <family val="2"/>
          </rPr>
          <t>Karl:</t>
        </r>
        <r>
          <rPr>
            <sz val="9"/>
            <color indexed="81"/>
            <rFont val="Tahoma"/>
            <family val="2"/>
          </rPr>
          <t xml:space="preserve">
https://www.parliament.scot/chamber-and-committees/committees/current-and-previous-https://www.nisra.gov.uk/files/nisra/publications/Press%20Notice%20-%20excess%20deaths%20and%20Covid-19%20-%20August%202022.pdf
Excess mortality in Northern ieland during the covid pandemic: March 2020 to August 2022
</t>
        </r>
      </text>
    </comment>
    <comment ref="E7" authorId="0" shapeId="0">
      <text>
        <r>
          <rPr>
            <b/>
            <sz val="9"/>
            <color indexed="81"/>
            <rFont val="Tahoma"/>
            <family val="2"/>
          </rPr>
          <t>Karl:</t>
        </r>
        <r>
          <rPr>
            <sz val="9"/>
            <color indexed="81"/>
            <rFont val="Tahoma"/>
            <family val="2"/>
          </rPr>
          <t xml:space="preserve">
The is much higher than the minimum target = £1.17 bn
VPAG renegotiated Decmeber 2028 and see Quotes from ABPI
</t>
        </r>
      </text>
    </comment>
    <comment ref="B10" authorId="0" shapeId="0">
      <text>
        <r>
          <rPr>
            <b/>
            <sz val="9"/>
            <color indexed="81"/>
            <rFont val="Tahoma"/>
            <family val="2"/>
          </rPr>
          <t>Karl:</t>
        </r>
        <r>
          <rPr>
            <sz val="9"/>
            <color indexed="81"/>
            <rFont val="Tahoma"/>
            <family val="2"/>
          </rPr>
          <t xml:space="preserve">
These only include the direct effect on excess deaths in England </t>
        </r>
      </text>
    </comment>
    <comment ref="A14" authorId="0" shapeId="0">
      <text>
        <r>
          <rPr>
            <b/>
            <sz val="9"/>
            <color indexed="81"/>
            <rFont val="Tahoma"/>
            <family val="2"/>
          </rPr>
          <t>Karl:</t>
        </r>
        <r>
          <rPr>
            <sz val="9"/>
            <color indexed="81"/>
            <rFont val="Tahoma"/>
            <family val="2"/>
          </rPr>
          <t xml:space="preserve">
These include the indirect effect through ASC but only for england </t>
        </r>
      </text>
    </comment>
  </commentList>
</comments>
</file>

<file path=xl/comments4.xml><?xml version="1.0" encoding="utf-8"?>
<comments xmlns="http://schemas.openxmlformats.org/spreadsheetml/2006/main">
  <authors>
    <author>Karl</author>
  </authors>
  <commentList>
    <comment ref="B2" authorId="0" shapeId="0">
      <text>
        <r>
          <rPr>
            <b/>
            <sz val="9"/>
            <color indexed="81"/>
            <rFont val="Tahoma"/>
            <family val="2"/>
          </rPr>
          <t>Karl:</t>
        </r>
        <r>
          <rPr>
            <sz val="9"/>
            <color indexed="81"/>
            <rFont val="Tahoma"/>
            <family val="2"/>
          </rPr>
          <t xml:space="preserve">
Excess deaths in England and Wales: March 2020 to June 2022 - Office for National Statistics
source
https://www.ons.gov.uk/peoplepopulationandcommunity/birthsdeathsandmarriages/deaths/articles/excessdeathsinenglandandwalesmarch2020tojune2022/2022-09-20
</t>
        </r>
      </text>
    </comment>
    <comment ref="K3" authorId="0" shapeId="0">
      <text>
        <r>
          <rPr>
            <b/>
            <sz val="9"/>
            <color indexed="81"/>
            <rFont val="Tahoma"/>
            <family val="2"/>
          </rPr>
          <t>Karl:</t>
        </r>
        <r>
          <rPr>
            <sz val="9"/>
            <color indexed="81"/>
            <rFont val="Tahoma"/>
            <family val="2"/>
          </rPr>
          <t xml:space="preserve">
Cumulative to each year
</t>
        </r>
      </text>
    </comment>
    <comment ref="A4" authorId="0" shapeId="0">
      <text>
        <r>
          <rPr>
            <b/>
            <sz val="9"/>
            <color indexed="81"/>
            <rFont val="Tahoma"/>
            <family val="2"/>
          </rPr>
          <t>Karl:</t>
        </r>
        <r>
          <rPr>
            <sz val="9"/>
            <color indexed="81"/>
            <rFont val="Tahoma"/>
            <family val="2"/>
          </rPr>
          <t xml:space="preserve">
https://www.ons.gov.uk/peoplepopulationandcommunity/birthsdeathsandmarriages/deaths/adhocs/1596covid19andexcessmortalityinwalesmarch2020tojune2022
COVID-19 and excess mortality in Wales: March 2020 to June 2022
7008
</t>
        </r>
      </text>
    </comment>
    <comment ref="A5" authorId="0" shapeId="0">
      <text>
        <r>
          <rPr>
            <b/>
            <sz val="9"/>
            <color indexed="81"/>
            <rFont val="Tahoma"/>
            <family val="2"/>
          </rPr>
          <t>Karl:</t>
        </r>
        <r>
          <rPr>
            <sz val="9"/>
            <color indexed="81"/>
            <rFont val="Tahoma"/>
            <family val="2"/>
          </rPr>
          <t xml:space="preserve">
https://www.parliament.scot/chamber-and-committees/committees/current-and-previous-committees/session-6-covid19-recovery-committee/correspondence/2022/excess-deaths-in-scotland-since-the-start-of-the-pandemic#:~:text=The%20overriding%20message%20from%20this,a%20contributory%20factor%5B1%5D.
Excess mortality in Soctland during the covid pandemic: March 2020 to April 2022
7008
</t>
        </r>
      </text>
    </comment>
    <comment ref="A6" authorId="0" shapeId="0">
      <text>
        <r>
          <rPr>
            <b/>
            <sz val="9"/>
            <color indexed="81"/>
            <rFont val="Tahoma"/>
            <family val="2"/>
          </rPr>
          <t>Karl:</t>
        </r>
        <r>
          <rPr>
            <sz val="9"/>
            <color indexed="81"/>
            <rFont val="Tahoma"/>
            <family val="2"/>
          </rPr>
          <t xml:space="preserve">
https://www.parliament.scot/chamber-and-committees/committees/current-and-previous-https://www.nisra.gov.uk/files/nisra/publications/Press%20Notice%20-%20excess%20deaths%20and%20Covid-19%20-%20August%202022.pdf
Excess mortality in Northern ieland during the covid pandemic: March 2020 to August 2022
</t>
        </r>
      </text>
    </comment>
    <comment ref="E7" authorId="0" shapeId="0">
      <text>
        <r>
          <rPr>
            <b/>
            <sz val="9"/>
            <color indexed="81"/>
            <rFont val="Tahoma"/>
            <family val="2"/>
          </rPr>
          <t>Karl:</t>
        </r>
        <r>
          <rPr>
            <sz val="9"/>
            <color indexed="81"/>
            <rFont val="Tahoma"/>
            <family val="2"/>
          </rPr>
          <t xml:space="preserve">
The is much higher than the minimum target = £1.17 bn
VPAG renegotiated Decmeber 2028 and see Quotes from ABPI
</t>
        </r>
      </text>
    </comment>
    <comment ref="B10" authorId="0" shapeId="0">
      <text>
        <r>
          <rPr>
            <b/>
            <sz val="9"/>
            <color indexed="81"/>
            <rFont val="Tahoma"/>
            <family val="2"/>
          </rPr>
          <t>Karl:</t>
        </r>
        <r>
          <rPr>
            <sz val="9"/>
            <color indexed="81"/>
            <rFont val="Tahoma"/>
            <family val="2"/>
          </rPr>
          <t xml:space="preserve">
These only include the direct effect on excess deaths in England </t>
        </r>
      </text>
    </comment>
    <comment ref="A14" authorId="0" shapeId="0">
      <text>
        <r>
          <rPr>
            <b/>
            <sz val="9"/>
            <color indexed="81"/>
            <rFont val="Tahoma"/>
            <family val="2"/>
          </rPr>
          <t>Karl:</t>
        </r>
        <r>
          <rPr>
            <sz val="9"/>
            <color indexed="81"/>
            <rFont val="Tahoma"/>
            <family val="2"/>
          </rPr>
          <t xml:space="preserve">
These include the indirect effect through ASC but only for england </t>
        </r>
      </text>
    </comment>
  </commentList>
</comments>
</file>

<file path=xl/sharedStrings.xml><?xml version="1.0" encoding="utf-8"?>
<sst xmlns="http://schemas.openxmlformats.org/spreadsheetml/2006/main" count="242" uniqueCount="132">
  <si>
    <t>Date</t>
  </si>
  <si>
    <t>Each year</t>
  </si>
  <si>
    <t>Additional NHS cost (£m)</t>
  </si>
  <si>
    <t>Low</t>
  </si>
  <si>
    <t>High</t>
  </si>
  <si>
    <t xml:space="preserve">Effects on outcomes </t>
  </si>
  <si>
    <t>% of the covid pandemic</t>
  </si>
  <si>
    <t xml:space="preserve">Total deaths as   </t>
  </si>
  <si>
    <t>Cumulative deaths</t>
  </si>
  <si>
    <t xml:space="preserve">Cumulative costs </t>
  </si>
  <si>
    <t xml:space="preserve"> </t>
  </si>
  <si>
    <t>QALYs per death</t>
  </si>
  <si>
    <t>Deaths per QALY</t>
  </si>
  <si>
    <t>Cost per QALY used by DHSC in IA</t>
  </si>
  <si>
    <t>Implied by DHSE values</t>
  </si>
  <si>
    <t>Excess deaths March 2020 to June 2022 (England and wales)</t>
  </si>
  <si>
    <t>Excess deaths March 2020 to June 2022 (Wales)</t>
  </si>
  <si>
    <t>Direct NHS</t>
  </si>
  <si>
    <t>Excess deaths March 2020 to June 2022 (England)</t>
  </si>
  <si>
    <t>Cummulative cost (English NHS, £m)</t>
  </si>
  <si>
    <t>Additional cost each year (English NHS, £m)</t>
  </si>
  <si>
    <t>Direct effect of additional English NHS costs</t>
  </si>
  <si>
    <t>Including the indirect impact on social care costs</t>
  </si>
  <si>
    <t>Totals</t>
  </si>
  <si>
    <t>Cancer</t>
  </si>
  <si>
    <t xml:space="preserve">Circulatory </t>
  </si>
  <si>
    <t xml:space="preserve">Respiratory </t>
  </si>
  <si>
    <t xml:space="preserve">Gastro-intestinal </t>
  </si>
  <si>
    <t>Infectious diseases</t>
  </si>
  <si>
    <t xml:space="preserve">Endocrine </t>
  </si>
  <si>
    <t xml:space="preserve">Neurological </t>
  </si>
  <si>
    <t xml:space="preserve">Genito-urinary </t>
  </si>
  <si>
    <t>Trauma &amp; injuries</t>
  </si>
  <si>
    <t>Maternity &amp; neonates</t>
  </si>
  <si>
    <t>Disorders of Blood</t>
  </si>
  <si>
    <t xml:space="preserve">Mental Health </t>
  </si>
  <si>
    <t>Learning Disability</t>
  </si>
  <si>
    <t>Problems of Vision</t>
  </si>
  <si>
    <t>Problems of Hearing</t>
  </si>
  <si>
    <t>Dental problems</t>
  </si>
  <si>
    <t>Skin</t>
  </si>
  <si>
    <t xml:space="preserve">Musculo skeletal </t>
  </si>
  <si>
    <t>Poisoning and AE</t>
  </si>
  <si>
    <t>Healthy Individuals</t>
  </si>
  <si>
    <t>Social Care Needs</t>
  </si>
  <si>
    <t>Other</t>
  </si>
  <si>
    <t>Deaths £1bn</t>
  </si>
  <si>
    <t>Other causes</t>
  </si>
  <si>
    <t>Total excess deaths</t>
  </si>
  <si>
    <t>DHSC</t>
  </si>
  <si>
    <t xml:space="preserve">GDP UK 2024/25  (£m) </t>
  </si>
  <si>
    <t>Additional UK cost (£m)</t>
  </si>
  <si>
    <t>Scotland as % of England</t>
  </si>
  <si>
    <t>Scotish NHS spend (£m)</t>
  </si>
  <si>
    <t>Wales as % of England</t>
  </si>
  <si>
    <t>Welsh NHS spend (£m)</t>
  </si>
  <si>
    <t>Northern Irish NHS spend (£m)</t>
  </si>
  <si>
    <t>Northern Ireland as % of England</t>
  </si>
  <si>
    <t xml:space="preserve">Total UK spend </t>
  </si>
  <si>
    <t>UK spending to gain one QALY</t>
  </si>
  <si>
    <t>UK spending to avert one death</t>
  </si>
  <si>
    <t>UK spending to avert one death (£15,000 per QALY)</t>
  </si>
  <si>
    <t>Costs and mortality impacts over time (UK)</t>
  </si>
  <si>
    <t>Additional (excess) deaths UK</t>
  </si>
  <si>
    <t xml:space="preserve">% by disease </t>
  </si>
  <si>
    <t>Excess deaths March 2020 to August 2022 (northern Ireland)</t>
  </si>
  <si>
    <t>Excess deaths March 2020 to April 2022 (Soctland)</t>
  </si>
  <si>
    <t xml:space="preserve">Excess deaths from period of pandemic (England) </t>
  </si>
  <si>
    <t xml:space="preserve">Excess deaths from period of pandemic (UK) </t>
  </si>
  <si>
    <t>Devolved nations as % of UK spend</t>
  </si>
  <si>
    <t>England as % UK spend</t>
  </si>
  <si>
    <t>Table 1 Leading causes of excess deaths  UK (direct effect)</t>
  </si>
  <si>
    <t>Data for the Engish NHS</t>
  </si>
  <si>
    <t xml:space="preserve">Scotland </t>
  </si>
  <si>
    <t>Wales</t>
  </si>
  <si>
    <t>Additional costs Scotland in 2028</t>
  </si>
  <si>
    <t>Additional costs to Wales in 2028</t>
  </si>
  <si>
    <t>Northern Ireland</t>
  </si>
  <si>
    <t>Additional costs to Wales in 2035</t>
  </si>
  <si>
    <t>Additional costs to Northern Ireland in 2028</t>
  </si>
  <si>
    <t xml:space="preserve">Devolved nations </t>
  </si>
  <si>
    <t>New medicines spend % GDP</t>
  </si>
  <si>
    <t>GDP OBR forcast real growth</t>
  </si>
  <si>
    <t>Includng the indirect effects via ASC</t>
  </si>
  <si>
    <t>Additional (excess) deaths NHS</t>
  </si>
  <si>
    <t>In each year</t>
  </si>
  <si>
    <t>Cummulative</t>
  </si>
  <si>
    <t>UK costs</t>
  </si>
  <si>
    <t>NHS costs</t>
  </si>
  <si>
    <t>GDP fixed 2024-25</t>
  </si>
  <si>
    <t>NHS as % of UK spend</t>
  </si>
  <si>
    <t>Current spend 2025 (% 2024-25 GDP)</t>
  </si>
  <si>
    <t>Current 2025 (2024-25 prices)</t>
  </si>
  <si>
    <t>Interim targets</t>
  </si>
  <si>
    <t>Total cost to devolved nations (2036)</t>
  </si>
  <si>
    <t>% target</t>
  </si>
  <si>
    <t>GDP growth (OBR 1.5%)</t>
  </si>
  <si>
    <t>Total ASC spend (£m) 24/25</t>
  </si>
  <si>
    <t xml:space="preserve">% effect of a 10% change in NHS spend </t>
  </si>
  <si>
    <t>10% change in NHS spend</t>
  </si>
  <si>
    <t>Change in ASC spend</t>
  </si>
  <si>
    <t xml:space="preserve">Change in ASC spend per NHS £ </t>
  </si>
  <si>
    <t xml:space="preserve">Effect Adult Social Care (ASC) costs (England) </t>
  </si>
  <si>
    <t>English NHS spend 24/25</t>
  </si>
  <si>
    <t>Increase in Adult Social Care costs (England £m)</t>
  </si>
  <si>
    <t>Total (NHS and ASC costs £m)</t>
  </si>
  <si>
    <t>Total NHS and ASC costs (£m)</t>
  </si>
  <si>
    <t>£1bn NHS (£m)</t>
  </si>
  <si>
    <t>Hours per week</t>
  </si>
  <si>
    <t>Hours per day</t>
  </si>
  <si>
    <t>Minites per day</t>
  </si>
  <si>
    <t>Seconds per day</t>
  </si>
  <si>
    <t>£ per day</t>
  </si>
  <si>
    <t xml:space="preserve">Days </t>
  </si>
  <si>
    <t xml:space="preserve">Weeks </t>
  </si>
  <si>
    <t xml:space="preserve">Years </t>
  </si>
  <si>
    <t>Cummulative cost (NHS and ASC, £m)</t>
  </si>
  <si>
    <t>Total cost of the 10 Year Health Plan for England (£m)</t>
  </si>
  <si>
    <t>Costs of the deal UK and English NHS (2024-25 GDP and with 1.5% real grwoth)</t>
  </si>
  <si>
    <t>Figure 2.  Excess deaths (NHS)</t>
  </si>
  <si>
    <t>Figure 1. NHS Costs (£m)</t>
  </si>
  <si>
    <t>Table 1 Leading causes of excess deaths  NHS (direct effect)</t>
  </si>
  <si>
    <t>Assuming GDP growth (OBR 1.5%)</t>
  </si>
  <si>
    <t>Assuming no GDP growth (2024-25)</t>
  </si>
  <si>
    <t>Costs and mortality impacts over time (NHS)</t>
  </si>
  <si>
    <t>GDP (2024-25 prices</t>
  </si>
  <si>
    <t>Additional costs Scotland in 2036</t>
  </si>
  <si>
    <t>English NHS spend 2024-25 (£m)</t>
  </si>
  <si>
    <t>Total spend (devolved nations)</t>
  </si>
  <si>
    <t xml:space="preserve">Costs to devolved Nations </t>
  </si>
  <si>
    <t>Additional costs in 2036 (£m)</t>
  </si>
  <si>
    <t>Additional costs in 2028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</si>
</sst>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quot;£&quot;#,##0.00"/>
    <numFmt numFmtId="165" formatCode="0.000"/>
    <numFmt numFmtId="166" formatCode="&quot;£&quot;#,##0"/>
    <numFmt numFmtId="167" formatCode="0.0%"/>
    <numFmt numFmtId="168" formatCode="_-* #,##0_-;\-* #,##0_-;_-* &quot;-&quot;??_-;_-@_-"/>
    <numFmt numFmtId="169" formatCode="&quot;£&quot;#,##0.000"/>
    <numFmt numFmtId="170" formatCode="0.0"/>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sz val="10"/>
      <name val="Arial"/>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90">
    <xf numFmtId="0" fontId="0" fillId="0" borderId="0" xfId="0"/>
    <xf numFmtId="164" fontId="0" fillId="0" borderId="0" xfId="0" applyNumberFormat="1"/>
    <xf numFmtId="165" fontId="0" fillId="0" borderId="0" xfId="0" applyNumberFormat="1" applyFill="1"/>
    <xf numFmtId="166" fontId="0" fillId="0" borderId="0" xfId="0" applyNumberFormat="1"/>
    <xf numFmtId="166" fontId="0" fillId="0" borderId="0" xfId="0" applyNumberFormat="1" applyBorder="1"/>
    <xf numFmtId="0" fontId="0" fillId="0" borderId="2" xfId="0" applyBorder="1"/>
    <xf numFmtId="0" fontId="0" fillId="0" borderId="0" xfId="0" applyBorder="1"/>
    <xf numFmtId="0" fontId="0" fillId="0" borderId="4" xfId="0" applyBorder="1"/>
    <xf numFmtId="166" fontId="0" fillId="0" borderId="3" xfId="0" applyNumberFormat="1" applyBorder="1"/>
    <xf numFmtId="0" fontId="0" fillId="0" borderId="3" xfId="0" applyBorder="1"/>
    <xf numFmtId="9" fontId="0" fillId="0" borderId="0" xfId="2" applyFont="1" applyBorder="1"/>
    <xf numFmtId="0" fontId="0" fillId="0" borderId="4" xfId="0" applyFill="1" applyBorder="1"/>
    <xf numFmtId="0" fontId="0" fillId="0" borderId="6" xfId="0" applyBorder="1"/>
    <xf numFmtId="168" fontId="0" fillId="0" borderId="0" xfId="0" applyNumberFormat="1"/>
    <xf numFmtId="0" fontId="3" fillId="0" borderId="0" xfId="0" applyFont="1"/>
    <xf numFmtId="0" fontId="0" fillId="0" borderId="5" xfId="0" applyBorder="1"/>
    <xf numFmtId="0" fontId="3" fillId="0" borderId="6" xfId="0" applyFont="1" applyBorder="1"/>
    <xf numFmtId="166" fontId="0" fillId="0" borderId="0" xfId="1" applyNumberFormat="1" applyFont="1"/>
    <xf numFmtId="0" fontId="3" fillId="0" borderId="0" xfId="0" applyFont="1" applyBorder="1"/>
    <xf numFmtId="0" fontId="0" fillId="0" borderId="0" xfId="0" applyFont="1"/>
    <xf numFmtId="0" fontId="0" fillId="0" borderId="7" xfId="0" applyBorder="1"/>
    <xf numFmtId="0" fontId="0" fillId="0" borderId="0" xfId="0" applyFont="1" applyBorder="1"/>
    <xf numFmtId="168" fontId="0" fillId="0" borderId="0" xfId="1" applyNumberFormat="1" applyFont="1" applyBorder="1"/>
    <xf numFmtId="0" fontId="2" fillId="0" borderId="4" xfId="0" applyFont="1" applyBorder="1"/>
    <xf numFmtId="166" fontId="0" fillId="0" borderId="8" xfId="0" applyNumberFormat="1" applyBorder="1"/>
    <xf numFmtId="168" fontId="0" fillId="0" borderId="8" xfId="1" applyNumberFormat="1" applyFont="1" applyBorder="1"/>
    <xf numFmtId="9" fontId="0" fillId="0" borderId="8" xfId="2" applyFont="1" applyBorder="1"/>
    <xf numFmtId="166" fontId="0" fillId="0" borderId="1" xfId="0" applyNumberFormat="1" applyBorder="1"/>
    <xf numFmtId="3" fontId="0" fillId="2" borderId="0" xfId="0" applyNumberFormat="1" applyFill="1"/>
    <xf numFmtId="0" fontId="0" fillId="2" borderId="0" xfId="0" applyFill="1" applyBorder="1"/>
    <xf numFmtId="0" fontId="0" fillId="0" borderId="3" xfId="0" applyFont="1" applyFill="1" applyBorder="1"/>
    <xf numFmtId="168" fontId="0" fillId="0" borderId="4" xfId="1" applyNumberFormat="1" applyFont="1" applyBorder="1"/>
    <xf numFmtId="168" fontId="0" fillId="0" borderId="2" xfId="1" applyNumberFormat="1" applyFont="1" applyBorder="1"/>
    <xf numFmtId="0" fontId="0" fillId="0" borderId="0" xfId="0" applyFill="1" applyBorder="1"/>
    <xf numFmtId="168" fontId="0" fillId="0" borderId="0" xfId="1" applyNumberFormat="1" applyFont="1"/>
    <xf numFmtId="3" fontId="0" fillId="0" borderId="0" xfId="0" applyNumberFormat="1" applyFill="1"/>
    <xf numFmtId="0" fontId="0" fillId="2" borderId="0" xfId="0" applyFill="1"/>
    <xf numFmtId="167" fontId="0" fillId="0" borderId="0" xfId="2" applyNumberFormat="1" applyFont="1"/>
    <xf numFmtId="10" fontId="0" fillId="0" borderId="0" xfId="2" applyNumberFormat="1" applyFont="1"/>
    <xf numFmtId="1" fontId="0" fillId="0" borderId="0" xfId="0" applyNumberFormat="1"/>
    <xf numFmtId="168" fontId="0" fillId="0" borderId="0" xfId="0" applyNumberFormat="1" applyBorder="1"/>
    <xf numFmtId="168" fontId="0" fillId="0" borderId="3" xfId="0" applyNumberFormat="1" applyBorder="1"/>
    <xf numFmtId="0" fontId="0" fillId="0" borderId="8" xfId="0" applyBorder="1"/>
    <xf numFmtId="168" fontId="0" fillId="0" borderId="1" xfId="0" applyNumberFormat="1" applyBorder="1"/>
    <xf numFmtId="168" fontId="0" fillId="0" borderId="10" xfId="0" applyNumberFormat="1" applyBorder="1"/>
    <xf numFmtId="168" fontId="0" fillId="0" borderId="11" xfId="0" applyNumberFormat="1" applyBorder="1"/>
    <xf numFmtId="3" fontId="0" fillId="0" borderId="0" xfId="0" applyNumberFormat="1"/>
    <xf numFmtId="167" fontId="3" fillId="0" borderId="0" xfId="2" applyNumberFormat="1" applyFont="1" applyBorder="1"/>
    <xf numFmtId="0" fontId="0" fillId="0" borderId="3" xfId="0" applyFill="1" applyBorder="1"/>
    <xf numFmtId="9" fontId="0" fillId="0" borderId="3" xfId="2" applyNumberFormat="1" applyFont="1" applyBorder="1"/>
    <xf numFmtId="9" fontId="0" fillId="0" borderId="1" xfId="2" applyNumberFormat="1" applyFont="1" applyBorder="1"/>
    <xf numFmtId="0" fontId="3" fillId="0" borderId="9" xfId="0" applyFont="1" applyBorder="1"/>
    <xf numFmtId="0" fontId="3" fillId="0" borderId="5" xfId="0" applyFont="1" applyBorder="1"/>
    <xf numFmtId="9" fontId="0" fillId="0" borderId="4" xfId="2" applyFont="1" applyBorder="1"/>
    <xf numFmtId="9" fontId="0" fillId="0" borderId="2" xfId="2" applyFont="1" applyBorder="1"/>
    <xf numFmtId="10" fontId="0" fillId="0" borderId="0" xfId="0" applyNumberFormat="1"/>
    <xf numFmtId="0" fontId="0" fillId="0" borderId="2" xfId="0" applyFill="1" applyBorder="1"/>
    <xf numFmtId="166" fontId="0" fillId="0" borderId="0" xfId="1" applyNumberFormat="1" applyFont="1" applyBorder="1"/>
    <xf numFmtId="10" fontId="0" fillId="0" borderId="0" xfId="2" applyNumberFormat="1" applyFont="1" applyBorder="1"/>
    <xf numFmtId="169" fontId="0" fillId="0" borderId="0" xfId="1" applyNumberFormat="1" applyFont="1" applyBorder="1"/>
    <xf numFmtId="167" fontId="0" fillId="0" borderId="0" xfId="2" applyNumberFormat="1" applyFont="1" applyBorder="1"/>
    <xf numFmtId="0" fontId="3" fillId="0" borderId="7" xfId="0" applyFont="1" applyBorder="1"/>
    <xf numFmtId="166" fontId="0" fillId="0" borderId="0" xfId="0" applyNumberFormat="1" applyFill="1" applyBorder="1"/>
    <xf numFmtId="166" fontId="0" fillId="0" borderId="3" xfId="0" applyNumberFormat="1" applyFill="1" applyBorder="1"/>
    <xf numFmtId="166" fontId="0" fillId="0" borderId="8" xfId="0" applyNumberFormat="1" applyFill="1" applyBorder="1"/>
    <xf numFmtId="166" fontId="0" fillId="0" borderId="1" xfId="0" applyNumberFormat="1" applyFill="1" applyBorder="1"/>
    <xf numFmtId="166" fontId="0" fillId="0" borderId="4" xfId="0" applyNumberFormat="1" applyBorder="1"/>
    <xf numFmtId="166" fontId="0" fillId="0" borderId="2" xfId="0" applyNumberFormat="1" applyBorder="1"/>
    <xf numFmtId="0" fontId="0" fillId="2" borderId="6" xfId="0" applyFill="1" applyBorder="1"/>
    <xf numFmtId="0" fontId="0" fillId="2" borderId="4" xfId="0" applyFill="1" applyBorder="1"/>
    <xf numFmtId="0" fontId="0" fillId="2" borderId="3" xfId="0" applyFill="1" applyBorder="1"/>
    <xf numFmtId="166" fontId="0" fillId="2" borderId="3" xfId="0" applyNumberFormat="1" applyFill="1" applyBorder="1"/>
    <xf numFmtId="0" fontId="0" fillId="2" borderId="2" xfId="0" applyFill="1" applyBorder="1"/>
    <xf numFmtId="0" fontId="0" fillId="2" borderId="8" xfId="0" applyFill="1" applyBorder="1"/>
    <xf numFmtId="166" fontId="0" fillId="2" borderId="1" xfId="0" applyNumberFormat="1" applyFill="1" applyBorder="1"/>
    <xf numFmtId="0" fontId="0" fillId="2" borderId="5" xfId="0" applyFill="1" applyBorder="1"/>
    <xf numFmtId="166" fontId="0" fillId="2" borderId="4" xfId="0" applyNumberFormat="1" applyFill="1" applyBorder="1"/>
    <xf numFmtId="166" fontId="3" fillId="2" borderId="4" xfId="0" applyNumberFormat="1" applyFont="1" applyFill="1" applyBorder="1"/>
    <xf numFmtId="166" fontId="3" fillId="2" borderId="3" xfId="0" applyNumberFormat="1" applyFont="1" applyFill="1" applyBorder="1"/>
    <xf numFmtId="166" fontId="0" fillId="2" borderId="2" xfId="0" applyNumberFormat="1" applyFill="1" applyBorder="1"/>
    <xf numFmtId="170" fontId="0" fillId="0" borderId="0" xfId="0" applyNumberFormat="1"/>
    <xf numFmtId="0" fontId="3" fillId="2" borderId="6" xfId="0" applyFont="1" applyFill="1" applyBorder="1"/>
    <xf numFmtId="0" fontId="3" fillId="2" borderId="5" xfId="0" applyFont="1" applyFill="1" applyBorder="1"/>
    <xf numFmtId="0" fontId="3" fillId="0" borderId="7" xfId="0" applyFont="1" applyFill="1" applyBorder="1"/>
    <xf numFmtId="0" fontId="3" fillId="0" borderId="5" xfId="0" applyFont="1" applyFill="1" applyBorder="1"/>
    <xf numFmtId="166" fontId="3" fillId="2" borderId="2" xfId="0" applyNumberFormat="1" applyFont="1" applyFill="1" applyBorder="1"/>
    <xf numFmtId="166" fontId="3" fillId="2" borderId="1" xfId="0" applyNumberFormat="1" applyFont="1" applyFill="1" applyBorder="1"/>
    <xf numFmtId="0" fontId="3" fillId="0" borderId="0" xfId="0" applyFont="1" applyFill="1" applyBorder="1"/>
    <xf numFmtId="0" fontId="3" fillId="0" borderId="8" xfId="0" applyFont="1" applyFill="1" applyBorder="1"/>
    <xf numFmtId="166" fontId="6" fillId="0" borderId="0" xfId="3" applyNumberFormat="1" applyBorder="1"/>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chartsheet" Target="chartsheets/sheet1.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sharedStrings" Target="sharedStrings.xml"/><Relationship Id="rId5" Type="http://schemas.openxmlformats.org/officeDocument/2006/relationships/worksheet" Target="worksheets/sheet3.xml"/><Relationship Id="rId10" Type="http://schemas.openxmlformats.org/officeDocument/2006/relationships/styles" Target="styles.xml"/><Relationship Id="rId4" Type="http://schemas.openxmlformats.org/officeDocument/2006/relationships/chartsheet" Target="chartsheets/sheet2.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9306925205073"/>
          <c:y val="7.7601518149107512E-2"/>
          <c:w val="0.81522515109719351"/>
          <c:h val="0.82949570372303372"/>
        </c:manualLayout>
      </c:layout>
      <c:scatterChart>
        <c:scatterStyle val="lineMarker"/>
        <c:varyColors val="0"/>
        <c:ser>
          <c:idx val="0"/>
          <c:order val="0"/>
          <c:tx>
            <c:strRef>
              <c:f>'Data figures and table'!$B$4</c:f>
              <c:strCache>
                <c:ptCount val="1"/>
                <c:pt idx="0">
                  <c:v>Additional cost each year (English NHS, £m)</c:v>
                </c:pt>
              </c:strCache>
            </c:strRef>
          </c:tx>
          <c:spPr>
            <a:ln w="19050" cap="rnd">
              <a:solidFill>
                <a:schemeClr val="accent1"/>
              </a:solidFill>
              <a:prstDash val="sysDash"/>
              <a:round/>
            </a:ln>
            <a:effectLst/>
          </c:spPr>
          <c:marker>
            <c:symbol val="none"/>
          </c:marker>
          <c:xVal>
            <c:numRef>
              <c:f>'Data figures and table'!$A$5:$A$15</c:f>
              <c:numCache>
                <c:formatCode>General</c:formatCode>
                <c:ptCount val="11"/>
                <c:pt idx="0">
                  <c:v>2026</c:v>
                </c:pt>
                <c:pt idx="1">
                  <c:v>2027</c:v>
                </c:pt>
                <c:pt idx="2">
                  <c:v>2028</c:v>
                </c:pt>
                <c:pt idx="3">
                  <c:v>2029</c:v>
                </c:pt>
                <c:pt idx="4">
                  <c:v>2030</c:v>
                </c:pt>
                <c:pt idx="5">
                  <c:v>2031</c:v>
                </c:pt>
                <c:pt idx="6">
                  <c:v>2032</c:v>
                </c:pt>
                <c:pt idx="7">
                  <c:v>2033</c:v>
                </c:pt>
                <c:pt idx="8">
                  <c:v>2034</c:v>
                </c:pt>
                <c:pt idx="9">
                  <c:v>2035</c:v>
                </c:pt>
                <c:pt idx="10">
                  <c:v>2036</c:v>
                </c:pt>
              </c:numCache>
            </c:numRef>
          </c:xVal>
          <c:yVal>
            <c:numRef>
              <c:f>'Data figures and table'!$B$5:$B$15</c:f>
              <c:numCache>
                <c:formatCode>"£"#,##0</c:formatCode>
                <c:ptCount val="11"/>
                <c:pt idx="0">
                  <c:v>546.60039195271281</c:v>
                </c:pt>
                <c:pt idx="1">
                  <c:v>1093.2007839054256</c:v>
                </c:pt>
                <c:pt idx="2">
                  <c:v>1639.8011758581385</c:v>
                </c:pt>
                <c:pt idx="3">
                  <c:v>2446.5154878965768</c:v>
                </c:pt>
                <c:pt idx="4">
                  <c:v>3253.2297999350153</c:v>
                </c:pt>
                <c:pt idx="5">
                  <c:v>4395.7418220484005</c:v>
                </c:pt>
                <c:pt idx="6">
                  <c:v>5538.2538441617862</c:v>
                </c:pt>
                <c:pt idx="7">
                  <c:v>6680.7658662751719</c:v>
                </c:pt>
                <c:pt idx="8">
                  <c:v>7823.2778883885576</c:v>
                </c:pt>
                <c:pt idx="9">
                  <c:v>8965.7899105019424</c:v>
                </c:pt>
                <c:pt idx="10">
                  <c:v>10108.301932615326</c:v>
                </c:pt>
              </c:numCache>
            </c:numRef>
          </c:yVal>
          <c:smooth val="0"/>
          <c:extLst>
            <c:ext xmlns:c16="http://schemas.microsoft.com/office/drawing/2014/chart" uri="{C3380CC4-5D6E-409C-BE32-E72D297353CC}">
              <c16:uniqueId val="{00000000-E8E4-481D-B841-B1E189D4F2A4}"/>
            </c:ext>
          </c:extLst>
        </c:ser>
        <c:ser>
          <c:idx val="1"/>
          <c:order val="1"/>
          <c:tx>
            <c:strRef>
              <c:f>'Data figures and table'!$C$4</c:f>
              <c:strCache>
                <c:ptCount val="1"/>
                <c:pt idx="0">
                  <c:v>Cummulative cost (English NHS, £m)</c:v>
                </c:pt>
              </c:strCache>
            </c:strRef>
          </c:tx>
          <c:spPr>
            <a:ln w="19050" cap="rnd">
              <a:solidFill>
                <a:srgbClr val="002060"/>
              </a:solidFill>
              <a:prstDash val="dash"/>
              <a:round/>
            </a:ln>
            <a:effectLst/>
          </c:spPr>
          <c:marker>
            <c:symbol val="none"/>
          </c:marker>
          <c:xVal>
            <c:numRef>
              <c:f>'Data figures and table'!$A$5:$A$15</c:f>
              <c:numCache>
                <c:formatCode>General</c:formatCode>
                <c:ptCount val="11"/>
                <c:pt idx="0">
                  <c:v>2026</c:v>
                </c:pt>
                <c:pt idx="1">
                  <c:v>2027</c:v>
                </c:pt>
                <c:pt idx="2">
                  <c:v>2028</c:v>
                </c:pt>
                <c:pt idx="3">
                  <c:v>2029</c:v>
                </c:pt>
                <c:pt idx="4">
                  <c:v>2030</c:v>
                </c:pt>
                <c:pt idx="5">
                  <c:v>2031</c:v>
                </c:pt>
                <c:pt idx="6">
                  <c:v>2032</c:v>
                </c:pt>
                <c:pt idx="7">
                  <c:v>2033</c:v>
                </c:pt>
                <c:pt idx="8">
                  <c:v>2034</c:v>
                </c:pt>
                <c:pt idx="9">
                  <c:v>2035</c:v>
                </c:pt>
                <c:pt idx="10">
                  <c:v>2036</c:v>
                </c:pt>
              </c:numCache>
            </c:numRef>
          </c:xVal>
          <c:yVal>
            <c:numRef>
              <c:f>'Data figures and table'!$C$5:$C$15</c:f>
              <c:numCache>
                <c:formatCode>"£"#,##0</c:formatCode>
                <c:ptCount val="11"/>
                <c:pt idx="0">
                  <c:v>546.60039195271281</c:v>
                </c:pt>
                <c:pt idx="1">
                  <c:v>1639.8011758581383</c:v>
                </c:pt>
                <c:pt idx="2">
                  <c:v>3279.6023517162766</c:v>
                </c:pt>
                <c:pt idx="3">
                  <c:v>5726.1178396128535</c:v>
                </c:pt>
                <c:pt idx="4">
                  <c:v>8979.3476395478683</c:v>
                </c:pt>
                <c:pt idx="5">
                  <c:v>13375.089461596268</c:v>
                </c:pt>
                <c:pt idx="6">
                  <c:v>18913.343305758055</c:v>
                </c:pt>
                <c:pt idx="7">
                  <c:v>25594.109172033226</c:v>
                </c:pt>
                <c:pt idx="8">
                  <c:v>33417.387060421781</c:v>
                </c:pt>
                <c:pt idx="9">
                  <c:v>42383.176970923727</c:v>
                </c:pt>
                <c:pt idx="10">
                  <c:v>52491.478903539057</c:v>
                </c:pt>
              </c:numCache>
            </c:numRef>
          </c:yVal>
          <c:smooth val="0"/>
          <c:extLst>
            <c:ext xmlns:c16="http://schemas.microsoft.com/office/drawing/2014/chart" uri="{C3380CC4-5D6E-409C-BE32-E72D297353CC}">
              <c16:uniqueId val="{00000002-E8E4-481D-B841-B1E189D4F2A4}"/>
            </c:ext>
          </c:extLst>
        </c:ser>
        <c:ser>
          <c:idx val="2"/>
          <c:order val="2"/>
          <c:tx>
            <c:strRef>
              <c:f>'Data figures and table'!$D$4</c:f>
              <c:strCache>
                <c:ptCount val="1"/>
                <c:pt idx="0">
                  <c:v>Total cost of the 10 Year Health Plan for England (£m)</c:v>
                </c:pt>
              </c:strCache>
            </c:strRef>
          </c:tx>
          <c:spPr>
            <a:ln w="19050" cap="rnd">
              <a:solidFill>
                <a:schemeClr val="tx1"/>
              </a:solidFill>
              <a:prstDash val="sysDot"/>
              <a:round/>
            </a:ln>
            <a:effectLst/>
          </c:spPr>
          <c:marker>
            <c:symbol val="none"/>
          </c:marker>
          <c:xVal>
            <c:numRef>
              <c:f>'Data figures and table'!$A$5:$A$15</c:f>
              <c:numCache>
                <c:formatCode>General</c:formatCode>
                <c:ptCount val="11"/>
                <c:pt idx="0">
                  <c:v>2026</c:v>
                </c:pt>
                <c:pt idx="1">
                  <c:v>2027</c:v>
                </c:pt>
                <c:pt idx="2">
                  <c:v>2028</c:v>
                </c:pt>
                <c:pt idx="3">
                  <c:v>2029</c:v>
                </c:pt>
                <c:pt idx="4">
                  <c:v>2030</c:v>
                </c:pt>
                <c:pt idx="5">
                  <c:v>2031</c:v>
                </c:pt>
                <c:pt idx="6">
                  <c:v>2032</c:v>
                </c:pt>
                <c:pt idx="7">
                  <c:v>2033</c:v>
                </c:pt>
                <c:pt idx="8">
                  <c:v>2034</c:v>
                </c:pt>
                <c:pt idx="9">
                  <c:v>2035</c:v>
                </c:pt>
                <c:pt idx="10">
                  <c:v>2036</c:v>
                </c:pt>
              </c:numCache>
            </c:numRef>
          </c:xVal>
          <c:yVal>
            <c:numRef>
              <c:f>'Data figures and table'!$D$5:$D$15</c:f>
              <c:numCache>
                <c:formatCode>"£"#,##0</c:formatCode>
                <c:ptCount val="11"/>
                <c:pt idx="0">
                  <c:v>29000</c:v>
                </c:pt>
                <c:pt idx="1">
                  <c:v>29000</c:v>
                </c:pt>
                <c:pt idx="2">
                  <c:v>29000</c:v>
                </c:pt>
                <c:pt idx="3">
                  <c:v>29000</c:v>
                </c:pt>
                <c:pt idx="4">
                  <c:v>29000</c:v>
                </c:pt>
                <c:pt idx="5">
                  <c:v>29000</c:v>
                </c:pt>
                <c:pt idx="6">
                  <c:v>29000</c:v>
                </c:pt>
                <c:pt idx="7">
                  <c:v>29000</c:v>
                </c:pt>
                <c:pt idx="8">
                  <c:v>29000</c:v>
                </c:pt>
                <c:pt idx="9">
                  <c:v>29000</c:v>
                </c:pt>
                <c:pt idx="10">
                  <c:v>29000</c:v>
                </c:pt>
              </c:numCache>
            </c:numRef>
          </c:yVal>
          <c:smooth val="0"/>
          <c:extLst>
            <c:ext xmlns:c16="http://schemas.microsoft.com/office/drawing/2014/chart" uri="{C3380CC4-5D6E-409C-BE32-E72D297353CC}">
              <c16:uniqueId val="{00000003-E8E4-481D-B841-B1E189D4F2A4}"/>
            </c:ext>
          </c:extLst>
        </c:ser>
        <c:ser>
          <c:idx val="3"/>
          <c:order val="3"/>
          <c:tx>
            <c:strRef>
              <c:f>'Data figures and table'!$E$4</c:f>
              <c:strCache>
                <c:ptCount val="1"/>
                <c:pt idx="0">
                  <c:v>Cummulative cost (NHS and ASC, £m)</c:v>
                </c:pt>
              </c:strCache>
            </c:strRef>
          </c:tx>
          <c:spPr>
            <a:ln w="19050" cap="rnd">
              <a:solidFill>
                <a:schemeClr val="accent1"/>
              </a:solidFill>
              <a:prstDash val="lgDash"/>
              <a:round/>
            </a:ln>
            <a:effectLst/>
          </c:spPr>
          <c:marker>
            <c:symbol val="none"/>
          </c:marker>
          <c:xVal>
            <c:numRef>
              <c:f>'Data figures and table'!$A$5:$A$15</c:f>
              <c:numCache>
                <c:formatCode>General</c:formatCode>
                <c:ptCount val="11"/>
                <c:pt idx="0">
                  <c:v>2026</c:v>
                </c:pt>
                <c:pt idx="1">
                  <c:v>2027</c:v>
                </c:pt>
                <c:pt idx="2">
                  <c:v>2028</c:v>
                </c:pt>
                <c:pt idx="3">
                  <c:v>2029</c:v>
                </c:pt>
                <c:pt idx="4">
                  <c:v>2030</c:v>
                </c:pt>
                <c:pt idx="5">
                  <c:v>2031</c:v>
                </c:pt>
                <c:pt idx="6">
                  <c:v>2032</c:v>
                </c:pt>
                <c:pt idx="7">
                  <c:v>2033</c:v>
                </c:pt>
                <c:pt idx="8">
                  <c:v>2034</c:v>
                </c:pt>
                <c:pt idx="9">
                  <c:v>2035</c:v>
                </c:pt>
                <c:pt idx="10">
                  <c:v>2036</c:v>
                </c:pt>
              </c:numCache>
            </c:numRef>
          </c:xVal>
          <c:yVal>
            <c:numRef>
              <c:f>'Data figures and table'!$E$5:$E$15</c:f>
              <c:numCache>
                <c:formatCode>"£"#,##0</c:formatCode>
                <c:ptCount val="11"/>
                <c:pt idx="0">
                  <c:v>610.99527386345312</c:v>
                </c:pt>
                <c:pt idx="1">
                  <c:v>1832.9858215903594</c:v>
                </c:pt>
                <c:pt idx="2">
                  <c:v>3665.9716431807192</c:v>
                </c:pt>
                <c:pt idx="3">
                  <c:v>6400.7106271730081</c:v>
                </c:pt>
                <c:pt idx="4">
                  <c:v>10037.202773567227</c:v>
                </c:pt>
                <c:pt idx="5">
                  <c:v>14950.806052922078</c:v>
                </c:pt>
                <c:pt idx="6">
                  <c:v>21141.520465237565</c:v>
                </c:pt>
                <c:pt idx="7">
                  <c:v>28609.346010513684</c:v>
                </c:pt>
                <c:pt idx="8">
                  <c:v>37354.282688750434</c:v>
                </c:pt>
                <c:pt idx="9">
                  <c:v>47376.33049994782</c:v>
                </c:pt>
                <c:pt idx="10">
                  <c:v>58675.489444105842</c:v>
                </c:pt>
              </c:numCache>
            </c:numRef>
          </c:yVal>
          <c:smooth val="0"/>
          <c:extLst>
            <c:ext xmlns:c16="http://schemas.microsoft.com/office/drawing/2014/chart" uri="{C3380CC4-5D6E-409C-BE32-E72D297353CC}">
              <c16:uniqueId val="{00000001-E02A-4E00-BF2E-774BEF651083}"/>
            </c:ext>
          </c:extLst>
        </c:ser>
        <c:dLbls>
          <c:showLegendKey val="0"/>
          <c:showVal val="0"/>
          <c:showCatName val="0"/>
          <c:showSerName val="0"/>
          <c:showPercent val="0"/>
          <c:showBubbleSize val="0"/>
        </c:dLbls>
        <c:axId val="1289616368"/>
        <c:axId val="1289613872"/>
      </c:scatterChart>
      <c:valAx>
        <c:axId val="1289616368"/>
        <c:scaling>
          <c:orientation val="minMax"/>
          <c:max val="2036"/>
          <c:min val="2026"/>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89613872"/>
        <c:crosses val="autoZero"/>
        <c:crossBetween val="midCat"/>
      </c:valAx>
      <c:valAx>
        <c:axId val="1289613872"/>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89616368"/>
        <c:crosses val="autoZero"/>
        <c:crossBetween val="midCat"/>
      </c:valAx>
      <c:spPr>
        <a:noFill/>
        <a:ln>
          <a:noFill/>
        </a:ln>
        <a:effectLst/>
      </c:spPr>
    </c:plotArea>
    <c:legend>
      <c:legendPos val="r"/>
      <c:layout>
        <c:manualLayout>
          <c:xMode val="edge"/>
          <c:yMode val="edge"/>
          <c:x val="0.14158949242859242"/>
          <c:y val="0.12375060193346879"/>
          <c:w val="0.43554522798711254"/>
          <c:h val="0.2929741781868042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94992199612445E-2"/>
          <c:y val="1.8830241664652671E-2"/>
          <c:w val="0.9148033005406726"/>
          <c:h val="0.87299669210479103"/>
        </c:manualLayout>
      </c:layout>
      <c:scatterChart>
        <c:scatterStyle val="lineMarker"/>
        <c:varyColors val="0"/>
        <c:ser>
          <c:idx val="0"/>
          <c:order val="0"/>
          <c:tx>
            <c:strRef>
              <c:f>'Data figures and table'!$B$18</c:f>
              <c:strCache>
                <c:ptCount val="1"/>
                <c:pt idx="0">
                  <c:v>Direct effect of additional English NHS costs</c:v>
                </c:pt>
              </c:strCache>
            </c:strRef>
          </c:tx>
          <c:spPr>
            <a:ln w="19050" cap="rnd">
              <a:solidFill>
                <a:schemeClr val="accent1"/>
              </a:solidFill>
              <a:prstDash val="lgDash"/>
              <a:round/>
            </a:ln>
            <a:effectLst/>
          </c:spPr>
          <c:marker>
            <c:symbol val="none"/>
          </c:marker>
          <c:xVal>
            <c:numRef>
              <c:f>'Data figures and table'!$A$19:$A$29</c:f>
              <c:numCache>
                <c:formatCode>General</c:formatCode>
                <c:ptCount val="11"/>
                <c:pt idx="0">
                  <c:v>2026</c:v>
                </c:pt>
                <c:pt idx="1">
                  <c:v>2027</c:v>
                </c:pt>
                <c:pt idx="2">
                  <c:v>2028</c:v>
                </c:pt>
                <c:pt idx="3">
                  <c:v>2029</c:v>
                </c:pt>
                <c:pt idx="4">
                  <c:v>2030</c:v>
                </c:pt>
                <c:pt idx="5">
                  <c:v>2031</c:v>
                </c:pt>
                <c:pt idx="6">
                  <c:v>2032</c:v>
                </c:pt>
                <c:pt idx="7">
                  <c:v>2033</c:v>
                </c:pt>
                <c:pt idx="8">
                  <c:v>2034</c:v>
                </c:pt>
                <c:pt idx="9">
                  <c:v>2035</c:v>
                </c:pt>
                <c:pt idx="10">
                  <c:v>2036</c:v>
                </c:pt>
              </c:numCache>
            </c:numRef>
          </c:xVal>
          <c:yVal>
            <c:numRef>
              <c:f>'Data figures and table'!$B$19:$B$29</c:f>
              <c:numCache>
                <c:formatCode>_-* #,##0_-;\-* #,##0_-;_-* "-"??_-;_-@_-</c:formatCode>
                <c:ptCount val="11"/>
                <c:pt idx="0">
                  <c:v>2797.7547115112316</c:v>
                </c:pt>
                <c:pt idx="1">
                  <c:v>8393.2641345336942</c:v>
                </c:pt>
                <c:pt idx="2">
                  <c:v>16786.528269067392</c:v>
                </c:pt>
                <c:pt idx="3">
                  <c:v>29308.930985602579</c:v>
                </c:pt>
                <c:pt idx="4">
                  <c:v>45960.47228413925</c:v>
                </c:pt>
                <c:pt idx="5">
                  <c:v>68459.920828784307</c:v>
                </c:pt>
                <c:pt idx="6">
                  <c:v>96807.276619537733</c:v>
                </c:pt>
                <c:pt idx="7">
                  <c:v>131002.53965639955</c:v>
                </c:pt>
                <c:pt idx="8">
                  <c:v>171045.70993936973</c:v>
                </c:pt>
                <c:pt idx="9">
                  <c:v>216936.78746844828</c:v>
                </c:pt>
                <c:pt idx="10">
                  <c:v>268675.77224363521</c:v>
                </c:pt>
              </c:numCache>
            </c:numRef>
          </c:yVal>
          <c:smooth val="0"/>
          <c:extLst>
            <c:ext xmlns:c16="http://schemas.microsoft.com/office/drawing/2014/chart" uri="{C3380CC4-5D6E-409C-BE32-E72D297353CC}">
              <c16:uniqueId val="{00000000-F677-41D8-87AE-8E8672AFCE65}"/>
            </c:ext>
          </c:extLst>
        </c:ser>
        <c:ser>
          <c:idx val="1"/>
          <c:order val="1"/>
          <c:tx>
            <c:strRef>
              <c:f>'Data figures and table'!$C$18</c:f>
              <c:strCache>
                <c:ptCount val="1"/>
                <c:pt idx="0">
                  <c:v>Including the indirect impact on social care costs</c:v>
                </c:pt>
              </c:strCache>
            </c:strRef>
          </c:tx>
          <c:spPr>
            <a:ln w="19050" cap="rnd">
              <a:solidFill>
                <a:schemeClr val="accent1"/>
              </a:solidFill>
              <a:prstDash val="dash"/>
              <a:round/>
            </a:ln>
            <a:effectLst/>
          </c:spPr>
          <c:marker>
            <c:symbol val="none"/>
          </c:marker>
          <c:xVal>
            <c:numRef>
              <c:f>'Data figures and table'!$A$19:$A$29</c:f>
              <c:numCache>
                <c:formatCode>General</c:formatCode>
                <c:ptCount val="11"/>
                <c:pt idx="0">
                  <c:v>2026</c:v>
                </c:pt>
                <c:pt idx="1">
                  <c:v>2027</c:v>
                </c:pt>
                <c:pt idx="2">
                  <c:v>2028</c:v>
                </c:pt>
                <c:pt idx="3">
                  <c:v>2029</c:v>
                </c:pt>
                <c:pt idx="4">
                  <c:v>2030</c:v>
                </c:pt>
                <c:pt idx="5">
                  <c:v>2031</c:v>
                </c:pt>
                <c:pt idx="6">
                  <c:v>2032</c:v>
                </c:pt>
                <c:pt idx="7">
                  <c:v>2033</c:v>
                </c:pt>
                <c:pt idx="8">
                  <c:v>2034</c:v>
                </c:pt>
                <c:pt idx="9">
                  <c:v>2035</c:v>
                </c:pt>
                <c:pt idx="10">
                  <c:v>2036</c:v>
                </c:pt>
              </c:numCache>
            </c:numRef>
          </c:xVal>
          <c:yVal>
            <c:numRef>
              <c:f>'Data figures and table'!$C$19:$C$29</c:f>
              <c:numCache>
                <c:formatCode>_-* #,##0_-;\-* #,##0_-;_-* "-"??_-;_-@_-</c:formatCode>
                <c:ptCount val="11"/>
                <c:pt idx="0">
                  <c:v>3558.9022156961819</c:v>
                </c:pt>
                <c:pt idx="1">
                  <c:v>10676.706647088546</c:v>
                </c:pt>
                <c:pt idx="2">
                  <c:v>21353.413294177095</c:v>
                </c:pt>
                <c:pt idx="3">
                  <c:v>37282.617734563595</c:v>
                </c:pt>
                <c:pt idx="4">
                  <c:v>58464.319968248048</c:v>
                </c:pt>
                <c:pt idx="5">
                  <c:v>87084.890938255354</c:v>
                </c:pt>
                <c:pt idx="6">
                  <c:v>123144.33064458551</c:v>
                </c:pt>
                <c:pt idx="7">
                  <c:v>166642.63908723852</c:v>
                </c:pt>
                <c:pt idx="8">
                  <c:v>217579.81626621439</c:v>
                </c:pt>
                <c:pt idx="9">
                  <c:v>275955.8621815131</c:v>
                </c:pt>
                <c:pt idx="10">
                  <c:v>341770.77683313465</c:v>
                </c:pt>
              </c:numCache>
            </c:numRef>
          </c:yVal>
          <c:smooth val="0"/>
          <c:extLst>
            <c:ext xmlns:c16="http://schemas.microsoft.com/office/drawing/2014/chart" uri="{C3380CC4-5D6E-409C-BE32-E72D297353CC}">
              <c16:uniqueId val="{00000001-F677-41D8-87AE-8E8672AFCE65}"/>
            </c:ext>
          </c:extLst>
        </c:ser>
        <c:ser>
          <c:idx val="2"/>
          <c:order val="2"/>
          <c:tx>
            <c:strRef>
              <c:f>'Data figures and table'!$D$18</c:f>
              <c:strCache>
                <c:ptCount val="1"/>
                <c:pt idx="0">
                  <c:v>Implied by DHSE values</c:v>
                </c:pt>
              </c:strCache>
            </c:strRef>
          </c:tx>
          <c:spPr>
            <a:ln w="19050" cap="rnd">
              <a:solidFill>
                <a:schemeClr val="accent1"/>
              </a:solidFill>
              <a:prstDash val="sysDash"/>
              <a:round/>
            </a:ln>
            <a:effectLst/>
          </c:spPr>
          <c:marker>
            <c:symbol val="none"/>
          </c:marker>
          <c:xVal>
            <c:numRef>
              <c:f>'Data figures and table'!$A$19:$A$29</c:f>
              <c:numCache>
                <c:formatCode>General</c:formatCode>
                <c:ptCount val="11"/>
                <c:pt idx="0">
                  <c:v>2026</c:v>
                </c:pt>
                <c:pt idx="1">
                  <c:v>2027</c:v>
                </c:pt>
                <c:pt idx="2">
                  <c:v>2028</c:v>
                </c:pt>
                <c:pt idx="3">
                  <c:v>2029</c:v>
                </c:pt>
                <c:pt idx="4">
                  <c:v>2030</c:v>
                </c:pt>
                <c:pt idx="5">
                  <c:v>2031</c:v>
                </c:pt>
                <c:pt idx="6">
                  <c:v>2032</c:v>
                </c:pt>
                <c:pt idx="7">
                  <c:v>2033</c:v>
                </c:pt>
                <c:pt idx="8">
                  <c:v>2034</c:v>
                </c:pt>
                <c:pt idx="9">
                  <c:v>2035</c:v>
                </c:pt>
                <c:pt idx="10">
                  <c:v>2036</c:v>
                </c:pt>
              </c:numCache>
            </c:numRef>
          </c:xVal>
          <c:yVal>
            <c:numRef>
              <c:f>'Data figures and table'!$D$19:$D$29</c:f>
              <c:numCache>
                <c:formatCode>_-* #,##0_-;\-* #,##0_-;_-* "-"??_-;_-@_-</c:formatCode>
                <c:ptCount val="11"/>
                <c:pt idx="0">
                  <c:v>1634.081889245778</c:v>
                </c:pt>
                <c:pt idx="1">
                  <c:v>4902.2456677373339</c:v>
                </c:pt>
                <c:pt idx="2">
                  <c:v>9804.4913354746677</c:v>
                </c:pt>
                <c:pt idx="3">
                  <c:v>17118.438982400159</c:v>
                </c:pt>
                <c:pt idx="4">
                  <c:v>26844.088608513805</c:v>
                </c:pt>
                <c:pt idx="5">
                  <c:v>39985.319765609172</c:v>
                </c:pt>
                <c:pt idx="6">
                  <c:v>56542.132453686259</c:v>
                </c:pt>
                <c:pt idx="7">
                  <c:v>76514.526672745065</c:v>
                </c:pt>
                <c:pt idx="8">
                  <c:v>99902.50242278559</c:v>
                </c:pt>
                <c:pt idx="9">
                  <c:v>126706.05970380784</c:v>
                </c:pt>
                <c:pt idx="10">
                  <c:v>156925.19851581182</c:v>
                </c:pt>
              </c:numCache>
            </c:numRef>
          </c:yVal>
          <c:smooth val="0"/>
          <c:extLst>
            <c:ext xmlns:c16="http://schemas.microsoft.com/office/drawing/2014/chart" uri="{C3380CC4-5D6E-409C-BE32-E72D297353CC}">
              <c16:uniqueId val="{00000002-F677-41D8-87AE-8E8672AFCE65}"/>
            </c:ext>
          </c:extLst>
        </c:ser>
        <c:ser>
          <c:idx val="3"/>
          <c:order val="3"/>
          <c:tx>
            <c:strRef>
              <c:f>'Data figures and table'!$E$18</c:f>
              <c:strCache>
                <c:ptCount val="1"/>
                <c:pt idx="0">
                  <c:v>Excess deaths March 2020 to June 2022 (England)</c:v>
                </c:pt>
              </c:strCache>
            </c:strRef>
          </c:tx>
          <c:spPr>
            <a:ln w="19050" cap="rnd">
              <a:solidFill>
                <a:schemeClr val="tx1"/>
              </a:solidFill>
              <a:prstDash val="sysDot"/>
              <a:round/>
            </a:ln>
            <a:effectLst/>
          </c:spPr>
          <c:marker>
            <c:symbol val="none"/>
          </c:marker>
          <c:xVal>
            <c:numRef>
              <c:f>'Data figures and table'!$A$19:$A$29</c:f>
              <c:numCache>
                <c:formatCode>General</c:formatCode>
                <c:ptCount val="11"/>
                <c:pt idx="0">
                  <c:v>2026</c:v>
                </c:pt>
                <c:pt idx="1">
                  <c:v>2027</c:v>
                </c:pt>
                <c:pt idx="2">
                  <c:v>2028</c:v>
                </c:pt>
                <c:pt idx="3">
                  <c:v>2029</c:v>
                </c:pt>
                <c:pt idx="4">
                  <c:v>2030</c:v>
                </c:pt>
                <c:pt idx="5">
                  <c:v>2031</c:v>
                </c:pt>
                <c:pt idx="6">
                  <c:v>2032</c:v>
                </c:pt>
                <c:pt idx="7">
                  <c:v>2033</c:v>
                </c:pt>
                <c:pt idx="8">
                  <c:v>2034</c:v>
                </c:pt>
                <c:pt idx="9">
                  <c:v>2035</c:v>
                </c:pt>
                <c:pt idx="10">
                  <c:v>2036</c:v>
                </c:pt>
              </c:numCache>
            </c:numRef>
          </c:xVal>
          <c:yVal>
            <c:numRef>
              <c:f>'Data figures and table'!$E$19:$E$29</c:f>
              <c:numCache>
                <c:formatCode>_-* #,##0_-;\-* #,##0_-;_-* "-"??_-;_-@_-</c:formatCode>
                <c:ptCount val="11"/>
                <c:pt idx="0">
                  <c:v>130439</c:v>
                </c:pt>
                <c:pt idx="1">
                  <c:v>130439</c:v>
                </c:pt>
                <c:pt idx="2">
                  <c:v>130439</c:v>
                </c:pt>
                <c:pt idx="3">
                  <c:v>130439</c:v>
                </c:pt>
                <c:pt idx="4">
                  <c:v>130439</c:v>
                </c:pt>
                <c:pt idx="5">
                  <c:v>130439</c:v>
                </c:pt>
                <c:pt idx="6">
                  <c:v>130439</c:v>
                </c:pt>
                <c:pt idx="7">
                  <c:v>130439</c:v>
                </c:pt>
                <c:pt idx="8">
                  <c:v>130439</c:v>
                </c:pt>
                <c:pt idx="9">
                  <c:v>130439</c:v>
                </c:pt>
                <c:pt idx="10">
                  <c:v>130439</c:v>
                </c:pt>
              </c:numCache>
            </c:numRef>
          </c:yVal>
          <c:smooth val="0"/>
          <c:extLst>
            <c:ext xmlns:c16="http://schemas.microsoft.com/office/drawing/2014/chart" uri="{C3380CC4-5D6E-409C-BE32-E72D297353CC}">
              <c16:uniqueId val="{00000003-F677-41D8-87AE-8E8672AFCE65}"/>
            </c:ext>
          </c:extLst>
        </c:ser>
        <c:dLbls>
          <c:showLegendKey val="0"/>
          <c:showVal val="0"/>
          <c:showCatName val="0"/>
          <c:showSerName val="0"/>
          <c:showPercent val="0"/>
          <c:showBubbleSize val="0"/>
        </c:dLbls>
        <c:axId val="1285621616"/>
        <c:axId val="1285612048"/>
      </c:scatterChart>
      <c:valAx>
        <c:axId val="1285621616"/>
        <c:scaling>
          <c:orientation val="minMax"/>
          <c:max val="2036"/>
          <c:min val="2026"/>
        </c:scaling>
        <c:delete val="0"/>
        <c:axPos val="b"/>
        <c:majorGridlines>
          <c:spPr>
            <a:ln w="9525" cap="flat" cmpd="sng" algn="ctr">
              <a:noFill/>
              <a:round/>
            </a:ln>
            <a:effectLst/>
          </c:spPr>
        </c:majorGridlines>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85612048"/>
        <c:crosses val="autoZero"/>
        <c:crossBetween val="midCat"/>
      </c:valAx>
      <c:valAx>
        <c:axId val="1285612048"/>
        <c:scaling>
          <c:orientation val="minMax"/>
          <c:max val="300000"/>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85621616"/>
        <c:crosses val="autoZero"/>
        <c:crossBetween val="midCat"/>
      </c:valAx>
      <c:spPr>
        <a:noFill/>
        <a:ln>
          <a:noFill/>
        </a:ln>
        <a:effectLst/>
      </c:spPr>
    </c:plotArea>
    <c:legend>
      <c:legendPos val="b"/>
      <c:layout>
        <c:manualLayout>
          <c:xMode val="edge"/>
          <c:yMode val="edge"/>
          <c:x val="0.14259765014333448"/>
          <c:y val="8.8040687819469526E-2"/>
          <c:w val="0.49747013439053384"/>
          <c:h val="0.3072993298377947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88"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1205" cy="607002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1205" cy="607002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1"/>
  <sheetViews>
    <sheetView tabSelected="1" workbookViewId="0">
      <selection activeCell="B7" sqref="B7"/>
    </sheetView>
  </sheetViews>
  <sheetFormatPr defaultRowHeight="14.4" x14ac:dyDescent="0.3"/>
  <cols>
    <col min="1" max="1" width="34.5546875" customWidth="1"/>
    <col min="2" max="2" width="16.21875" customWidth="1"/>
    <col min="3" max="3" width="10" bestFit="1" customWidth="1"/>
    <col min="6" max="6" width="11.44140625" bestFit="1" customWidth="1"/>
    <col min="7" max="7" width="13.44140625" customWidth="1"/>
    <col min="8" max="8" width="9" bestFit="1" customWidth="1"/>
    <col min="9" max="9" width="13.44140625" customWidth="1"/>
    <col min="12" max="12" width="11.33203125" customWidth="1"/>
    <col min="13" max="13" width="10.77734375" customWidth="1"/>
    <col min="14" max="14" width="13.33203125" customWidth="1"/>
  </cols>
  <sheetData>
    <row r="1" spans="1:14" x14ac:dyDescent="0.3">
      <c r="A1" s="14" t="s">
        <v>118</v>
      </c>
    </row>
    <row r="2" spans="1:14" x14ac:dyDescent="0.3">
      <c r="I2" s="87"/>
    </row>
    <row r="3" spans="1:14" x14ac:dyDescent="0.3">
      <c r="D3" s="88" t="s">
        <v>122</v>
      </c>
      <c r="E3" s="42"/>
    </row>
    <row r="4" spans="1:14" x14ac:dyDescent="0.3">
      <c r="A4" s="11" t="s">
        <v>50</v>
      </c>
      <c r="B4" s="89">
        <v>3037611</v>
      </c>
      <c r="C4" t="s">
        <v>10</v>
      </c>
      <c r="D4" s="68"/>
      <c r="E4" s="36"/>
      <c r="F4" s="75"/>
      <c r="G4" s="81" t="s">
        <v>87</v>
      </c>
      <c r="H4" s="82"/>
      <c r="I4" s="81" t="s">
        <v>88</v>
      </c>
      <c r="J4" s="82"/>
      <c r="K4" s="81" t="s">
        <v>104</v>
      </c>
      <c r="L4" s="82"/>
      <c r="M4" s="81" t="s">
        <v>106</v>
      </c>
      <c r="N4" s="75"/>
    </row>
    <row r="5" spans="1:14" x14ac:dyDescent="0.3">
      <c r="A5" t="s">
        <v>82</v>
      </c>
      <c r="B5" s="55">
        <v>1.4999999999999999E-2</v>
      </c>
      <c r="D5" s="69"/>
      <c r="E5" s="29"/>
      <c r="F5" s="70" t="s">
        <v>125</v>
      </c>
      <c r="G5" s="69" t="s">
        <v>85</v>
      </c>
      <c r="H5" s="70" t="s">
        <v>86</v>
      </c>
      <c r="I5" s="69" t="s">
        <v>85</v>
      </c>
      <c r="J5" s="70" t="s">
        <v>86</v>
      </c>
      <c r="K5" s="69" t="s">
        <v>85</v>
      </c>
      <c r="L5" s="70" t="s">
        <v>86</v>
      </c>
      <c r="M5" s="69" t="s">
        <v>85</v>
      </c>
      <c r="N5" s="70" t="s">
        <v>86</v>
      </c>
    </row>
    <row r="6" spans="1:14" x14ac:dyDescent="0.3">
      <c r="D6" s="69">
        <v>1</v>
      </c>
      <c r="E6" s="29">
        <v>2026</v>
      </c>
      <c r="F6" s="71">
        <f t="shared" ref="F6:F16" si="0">$B$4*(1+$B$5)^D6</f>
        <v>3083175.1649999996</v>
      </c>
      <c r="G6" s="76">
        <f>G8/D8</f>
        <v>668.14715675581101</v>
      </c>
      <c r="H6" s="71">
        <f>G6</f>
        <v>668.14715675581101</v>
      </c>
      <c r="I6" s="76">
        <f t="shared" ref="I6:I16" si="1">G6*$B$17</f>
        <v>546.60039195271281</v>
      </c>
      <c r="J6" s="71">
        <f>I6</f>
        <v>546.60039195271281</v>
      </c>
      <c r="K6" s="76">
        <f t="shared" ref="K6:K16" si="2">$B$27*I6</f>
        <v>64.394881910740338</v>
      </c>
      <c r="L6" s="71">
        <f t="shared" ref="L6:L16" si="3">$B$27*J6</f>
        <v>64.394881910740338</v>
      </c>
      <c r="M6" s="76">
        <f>K6+I6</f>
        <v>610.99527386345312</v>
      </c>
      <c r="N6" s="71">
        <f>M6</f>
        <v>610.99527386345312</v>
      </c>
    </row>
    <row r="7" spans="1:14" x14ac:dyDescent="0.3">
      <c r="A7" t="s">
        <v>81</v>
      </c>
      <c r="B7" t="s">
        <v>10</v>
      </c>
      <c r="D7" s="69">
        <v>2</v>
      </c>
      <c r="E7" s="29">
        <v>2027</v>
      </c>
      <c r="F7" s="71">
        <f t="shared" si="0"/>
        <v>3129422.7924749991</v>
      </c>
      <c r="G7" s="76">
        <f>G6*D7</f>
        <v>1336.294313511622</v>
      </c>
      <c r="H7" s="71">
        <f>H6+G7</f>
        <v>2004.441470267433</v>
      </c>
      <c r="I7" s="76">
        <f t="shared" si="1"/>
        <v>1093.2007839054256</v>
      </c>
      <c r="J7" s="71">
        <f>J6+I7</f>
        <v>1639.8011758581383</v>
      </c>
      <c r="K7" s="76">
        <f t="shared" si="2"/>
        <v>128.78976382148068</v>
      </c>
      <c r="L7" s="71">
        <f t="shared" si="3"/>
        <v>193.18464573222099</v>
      </c>
      <c r="M7" s="76">
        <f t="shared" ref="M7:M16" si="4">K7+I7</f>
        <v>1221.9905477269062</v>
      </c>
      <c r="N7" s="71">
        <f>N6+M7</f>
        <v>1832.9858215903594</v>
      </c>
    </row>
    <row r="8" spans="1:14" x14ac:dyDescent="0.3">
      <c r="A8" t="s">
        <v>91</v>
      </c>
      <c r="B8" s="38">
        <v>3.0000000000000001E-3</v>
      </c>
      <c r="D8" s="69">
        <v>3</v>
      </c>
      <c r="E8" s="29">
        <v>2028</v>
      </c>
      <c r="F8" s="71">
        <f t="shared" si="0"/>
        <v>3176364.1343621239</v>
      </c>
      <c r="G8" s="77">
        <f>(F8*$B$12)-$B$9</f>
        <v>2004.441470267433</v>
      </c>
      <c r="H8" s="78">
        <f t="shared" ref="H8:H16" si="5">H7+G8</f>
        <v>4008.8829405348661</v>
      </c>
      <c r="I8" s="77">
        <f t="shared" si="1"/>
        <v>1639.8011758581385</v>
      </c>
      <c r="J8" s="78">
        <f t="shared" ref="J8:J16" si="6">J7+I8</f>
        <v>3279.6023517162766</v>
      </c>
      <c r="K8" s="76">
        <f t="shared" si="2"/>
        <v>193.18464573222101</v>
      </c>
      <c r="L8" s="71">
        <f t="shared" si="3"/>
        <v>386.36929146444197</v>
      </c>
      <c r="M8" s="76">
        <f t="shared" si="4"/>
        <v>1832.9858215903596</v>
      </c>
      <c r="N8" s="71">
        <f t="shared" ref="N8:N16" si="7">N7+M8</f>
        <v>3665.9716431807192</v>
      </c>
    </row>
    <row r="9" spans="1:14" x14ac:dyDescent="0.3">
      <c r="A9" t="s">
        <v>92</v>
      </c>
      <c r="B9" s="1">
        <f>B8*B4</f>
        <v>9112.8330000000005</v>
      </c>
      <c r="D9" s="69">
        <v>4</v>
      </c>
      <c r="E9" s="29">
        <v>2029</v>
      </c>
      <c r="F9" s="71">
        <f t="shared" si="0"/>
        <v>3224009.5963775553</v>
      </c>
      <c r="G9" s="76">
        <f>G8+((G10-G8)/2)</f>
        <v>2990.5437157801525</v>
      </c>
      <c r="H9" s="71">
        <f t="shared" si="5"/>
        <v>6999.4266563150186</v>
      </c>
      <c r="I9" s="76">
        <f t="shared" si="1"/>
        <v>2446.5154878965768</v>
      </c>
      <c r="J9" s="71">
        <f t="shared" si="6"/>
        <v>5726.1178396128535</v>
      </c>
      <c r="K9" s="76">
        <f t="shared" si="2"/>
        <v>288.22349609571194</v>
      </c>
      <c r="L9" s="71">
        <f t="shared" si="3"/>
        <v>674.59278756015397</v>
      </c>
      <c r="M9" s="76">
        <f t="shared" si="4"/>
        <v>2734.7389839922889</v>
      </c>
      <c r="N9" s="71">
        <f t="shared" si="7"/>
        <v>6400.7106271730081</v>
      </c>
    </row>
    <row r="10" spans="1:14" x14ac:dyDescent="0.3">
      <c r="D10" s="69">
        <v>5</v>
      </c>
      <c r="E10" s="29">
        <v>2030</v>
      </c>
      <c r="F10" s="71">
        <f t="shared" si="0"/>
        <v>3272369.7403232181</v>
      </c>
      <c r="G10" s="76">
        <f>($B$13*F10)-$B$9</f>
        <v>3976.645961292872</v>
      </c>
      <c r="H10" s="71">
        <f t="shared" si="5"/>
        <v>10976.07261760789</v>
      </c>
      <c r="I10" s="76">
        <f t="shared" si="1"/>
        <v>3253.2297999350153</v>
      </c>
      <c r="J10" s="71">
        <f t="shared" si="6"/>
        <v>8979.3476395478683</v>
      </c>
      <c r="K10" s="76">
        <f t="shared" si="2"/>
        <v>383.26234645920289</v>
      </c>
      <c r="L10" s="71">
        <f t="shared" si="3"/>
        <v>1057.8551340193569</v>
      </c>
      <c r="M10" s="76">
        <f t="shared" si="4"/>
        <v>3636.4921463942183</v>
      </c>
      <c r="N10" s="71">
        <f t="shared" si="7"/>
        <v>10037.202773567227</v>
      </c>
    </row>
    <row r="11" spans="1:14" x14ac:dyDescent="0.3">
      <c r="A11" t="s">
        <v>93</v>
      </c>
      <c r="B11" t="s">
        <v>95</v>
      </c>
      <c r="D11" s="69">
        <v>6</v>
      </c>
      <c r="E11" s="29">
        <v>2031</v>
      </c>
      <c r="F11" s="71">
        <f t="shared" si="0"/>
        <v>3321455.2864280655</v>
      </c>
      <c r="G11" s="76">
        <f>G10+($G$16-$G$10)/6</f>
        <v>5373.216784096875</v>
      </c>
      <c r="H11" s="71">
        <f t="shared" si="5"/>
        <v>16349.289401704766</v>
      </c>
      <c r="I11" s="76">
        <f t="shared" si="1"/>
        <v>4395.7418220484005</v>
      </c>
      <c r="J11" s="71">
        <f t="shared" si="6"/>
        <v>13375.089461596268</v>
      </c>
      <c r="K11" s="76">
        <f t="shared" si="2"/>
        <v>517.86145730645126</v>
      </c>
      <c r="L11" s="71">
        <f t="shared" si="3"/>
        <v>1575.7165913258079</v>
      </c>
      <c r="M11" s="76">
        <f t="shared" si="4"/>
        <v>4913.603279354852</v>
      </c>
      <c r="N11" s="71">
        <f t="shared" si="7"/>
        <v>14950.806052922078</v>
      </c>
    </row>
    <row r="12" spans="1:14" x14ac:dyDescent="0.3">
      <c r="A12">
        <v>2028</v>
      </c>
      <c r="B12" s="38">
        <v>3.5000000000000001E-3</v>
      </c>
      <c r="D12" s="69">
        <v>7</v>
      </c>
      <c r="E12" s="29">
        <v>2032</v>
      </c>
      <c r="F12" s="71">
        <f t="shared" si="0"/>
        <v>3371277.1157244863</v>
      </c>
      <c r="G12" s="76">
        <f>G11+($G$16-$G$10)/6</f>
        <v>6769.787606900878</v>
      </c>
      <c r="H12" s="71">
        <f t="shared" si="5"/>
        <v>23119.077008605644</v>
      </c>
      <c r="I12" s="76">
        <f t="shared" si="1"/>
        <v>5538.2538441617862</v>
      </c>
      <c r="J12" s="71">
        <f t="shared" si="6"/>
        <v>18913.343305758055</v>
      </c>
      <c r="K12" s="76">
        <f t="shared" si="2"/>
        <v>652.46056815369968</v>
      </c>
      <c r="L12" s="71">
        <f t="shared" si="3"/>
        <v>2228.1771594795077</v>
      </c>
      <c r="M12" s="76">
        <f t="shared" si="4"/>
        <v>6190.7144123154858</v>
      </c>
      <c r="N12" s="71">
        <f t="shared" si="7"/>
        <v>21141.520465237565</v>
      </c>
    </row>
    <row r="13" spans="1:14" x14ac:dyDescent="0.3">
      <c r="A13">
        <v>2030</v>
      </c>
      <c r="B13" s="38">
        <v>4.0000000000000001E-3</v>
      </c>
      <c r="D13" s="69">
        <v>8</v>
      </c>
      <c r="E13" s="29">
        <v>2033</v>
      </c>
      <c r="F13" s="71">
        <f t="shared" si="0"/>
        <v>3421846.2724603531</v>
      </c>
      <c r="G13" s="76">
        <f>G12+($G$16-$G$10)/6</f>
        <v>8166.358429704881</v>
      </c>
      <c r="H13" s="71">
        <f t="shared" si="5"/>
        <v>31285.435438310524</v>
      </c>
      <c r="I13" s="76">
        <f t="shared" si="1"/>
        <v>6680.7658662751719</v>
      </c>
      <c r="J13" s="71">
        <f t="shared" si="6"/>
        <v>25594.109172033226</v>
      </c>
      <c r="K13" s="76">
        <f t="shared" si="2"/>
        <v>787.05967900094811</v>
      </c>
      <c r="L13" s="71">
        <f t="shared" si="3"/>
        <v>3015.2368384804558</v>
      </c>
      <c r="M13" s="76">
        <f t="shared" si="4"/>
        <v>7467.8255452761205</v>
      </c>
      <c r="N13" s="71">
        <f t="shared" si="7"/>
        <v>28609.346010513684</v>
      </c>
    </row>
    <row r="14" spans="1:14" x14ac:dyDescent="0.3">
      <c r="A14">
        <v>2036</v>
      </c>
      <c r="B14" s="38">
        <v>6.0000000000000001E-3</v>
      </c>
      <c r="D14" s="69">
        <v>9</v>
      </c>
      <c r="E14" s="29">
        <v>2034</v>
      </c>
      <c r="F14" s="71">
        <f t="shared" si="0"/>
        <v>3473173.9665472582</v>
      </c>
      <c r="G14" s="76">
        <f>G13+($G$16-$G$10)/6</f>
        <v>9562.929252508884</v>
      </c>
      <c r="H14" s="71">
        <f t="shared" si="5"/>
        <v>40848.364690819406</v>
      </c>
      <c r="I14" s="76">
        <f t="shared" si="1"/>
        <v>7823.2778883885576</v>
      </c>
      <c r="J14" s="71">
        <f t="shared" si="6"/>
        <v>33417.387060421781</v>
      </c>
      <c r="K14" s="76">
        <f t="shared" si="2"/>
        <v>921.65878984819653</v>
      </c>
      <c r="L14" s="71">
        <f t="shared" si="3"/>
        <v>3936.895628328652</v>
      </c>
      <c r="M14" s="76">
        <f t="shared" si="4"/>
        <v>8744.9366782367542</v>
      </c>
      <c r="N14" s="71">
        <f t="shared" si="7"/>
        <v>37354.282688750434</v>
      </c>
    </row>
    <row r="15" spans="1:14" x14ac:dyDescent="0.3">
      <c r="D15" s="69">
        <v>10</v>
      </c>
      <c r="E15" s="29">
        <v>2035</v>
      </c>
      <c r="F15" s="71">
        <f t="shared" si="0"/>
        <v>3525271.5760454666</v>
      </c>
      <c r="G15" s="76">
        <f>G14+($G$16-$G$10)/6</f>
        <v>10959.500075312886</v>
      </c>
      <c r="H15" s="71">
        <f t="shared" si="5"/>
        <v>51807.86476613229</v>
      </c>
      <c r="I15" s="76">
        <f t="shared" si="1"/>
        <v>8965.7899105019424</v>
      </c>
      <c r="J15" s="71">
        <f t="shared" si="6"/>
        <v>42383.176970923727</v>
      </c>
      <c r="K15" s="76">
        <f t="shared" si="2"/>
        <v>1056.2579006954447</v>
      </c>
      <c r="L15" s="71">
        <f t="shared" si="3"/>
        <v>4993.1535290240972</v>
      </c>
      <c r="M15" s="76">
        <f t="shared" si="4"/>
        <v>10022.047811197386</v>
      </c>
      <c r="N15" s="71">
        <f t="shared" si="7"/>
        <v>47376.33049994782</v>
      </c>
    </row>
    <row r="16" spans="1:14" x14ac:dyDescent="0.3">
      <c r="A16" s="14" t="s">
        <v>94</v>
      </c>
      <c r="D16" s="72">
        <v>11</v>
      </c>
      <c r="E16" s="73">
        <v>2036</v>
      </c>
      <c r="F16" s="74">
        <f t="shared" si="0"/>
        <v>3578150.6496861479</v>
      </c>
      <c r="G16" s="85">
        <f>(F16*$B$14)-$B$9</f>
        <v>12356.070898116888</v>
      </c>
      <c r="H16" s="86">
        <f t="shared" si="5"/>
        <v>64163.935664249177</v>
      </c>
      <c r="I16" s="85">
        <f t="shared" si="1"/>
        <v>10108.301932615326</v>
      </c>
      <c r="J16" s="86">
        <f t="shared" si="6"/>
        <v>52491.478903539057</v>
      </c>
      <c r="K16" s="79">
        <f t="shared" si="2"/>
        <v>1190.857011542693</v>
      </c>
      <c r="L16" s="74">
        <f t="shared" si="3"/>
        <v>6184.010540566791</v>
      </c>
      <c r="M16" s="79">
        <f t="shared" si="4"/>
        <v>11299.15894415802</v>
      </c>
      <c r="N16" s="74">
        <f t="shared" si="7"/>
        <v>58675.489444105842</v>
      </c>
    </row>
    <row r="17" spans="1:14" x14ac:dyDescent="0.3">
      <c r="A17" t="s">
        <v>90</v>
      </c>
      <c r="B17" s="37">
        <f>'Costs to other nations'!B7</f>
        <v>0.81808384040236204</v>
      </c>
    </row>
    <row r="18" spans="1:14" x14ac:dyDescent="0.3">
      <c r="A18" t="s">
        <v>89</v>
      </c>
      <c r="B18" s="3">
        <f>H31-J31</f>
        <v>8703.3008076767655</v>
      </c>
      <c r="D18" s="88" t="s">
        <v>123</v>
      </c>
    </row>
    <row r="19" spans="1:14" x14ac:dyDescent="0.3">
      <c r="A19" s="19" t="s">
        <v>96</v>
      </c>
      <c r="B19" s="3">
        <f>H16-J16</f>
        <v>11672.45676071012</v>
      </c>
      <c r="D19" s="12"/>
      <c r="E19" s="61"/>
      <c r="F19" s="20"/>
      <c r="G19" s="16" t="s">
        <v>87</v>
      </c>
      <c r="H19" s="52"/>
      <c r="I19" s="16" t="s">
        <v>88</v>
      </c>
      <c r="J19" s="52"/>
      <c r="K19" s="16" t="s">
        <v>104</v>
      </c>
      <c r="L19" s="52"/>
      <c r="M19" s="83" t="s">
        <v>105</v>
      </c>
      <c r="N19" s="84"/>
    </row>
    <row r="20" spans="1:14" x14ac:dyDescent="0.3">
      <c r="D20" s="7"/>
      <c r="E20" s="6"/>
      <c r="F20" s="48" t="s">
        <v>125</v>
      </c>
      <c r="G20" s="7" t="s">
        <v>85</v>
      </c>
      <c r="H20" s="9" t="s">
        <v>86</v>
      </c>
      <c r="I20" s="7" t="s">
        <v>85</v>
      </c>
      <c r="J20" s="9" t="s">
        <v>86</v>
      </c>
      <c r="K20" s="7" t="s">
        <v>85</v>
      </c>
      <c r="L20" s="9" t="s">
        <v>86</v>
      </c>
      <c r="M20" s="33" t="s">
        <v>85</v>
      </c>
      <c r="N20" s="48" t="s">
        <v>86</v>
      </c>
    </row>
    <row r="21" spans="1:14" x14ac:dyDescent="0.3">
      <c r="A21" s="18" t="s">
        <v>102</v>
      </c>
      <c r="B21" s="6"/>
      <c r="C21" s="6"/>
      <c r="D21" s="7">
        <v>1</v>
      </c>
      <c r="E21" s="6">
        <v>2026</v>
      </c>
      <c r="F21" s="4">
        <f t="shared" ref="F21:F31" si="8">$B$4</f>
        <v>3037611</v>
      </c>
      <c r="G21" s="66">
        <f>G23/D23</f>
        <v>506.26850000000013</v>
      </c>
      <c r="H21" s="8">
        <f>G21</f>
        <v>506.26850000000013</v>
      </c>
      <c r="I21" s="66">
        <f t="shared" ref="I21:I31" si="9">G21*$B$17</f>
        <v>414.17007875474332</v>
      </c>
      <c r="J21" s="8">
        <f>I21</f>
        <v>414.17007875474332</v>
      </c>
      <c r="K21" s="66">
        <f t="shared" ref="K21:K31" si="10">$B$27*I21</f>
        <v>48.793293427936327</v>
      </c>
      <c r="L21" s="8">
        <f t="shared" ref="L21:L31" si="11">$B$27*J21</f>
        <v>48.793293427936327</v>
      </c>
      <c r="M21" s="62">
        <f>K21+I21</f>
        <v>462.96337218267962</v>
      </c>
      <c r="N21" s="63">
        <f>M21</f>
        <v>462.96337218267962</v>
      </c>
    </row>
    <row r="22" spans="1:14" x14ac:dyDescent="0.3">
      <c r="A22" s="6" t="s">
        <v>103</v>
      </c>
      <c r="B22" s="4">
        <v>182175</v>
      </c>
      <c r="C22" s="6"/>
      <c r="D22" s="7">
        <v>2</v>
      </c>
      <c r="E22" s="6">
        <v>2027</v>
      </c>
      <c r="F22" s="4">
        <f t="shared" si="8"/>
        <v>3037611</v>
      </c>
      <c r="G22" s="66">
        <f>G21*D22</f>
        <v>1012.5370000000003</v>
      </c>
      <c r="H22" s="8">
        <f>H21+G22</f>
        <v>1518.8055000000004</v>
      </c>
      <c r="I22" s="66">
        <f t="shared" si="9"/>
        <v>828.34015750948663</v>
      </c>
      <c r="J22" s="8">
        <f>J21+I22</f>
        <v>1242.5102362642299</v>
      </c>
      <c r="K22" s="66">
        <f t="shared" si="10"/>
        <v>97.586586855872653</v>
      </c>
      <c r="L22" s="8">
        <f t="shared" si="11"/>
        <v>146.37988028380897</v>
      </c>
      <c r="M22" s="62">
        <f t="shared" ref="M22:M31" si="12">K22+I22</f>
        <v>925.92674436535924</v>
      </c>
      <c r="N22" s="63">
        <f>N21+M22</f>
        <v>1388.8901165480388</v>
      </c>
    </row>
    <row r="23" spans="1:14" x14ac:dyDescent="0.3">
      <c r="A23" s="6" t="s">
        <v>97</v>
      </c>
      <c r="B23" s="57">
        <v>29400</v>
      </c>
      <c r="C23" s="6"/>
      <c r="D23" s="7">
        <v>3</v>
      </c>
      <c r="E23" s="6">
        <v>2028</v>
      </c>
      <c r="F23" s="4">
        <f t="shared" si="8"/>
        <v>3037611</v>
      </c>
      <c r="G23" s="66">
        <f>(F23*$B$12)-$B$9</f>
        <v>1518.8055000000004</v>
      </c>
      <c r="H23" s="8">
        <f t="shared" ref="H23:J31" si="13">H22+G23</f>
        <v>3037.6110000000008</v>
      </c>
      <c r="I23" s="66">
        <f t="shared" si="9"/>
        <v>1242.5102362642299</v>
      </c>
      <c r="J23" s="8">
        <f t="shared" si="13"/>
        <v>2485.0204725284598</v>
      </c>
      <c r="K23" s="66">
        <f t="shared" si="10"/>
        <v>146.37988028380897</v>
      </c>
      <c r="L23" s="8">
        <f t="shared" si="11"/>
        <v>292.75976056761795</v>
      </c>
      <c r="M23" s="62">
        <f t="shared" si="12"/>
        <v>1388.8901165480388</v>
      </c>
      <c r="N23" s="63">
        <f t="shared" ref="N23:N31" si="14">N22+M23</f>
        <v>2777.7802330960776</v>
      </c>
    </row>
    <row r="24" spans="1:14" x14ac:dyDescent="0.3">
      <c r="A24" s="6" t="s">
        <v>98</v>
      </c>
      <c r="B24" s="58">
        <v>7.2999999999999995E-2</v>
      </c>
      <c r="C24" s="6"/>
      <c r="D24" s="7">
        <v>4</v>
      </c>
      <c r="E24" s="6">
        <v>2029</v>
      </c>
      <c r="F24" s="4">
        <f t="shared" si="8"/>
        <v>3037611</v>
      </c>
      <c r="G24" s="66">
        <f>G23+((G25-G23)/2)</f>
        <v>2278.2082499999997</v>
      </c>
      <c r="H24" s="8">
        <f t="shared" si="13"/>
        <v>5315.8192500000005</v>
      </c>
      <c r="I24" s="66">
        <f t="shared" si="9"/>
        <v>1863.7653543963443</v>
      </c>
      <c r="J24" s="8">
        <f t="shared" si="13"/>
        <v>4348.7858269248045</v>
      </c>
      <c r="K24" s="66">
        <f t="shared" si="10"/>
        <v>219.56982042571337</v>
      </c>
      <c r="L24" s="8">
        <f t="shared" si="11"/>
        <v>512.32958099333132</v>
      </c>
      <c r="M24" s="62">
        <f t="shared" si="12"/>
        <v>2083.3351748220575</v>
      </c>
      <c r="N24" s="63">
        <f t="shared" si="14"/>
        <v>4861.1154079181351</v>
      </c>
    </row>
    <row r="25" spans="1:14" x14ac:dyDescent="0.3">
      <c r="A25" s="6" t="s">
        <v>99</v>
      </c>
      <c r="B25" s="57">
        <f>B22*0.1</f>
        <v>18217.5</v>
      </c>
      <c r="C25" s="6"/>
      <c r="D25" s="7">
        <v>5</v>
      </c>
      <c r="E25" s="6">
        <v>2030</v>
      </c>
      <c r="F25" s="4">
        <f t="shared" si="8"/>
        <v>3037611</v>
      </c>
      <c r="G25" s="66">
        <f>($B$13*F25)-$B$9</f>
        <v>3037.610999999999</v>
      </c>
      <c r="H25" s="8">
        <f t="shared" si="13"/>
        <v>8353.4302499999994</v>
      </c>
      <c r="I25" s="66">
        <f t="shared" si="9"/>
        <v>2485.0204725284584</v>
      </c>
      <c r="J25" s="8">
        <f t="shared" si="13"/>
        <v>6833.8062994532629</v>
      </c>
      <c r="K25" s="66">
        <f t="shared" si="10"/>
        <v>292.75976056761777</v>
      </c>
      <c r="L25" s="8">
        <f t="shared" si="11"/>
        <v>805.08934156094915</v>
      </c>
      <c r="M25" s="62">
        <f t="shared" si="12"/>
        <v>2777.7802330960762</v>
      </c>
      <c r="N25" s="63">
        <f t="shared" si="14"/>
        <v>7638.8956410142109</v>
      </c>
    </row>
    <row r="26" spans="1:14" x14ac:dyDescent="0.3">
      <c r="A26" s="6" t="s">
        <v>100</v>
      </c>
      <c r="B26" s="57">
        <f>B23*B24</f>
        <v>2146.1999999999998</v>
      </c>
      <c r="C26" s="6"/>
      <c r="D26" s="7">
        <v>6</v>
      </c>
      <c r="E26" s="6">
        <v>2031</v>
      </c>
      <c r="F26" s="4">
        <f t="shared" si="8"/>
        <v>3037611</v>
      </c>
      <c r="G26" s="66">
        <f>G25+($G$31-$G$25)/6</f>
        <v>4050.1479999999992</v>
      </c>
      <c r="H26" s="8">
        <f t="shared" si="13"/>
        <v>12403.578249999999</v>
      </c>
      <c r="I26" s="66">
        <f t="shared" si="9"/>
        <v>3313.3606300379452</v>
      </c>
      <c r="J26" s="8">
        <f t="shared" si="13"/>
        <v>10147.166929491208</v>
      </c>
      <c r="K26" s="66">
        <f t="shared" si="10"/>
        <v>390.34634742349044</v>
      </c>
      <c r="L26" s="8">
        <f t="shared" si="11"/>
        <v>1195.4356889844396</v>
      </c>
      <c r="M26" s="62">
        <f t="shared" si="12"/>
        <v>3703.7069774614356</v>
      </c>
      <c r="N26" s="63">
        <f t="shared" si="14"/>
        <v>11342.602618475647</v>
      </c>
    </row>
    <row r="27" spans="1:14" x14ac:dyDescent="0.3">
      <c r="A27" s="6" t="s">
        <v>101</v>
      </c>
      <c r="B27" s="59">
        <f>B26/B25</f>
        <v>0.11780979827089336</v>
      </c>
      <c r="C27" s="6"/>
      <c r="D27" s="7">
        <v>7</v>
      </c>
      <c r="E27" s="6">
        <v>2032</v>
      </c>
      <c r="F27" s="4">
        <f t="shared" si="8"/>
        <v>3037611</v>
      </c>
      <c r="G27" s="66">
        <f>G26+($G$31-$G$25)/6</f>
        <v>5062.6849999999995</v>
      </c>
      <c r="H27" s="8">
        <f t="shared" si="13"/>
        <v>17466.263249999996</v>
      </c>
      <c r="I27" s="66">
        <f t="shared" si="9"/>
        <v>4141.7007875474319</v>
      </c>
      <c r="J27" s="8">
        <f t="shared" si="13"/>
        <v>14288.86771703864</v>
      </c>
      <c r="K27" s="66">
        <f t="shared" si="10"/>
        <v>487.93293427936311</v>
      </c>
      <c r="L27" s="8">
        <f t="shared" si="11"/>
        <v>1683.3686232638026</v>
      </c>
      <c r="M27" s="62">
        <f t="shared" si="12"/>
        <v>4629.6337218267954</v>
      </c>
      <c r="N27" s="63">
        <f t="shared" si="14"/>
        <v>15972.236340302443</v>
      </c>
    </row>
    <row r="28" spans="1:14" x14ac:dyDescent="0.3">
      <c r="A28" s="33" t="s">
        <v>107</v>
      </c>
      <c r="B28" s="4">
        <f>1000*B27</f>
        <v>117.80979827089335</v>
      </c>
      <c r="C28" s="6"/>
      <c r="D28" s="7">
        <v>8</v>
      </c>
      <c r="E28" s="6">
        <v>2033</v>
      </c>
      <c r="F28" s="4">
        <f t="shared" si="8"/>
        <v>3037611</v>
      </c>
      <c r="G28" s="66">
        <f>G27+($G$31-$G$25)/6</f>
        <v>6075.2219999999998</v>
      </c>
      <c r="H28" s="8">
        <f t="shared" si="13"/>
        <v>23541.485249999998</v>
      </c>
      <c r="I28" s="66">
        <f t="shared" si="9"/>
        <v>4970.0409450569186</v>
      </c>
      <c r="J28" s="8">
        <f t="shared" si="13"/>
        <v>19258.908662095557</v>
      </c>
      <c r="K28" s="66">
        <f t="shared" si="10"/>
        <v>585.51952113523578</v>
      </c>
      <c r="L28" s="8">
        <f t="shared" si="11"/>
        <v>2268.8881443990381</v>
      </c>
      <c r="M28" s="62">
        <f t="shared" si="12"/>
        <v>5555.5604661921543</v>
      </c>
      <c r="N28" s="63">
        <f t="shared" si="14"/>
        <v>21527.796806494596</v>
      </c>
    </row>
    <row r="29" spans="1:14" x14ac:dyDescent="0.3">
      <c r="A29" s="6"/>
      <c r="C29" s="60"/>
      <c r="D29" s="7">
        <v>9</v>
      </c>
      <c r="E29" s="6">
        <v>2034</v>
      </c>
      <c r="F29" s="4">
        <f t="shared" si="8"/>
        <v>3037611</v>
      </c>
      <c r="G29" s="66">
        <f>G28+($G$31-$G$25)/6</f>
        <v>7087.759</v>
      </c>
      <c r="H29" s="8">
        <f t="shared" si="13"/>
        <v>30629.244249999996</v>
      </c>
      <c r="I29" s="66">
        <f t="shared" si="9"/>
        <v>5798.3811025664054</v>
      </c>
      <c r="J29" s="8">
        <f t="shared" si="13"/>
        <v>25057.28976466196</v>
      </c>
      <c r="K29" s="66">
        <f t="shared" si="10"/>
        <v>683.10610799110839</v>
      </c>
      <c r="L29" s="8">
        <f t="shared" si="11"/>
        <v>2951.9942523901464</v>
      </c>
      <c r="M29" s="62">
        <f t="shared" si="12"/>
        <v>6481.4872105575141</v>
      </c>
      <c r="N29" s="63">
        <f t="shared" si="14"/>
        <v>28009.284017052109</v>
      </c>
    </row>
    <row r="30" spans="1:14" x14ac:dyDescent="0.3">
      <c r="D30" s="7">
        <v>10</v>
      </c>
      <c r="E30" s="6">
        <v>2035</v>
      </c>
      <c r="F30" s="4">
        <f t="shared" si="8"/>
        <v>3037611</v>
      </c>
      <c r="G30" s="66">
        <f>G29+($G$31-$G$25)/6</f>
        <v>8100.2960000000003</v>
      </c>
      <c r="H30" s="8">
        <f t="shared" si="13"/>
        <v>38729.540249999998</v>
      </c>
      <c r="I30" s="66">
        <f t="shared" si="9"/>
        <v>6626.7212600758921</v>
      </c>
      <c r="J30" s="8">
        <f t="shared" si="13"/>
        <v>31684.011024737854</v>
      </c>
      <c r="K30" s="66">
        <f t="shared" si="10"/>
        <v>780.69269484698111</v>
      </c>
      <c r="L30" s="8">
        <f t="shared" si="11"/>
        <v>3732.6869472371277</v>
      </c>
      <c r="M30" s="62">
        <f t="shared" si="12"/>
        <v>7407.413954922873</v>
      </c>
      <c r="N30" s="63">
        <f t="shared" si="14"/>
        <v>35416.69797197498</v>
      </c>
    </row>
    <row r="31" spans="1:14" x14ac:dyDescent="0.3">
      <c r="D31" s="5">
        <v>11</v>
      </c>
      <c r="E31" s="42">
        <v>2036</v>
      </c>
      <c r="F31" s="24">
        <f t="shared" si="8"/>
        <v>3037611</v>
      </c>
      <c r="G31" s="67">
        <f>(F31*$B$14)-$B$9</f>
        <v>9112.8330000000005</v>
      </c>
      <c r="H31" s="27">
        <f t="shared" si="13"/>
        <v>47842.373249999997</v>
      </c>
      <c r="I31" s="67">
        <f t="shared" si="9"/>
        <v>7455.0614175853789</v>
      </c>
      <c r="J31" s="27">
        <f t="shared" si="13"/>
        <v>39139.072442323231</v>
      </c>
      <c r="K31" s="67">
        <f t="shared" si="10"/>
        <v>878.27928170285372</v>
      </c>
      <c r="L31" s="27">
        <f t="shared" si="11"/>
        <v>4610.9662289399812</v>
      </c>
      <c r="M31" s="64">
        <f t="shared" si="12"/>
        <v>8333.3406992882319</v>
      </c>
      <c r="N31" s="65">
        <f t="shared" si="14"/>
        <v>43750.03867126321</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7"/>
  <sheetViews>
    <sheetView workbookViewId="0">
      <selection activeCell="A7" sqref="A7:B7"/>
    </sheetView>
  </sheetViews>
  <sheetFormatPr defaultRowHeight="14.4" x14ac:dyDescent="0.3"/>
  <cols>
    <col min="1" max="1" width="30.77734375" customWidth="1"/>
    <col min="2" max="2" width="19.44140625" customWidth="1"/>
    <col min="3" max="3" width="32.44140625" customWidth="1"/>
    <col min="4" max="4" width="21.33203125" customWidth="1"/>
    <col min="5" max="5" width="12" customWidth="1"/>
  </cols>
  <sheetData>
    <row r="1" spans="1:10" x14ac:dyDescent="0.3">
      <c r="A1" s="14" t="s">
        <v>129</v>
      </c>
    </row>
    <row r="3" spans="1:10" x14ac:dyDescent="0.3">
      <c r="A3" s="6" t="s">
        <v>127</v>
      </c>
      <c r="B3" s="62">
        <v>182175</v>
      </c>
      <c r="C3" s="6"/>
      <c r="D3" s="6"/>
      <c r="E3" s="6"/>
      <c r="F3" s="6"/>
      <c r="G3" s="6"/>
      <c r="H3" s="6"/>
    </row>
    <row r="4" spans="1:10" x14ac:dyDescent="0.3">
      <c r="A4" s="6" t="s">
        <v>58</v>
      </c>
      <c r="B4" s="4">
        <f>B3+B5</f>
        <v>222685</v>
      </c>
      <c r="H4" s="6"/>
    </row>
    <row r="5" spans="1:10" x14ac:dyDescent="0.3">
      <c r="A5" s="6" t="s">
        <v>128</v>
      </c>
      <c r="B5" s="4">
        <f>B13+B19+B25</f>
        <v>40510</v>
      </c>
      <c r="C5" s="14"/>
      <c r="I5" s="14"/>
      <c r="J5" s="6"/>
    </row>
    <row r="6" spans="1:10" x14ac:dyDescent="0.3">
      <c r="A6" s="6" t="s">
        <v>69</v>
      </c>
      <c r="B6" s="60">
        <f>B5/B4</f>
        <v>0.18191615959763791</v>
      </c>
      <c r="C6" s="2"/>
      <c r="H6" s="4"/>
      <c r="I6" s="3"/>
      <c r="J6" s="3"/>
    </row>
    <row r="7" spans="1:10" x14ac:dyDescent="0.3">
      <c r="A7" s="18" t="s">
        <v>70</v>
      </c>
      <c r="B7" s="47">
        <f>B3/B4</f>
        <v>0.81808384040236204</v>
      </c>
      <c r="C7" s="2"/>
      <c r="H7" s="4"/>
      <c r="I7" s="3"/>
      <c r="J7" s="3"/>
    </row>
    <row r="8" spans="1:10" x14ac:dyDescent="0.3">
      <c r="A8" s="6"/>
      <c r="B8" s="6"/>
      <c r="C8" s="2"/>
      <c r="H8" s="4"/>
      <c r="I8" s="3"/>
      <c r="J8" s="3"/>
    </row>
    <row r="9" spans="1:10" x14ac:dyDescent="0.3">
      <c r="A9" s="6" t="s">
        <v>131</v>
      </c>
      <c r="B9" s="4">
        <f>B15+B21+B27</f>
        <v>445.72484677114704</v>
      </c>
      <c r="C9" s="2"/>
      <c r="H9" s="4"/>
      <c r="I9" s="3"/>
      <c r="J9" s="3"/>
    </row>
    <row r="10" spans="1:10" x14ac:dyDescent="0.3">
      <c r="A10" s="6" t="s">
        <v>130</v>
      </c>
      <c r="B10" s="4">
        <f>B16+B22+B28</f>
        <v>13679.342165976148</v>
      </c>
      <c r="C10" s="2"/>
      <c r="H10" s="4"/>
      <c r="I10" s="3"/>
      <c r="J10" s="3"/>
    </row>
    <row r="11" spans="1:10" x14ac:dyDescent="0.3">
      <c r="A11" s="6" t="s">
        <v>10</v>
      </c>
      <c r="B11" s="6"/>
      <c r="C11" s="2"/>
      <c r="H11" s="4"/>
      <c r="I11" s="3"/>
      <c r="J11" s="3"/>
    </row>
    <row r="12" spans="1:10" x14ac:dyDescent="0.3">
      <c r="A12" s="18" t="s">
        <v>73</v>
      </c>
      <c r="B12" s="4"/>
      <c r="C12" s="2"/>
      <c r="H12" s="4"/>
      <c r="I12" s="3"/>
      <c r="J12" s="3"/>
    </row>
    <row r="13" spans="1:10" x14ac:dyDescent="0.3">
      <c r="A13" s="6" t="s">
        <v>53</v>
      </c>
      <c r="B13" s="4">
        <v>21000</v>
      </c>
      <c r="C13" s="2"/>
      <c r="H13" s="6"/>
      <c r="I13" s="3"/>
      <c r="J13" s="3"/>
    </row>
    <row r="14" spans="1:10" x14ac:dyDescent="0.3">
      <c r="A14" s="6" t="s">
        <v>52</v>
      </c>
      <c r="B14" s="47">
        <f>B13/$B$3</f>
        <v>0.11527377521613832</v>
      </c>
      <c r="C14" s="2"/>
      <c r="H14" s="6"/>
      <c r="I14" s="3"/>
      <c r="J14" s="3"/>
    </row>
    <row r="15" spans="1:10" x14ac:dyDescent="0.3">
      <c r="A15" s="6" t="s">
        <v>75</v>
      </c>
      <c r="B15" s="4">
        <f>'Costs April 2026'!G8*B14</f>
        <v>231.05953547751389</v>
      </c>
      <c r="C15" s="2"/>
      <c r="H15" s="6"/>
      <c r="I15" s="3"/>
      <c r="J15" s="3"/>
    </row>
    <row r="16" spans="1:10" x14ac:dyDescent="0.3">
      <c r="A16" s="6" t="s">
        <v>126</v>
      </c>
      <c r="B16" s="4">
        <f>'Costs April 2026'!G16</f>
        <v>12356.070898116888</v>
      </c>
      <c r="C16" s="2"/>
      <c r="H16" s="4"/>
      <c r="I16" s="3"/>
      <c r="J16" s="3"/>
    </row>
    <row r="17" spans="1:10" x14ac:dyDescent="0.3">
      <c r="A17" s="6"/>
      <c r="B17" s="6"/>
      <c r="C17" s="2"/>
      <c r="H17" s="4"/>
      <c r="I17" s="3"/>
      <c r="J17" s="3"/>
    </row>
    <row r="18" spans="1:10" x14ac:dyDescent="0.3">
      <c r="A18" s="18" t="s">
        <v>74</v>
      </c>
      <c r="B18" s="4"/>
      <c r="C18" s="2"/>
      <c r="H18" s="4"/>
      <c r="I18" s="3"/>
      <c r="J18" s="3"/>
    </row>
    <row r="19" spans="1:10" x14ac:dyDescent="0.3">
      <c r="A19" s="6" t="s">
        <v>55</v>
      </c>
      <c r="B19" s="4">
        <v>11750</v>
      </c>
      <c r="C19" s="2"/>
      <c r="H19" s="4"/>
      <c r="I19" s="3"/>
      <c r="J19" s="3"/>
    </row>
    <row r="20" spans="1:10" x14ac:dyDescent="0.3">
      <c r="A20" s="6" t="s">
        <v>54</v>
      </c>
      <c r="B20" s="47">
        <f>B19/B3</f>
        <v>6.4498421847125023E-2</v>
      </c>
      <c r="C20" s="2"/>
      <c r="H20" s="4"/>
      <c r="I20" s="3"/>
      <c r="J20" s="3"/>
    </row>
    <row r="21" spans="1:10" x14ac:dyDescent="0.3">
      <c r="A21" s="6" t="s">
        <v>76</v>
      </c>
      <c r="B21" s="4">
        <f>'Costs April 2026'!G8*B20</f>
        <v>129.28331151718041</v>
      </c>
      <c r="C21" s="2"/>
      <c r="H21" s="4"/>
      <c r="I21" s="3"/>
      <c r="J21" s="3"/>
    </row>
    <row r="22" spans="1:10" x14ac:dyDescent="0.3">
      <c r="A22" s="6" t="s">
        <v>78</v>
      </c>
      <c r="B22" s="4">
        <f>'Costs April 2026'!G16*B20</f>
        <v>796.94707315972801</v>
      </c>
      <c r="C22" s="2"/>
      <c r="H22" s="4"/>
      <c r="I22" s="3"/>
      <c r="J22" s="3"/>
    </row>
    <row r="23" spans="1:10" x14ac:dyDescent="0.3">
      <c r="A23" s="6"/>
      <c r="B23" s="6"/>
      <c r="C23" s="2"/>
      <c r="H23" s="4"/>
      <c r="I23" s="3"/>
      <c r="J23" s="3"/>
    </row>
    <row r="24" spans="1:10" x14ac:dyDescent="0.3">
      <c r="A24" s="18" t="s">
        <v>77</v>
      </c>
      <c r="B24" s="4">
        <f>$B$3</f>
        <v>182175</v>
      </c>
      <c r="C24" s="2"/>
      <c r="H24" s="4"/>
      <c r="I24" s="3"/>
      <c r="J24" s="3"/>
    </row>
    <row r="25" spans="1:10" x14ac:dyDescent="0.3">
      <c r="A25" s="6" t="s">
        <v>56</v>
      </c>
      <c r="B25" s="4">
        <v>7760</v>
      </c>
      <c r="C25" s="2"/>
      <c r="H25" s="4"/>
      <c r="I25" s="3"/>
      <c r="J25" s="3"/>
    </row>
    <row r="26" spans="1:10" x14ac:dyDescent="0.3">
      <c r="A26" s="6" t="s">
        <v>57</v>
      </c>
      <c r="B26" s="47">
        <f>B25/B24</f>
        <v>4.2596404556058738E-2</v>
      </c>
      <c r="C26" s="2"/>
      <c r="H26" s="4"/>
      <c r="I26" s="3"/>
      <c r="J26" s="3"/>
    </row>
    <row r="27" spans="1:10" x14ac:dyDescent="0.3">
      <c r="A27" s="6" t="s">
        <v>79</v>
      </c>
      <c r="B27" s="4">
        <f>'Costs April 2026'!G8*B26</f>
        <v>85.381999776452759</v>
      </c>
      <c r="C27" s="2"/>
      <c r="H27" s="4"/>
      <c r="I27" s="3"/>
      <c r="J27" s="3"/>
    </row>
    <row r="28" spans="1:10" x14ac:dyDescent="0.3">
      <c r="A28" s="6" t="s">
        <v>79</v>
      </c>
      <c r="B28" s="4">
        <f>'Costs April 2026'!G16*B26</f>
        <v>526.32419469953095</v>
      </c>
      <c r="C28" s="2"/>
      <c r="H28" s="4"/>
      <c r="I28" s="3"/>
      <c r="J28" s="3"/>
    </row>
    <row r="29" spans="1:10" x14ac:dyDescent="0.3">
      <c r="A29" s="6"/>
      <c r="B29" s="6"/>
      <c r="C29" s="2"/>
      <c r="H29" s="4"/>
      <c r="I29" s="3"/>
      <c r="J29" s="3"/>
    </row>
    <row r="30" spans="1:10" x14ac:dyDescent="0.3">
      <c r="A30" s="6"/>
      <c r="B30" s="6"/>
      <c r="C30" s="2"/>
      <c r="H30" s="4"/>
      <c r="I30" s="3"/>
      <c r="J30" s="3"/>
    </row>
    <row r="31" spans="1:10" x14ac:dyDescent="0.3">
      <c r="A31" s="6"/>
      <c r="B31" s="6"/>
      <c r="C31" s="2"/>
      <c r="H31" s="4"/>
      <c r="I31" s="3"/>
      <c r="J31" s="3"/>
    </row>
    <row r="32" spans="1:10" x14ac:dyDescent="0.3">
      <c r="A32" s="6"/>
      <c r="B32" s="6"/>
      <c r="C32" s="2"/>
      <c r="H32" s="4"/>
      <c r="I32" s="3"/>
      <c r="J32" s="3"/>
    </row>
    <row r="33" spans="1:10" x14ac:dyDescent="0.3">
      <c r="A33" s="6"/>
      <c r="B33" s="6"/>
      <c r="C33" s="2"/>
      <c r="H33" s="4"/>
      <c r="I33" s="3"/>
      <c r="J33" s="3"/>
    </row>
    <row r="34" spans="1:10" x14ac:dyDescent="0.3">
      <c r="C34" s="2"/>
      <c r="H34" s="3"/>
      <c r="I34" s="3"/>
      <c r="J34" s="3"/>
    </row>
    <row r="35" spans="1:10" x14ac:dyDescent="0.3">
      <c r="C35" s="2"/>
      <c r="H35" s="3"/>
      <c r="I35" s="3"/>
      <c r="J35" s="3"/>
    </row>
    <row r="36" spans="1:10" x14ac:dyDescent="0.3">
      <c r="H36" s="3"/>
      <c r="I36" s="3"/>
      <c r="J36" s="2"/>
    </row>
    <row r="37" spans="1:10" x14ac:dyDescent="0.3">
      <c r="I37" s="1"/>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workbookViewId="0">
      <selection activeCell="O22" sqref="O22"/>
    </sheetView>
  </sheetViews>
  <sheetFormatPr defaultRowHeight="14.4" x14ac:dyDescent="0.3"/>
  <cols>
    <col min="2" max="2" width="18.21875" customWidth="1"/>
    <col min="3" max="3" width="17.109375" customWidth="1"/>
    <col min="4" max="4" width="18.33203125" customWidth="1"/>
    <col min="5" max="5" width="14.88671875" customWidth="1"/>
    <col min="11" max="11" width="10.6640625" customWidth="1"/>
    <col min="12" max="12" width="11.5546875" customWidth="1"/>
    <col min="17" max="17" width="10.33203125" bestFit="1" customWidth="1"/>
    <col min="18" max="18" width="11.33203125" bestFit="1" customWidth="1"/>
  </cols>
  <sheetData>
    <row r="1" spans="1:19" x14ac:dyDescent="0.3">
      <c r="A1" s="14" t="s">
        <v>72</v>
      </c>
      <c r="N1" s="6"/>
      <c r="O1" s="18"/>
      <c r="P1" s="6"/>
      <c r="Q1" s="6"/>
      <c r="R1" s="6"/>
      <c r="S1" s="6"/>
    </row>
    <row r="2" spans="1:19" x14ac:dyDescent="0.3">
      <c r="N2" s="6"/>
      <c r="O2" s="6"/>
      <c r="P2" s="6"/>
      <c r="Q2" s="6"/>
      <c r="R2" s="6"/>
      <c r="S2" s="6"/>
    </row>
    <row r="3" spans="1:19" x14ac:dyDescent="0.3">
      <c r="A3" s="14" t="s">
        <v>120</v>
      </c>
      <c r="B3" s="14"/>
      <c r="I3" s="14" t="s">
        <v>121</v>
      </c>
      <c r="N3" s="6"/>
      <c r="O3" s="6"/>
      <c r="P3" s="6"/>
      <c r="Q3" s="40"/>
      <c r="R3" s="40"/>
      <c r="S3" s="6"/>
    </row>
    <row r="4" spans="1:19" x14ac:dyDescent="0.3">
      <c r="A4" t="s">
        <v>0</v>
      </c>
      <c r="B4" t="s">
        <v>20</v>
      </c>
      <c r="C4" t="s">
        <v>19</v>
      </c>
      <c r="D4" t="s">
        <v>117</v>
      </c>
      <c r="E4" s="33" t="s">
        <v>116</v>
      </c>
      <c r="I4" s="12"/>
      <c r="J4" s="20"/>
      <c r="K4" s="51">
        <v>2028</v>
      </c>
      <c r="L4" s="52">
        <v>2035</v>
      </c>
      <c r="N4" s="6"/>
      <c r="O4" s="6"/>
      <c r="P4" s="6"/>
      <c r="Q4" s="40"/>
      <c r="R4" s="40"/>
      <c r="S4" s="6"/>
    </row>
    <row r="5" spans="1:19" x14ac:dyDescent="0.3">
      <c r="A5">
        <v>2026</v>
      </c>
      <c r="B5" s="17">
        <f>'Excess deaths over time NHS'!F5</f>
        <v>546.60039195271281</v>
      </c>
      <c r="C5" s="17">
        <f>'Excess deaths over time NHS'!G5</f>
        <v>546.60039195271281</v>
      </c>
      <c r="D5" s="3">
        <v>29000</v>
      </c>
      <c r="E5" s="3">
        <f>'Costs April 2026'!N6</f>
        <v>610.99527386345312</v>
      </c>
      <c r="I5" s="7" t="s">
        <v>48</v>
      </c>
      <c r="J5" s="6"/>
      <c r="K5" s="44">
        <f>'Excess deaths over time NHS'!K7</f>
        <v>16786.528269067392</v>
      </c>
      <c r="L5" s="41">
        <f>'Excess deaths over time NHS'!K14</f>
        <v>216936.78746844828</v>
      </c>
      <c r="N5" s="6"/>
      <c r="O5" s="6"/>
      <c r="P5" s="6"/>
      <c r="Q5" s="40"/>
      <c r="R5" s="40"/>
      <c r="S5" s="6"/>
    </row>
    <row r="6" spans="1:19" x14ac:dyDescent="0.3">
      <c r="A6">
        <v>2027</v>
      </c>
      <c r="B6" s="17">
        <f>'Excess deaths over time NHS'!F6</f>
        <v>1093.2007839054256</v>
      </c>
      <c r="C6" s="17">
        <f>'Excess deaths over time NHS'!G6</f>
        <v>1639.8011758581383</v>
      </c>
      <c r="D6" s="3">
        <v>29000</v>
      </c>
      <c r="E6" s="3">
        <f>'Costs April 2026'!N7</f>
        <v>1832.9858215903594</v>
      </c>
      <c r="I6" s="7" t="s">
        <v>25</v>
      </c>
      <c r="J6" s="6"/>
      <c r="K6" s="44">
        <f>$K$5*'Excess deaths over time NHS'!G21</f>
        <v>4547.4813007767052</v>
      </c>
      <c r="L6" s="41">
        <f>L5*'Excess deaths over time NHS'!G21</f>
        <v>58768.315201970385</v>
      </c>
      <c r="N6" s="6"/>
      <c r="O6" s="6"/>
      <c r="P6" s="6"/>
      <c r="Q6" s="40"/>
      <c r="R6" s="40"/>
      <c r="S6" s="6"/>
    </row>
    <row r="7" spans="1:19" x14ac:dyDescent="0.3">
      <c r="A7">
        <v>2028</v>
      </c>
      <c r="B7" s="17">
        <f>'Excess deaths over time NHS'!F7</f>
        <v>1639.8011758581385</v>
      </c>
      <c r="C7" s="17">
        <f>'Excess deaths over time NHS'!G7</f>
        <v>3279.6023517162766</v>
      </c>
      <c r="D7" s="3">
        <v>29000</v>
      </c>
      <c r="E7" s="3">
        <f>'Costs April 2026'!N8</f>
        <v>3665.9716431807192</v>
      </c>
      <c r="I7" s="7" t="s">
        <v>26</v>
      </c>
      <c r="J7" s="6"/>
      <c r="K7" s="44">
        <f>$K$5*'Excess deaths over time NHS'!G22</f>
        <v>3875.8382718393327</v>
      </c>
      <c r="L7" s="41">
        <f>L5*'Excess deaths over time NHS'!G22</f>
        <v>50088.492984547316</v>
      </c>
      <c r="N7" s="6"/>
      <c r="O7" s="6"/>
      <c r="P7" s="6"/>
      <c r="Q7" s="40"/>
      <c r="R7" s="40"/>
      <c r="S7" s="6"/>
    </row>
    <row r="8" spans="1:19" x14ac:dyDescent="0.3">
      <c r="A8">
        <v>2029</v>
      </c>
      <c r="B8" s="17">
        <f>'Excess deaths over time NHS'!F8</f>
        <v>2446.5154878965768</v>
      </c>
      <c r="C8" s="17">
        <f>'Excess deaths over time NHS'!G8</f>
        <v>5726.1178396128535</v>
      </c>
      <c r="D8" s="3">
        <v>29000</v>
      </c>
      <c r="E8" s="3">
        <f>'Costs April 2026'!N9</f>
        <v>6400.7106271730081</v>
      </c>
      <c r="I8" s="7" t="s">
        <v>27</v>
      </c>
      <c r="J8" s="6"/>
      <c r="K8" s="44">
        <f>$K$5*'Excess deaths over time NHS'!G23</f>
        <v>2798.2026448177903</v>
      </c>
      <c r="L8" s="41">
        <f>L5*'Excess deaths over time NHS'!G23</f>
        <v>36161.92000647742</v>
      </c>
      <c r="N8" s="6"/>
      <c r="O8" s="6"/>
      <c r="P8" s="6"/>
      <c r="Q8" s="40"/>
      <c r="R8" s="40"/>
      <c r="S8" s="6"/>
    </row>
    <row r="9" spans="1:19" x14ac:dyDescent="0.3">
      <c r="A9">
        <v>2030</v>
      </c>
      <c r="B9" s="17">
        <f>'Excess deaths over time NHS'!F9</f>
        <v>3253.2297999350153</v>
      </c>
      <c r="C9" s="17">
        <f>'Excess deaths over time NHS'!G9</f>
        <v>8979.3476395478683</v>
      </c>
      <c r="D9" s="3">
        <v>29000</v>
      </c>
      <c r="E9" s="3">
        <f>'Costs April 2026'!N10</f>
        <v>10037.202773567227</v>
      </c>
      <c r="I9" s="7" t="s">
        <v>24</v>
      </c>
      <c r="J9" s="6"/>
      <c r="K9" s="44">
        <f>$K$5*'Excess deaths over time NHS'!G20</f>
        <v>2240.3837775138945</v>
      </c>
      <c r="L9" s="41">
        <f>L5*'Excess deaths over time NHS'!G20</f>
        <v>28953.077825263324</v>
      </c>
      <c r="N9" s="6"/>
      <c r="O9" s="6"/>
      <c r="P9" s="6"/>
      <c r="Q9" s="40"/>
      <c r="R9" s="40"/>
      <c r="S9" s="6"/>
    </row>
    <row r="10" spans="1:19" x14ac:dyDescent="0.3">
      <c r="A10">
        <v>2031</v>
      </c>
      <c r="B10" s="17">
        <f>'Excess deaths over time NHS'!F10</f>
        <v>4395.7418220484005</v>
      </c>
      <c r="C10" s="17">
        <f>'Excess deaths over time NHS'!G10</f>
        <v>13375.089461596268</v>
      </c>
      <c r="D10" s="3">
        <v>29000</v>
      </c>
      <c r="E10" s="3">
        <f>'Costs April 2026'!N11</f>
        <v>14950.806052922078</v>
      </c>
      <c r="I10" s="7" t="s">
        <v>35</v>
      </c>
      <c r="J10" s="6"/>
      <c r="K10" s="44">
        <f>K5*'Excess deaths over time NHS'!G31</f>
        <v>1441.7818520986675</v>
      </c>
      <c r="L10" s="41">
        <f>L5*'Excess deaths over time NHS'!G31</f>
        <v>18632.531885759079</v>
      </c>
      <c r="N10" s="6"/>
      <c r="O10" s="6"/>
      <c r="P10" s="6"/>
      <c r="Q10" s="40"/>
      <c r="R10" s="40"/>
      <c r="S10" s="6"/>
    </row>
    <row r="11" spans="1:19" x14ac:dyDescent="0.3">
      <c r="A11">
        <v>2032</v>
      </c>
      <c r="B11" s="17">
        <f>'Excess deaths over time NHS'!F11</f>
        <v>5538.2538441617862</v>
      </c>
      <c r="C11" s="17">
        <f>'Excess deaths over time NHS'!G11</f>
        <v>18913.343305758055</v>
      </c>
      <c r="D11" s="3">
        <v>29000</v>
      </c>
      <c r="E11" s="3">
        <f>'Costs April 2026'!N12</f>
        <v>21141.520465237565</v>
      </c>
      <c r="I11" s="7" t="s">
        <v>30</v>
      </c>
      <c r="J11" s="6"/>
      <c r="K11" s="44">
        <f>$K$5*'Excess deaths over time NHS'!G26</f>
        <v>997.62068065358278</v>
      </c>
      <c r="L11" s="41">
        <f>L5*'Excess deaths over time NHS'!G26</f>
        <v>12892.518459095216</v>
      </c>
      <c r="N11" s="6"/>
      <c r="O11" s="6"/>
      <c r="P11" s="6"/>
      <c r="Q11" s="6"/>
      <c r="R11" s="6"/>
      <c r="S11" s="6"/>
    </row>
    <row r="12" spans="1:19" x14ac:dyDescent="0.3">
      <c r="A12">
        <v>2033</v>
      </c>
      <c r="B12" s="17">
        <f>'Excess deaths over time NHS'!F12</f>
        <v>6680.7658662751719</v>
      </c>
      <c r="C12" s="17">
        <f>'Excess deaths over time NHS'!G12</f>
        <v>25594.109172033226</v>
      </c>
      <c r="D12" s="3">
        <v>29000</v>
      </c>
      <c r="E12" s="3">
        <f>'Costs April 2026'!N13</f>
        <v>28609.346010513684</v>
      </c>
      <c r="I12" s="5" t="s">
        <v>47</v>
      </c>
      <c r="J12" s="42"/>
      <c r="K12" s="45">
        <f>K5-SUM(K6:K11)</f>
        <v>885.21974136742028</v>
      </c>
      <c r="L12" s="43">
        <f>L5-SUM(L6:L11)</f>
        <v>11439.931105335534</v>
      </c>
      <c r="N12" s="6"/>
      <c r="O12" s="6"/>
      <c r="P12" s="6"/>
      <c r="Q12" s="6"/>
      <c r="R12" s="6"/>
      <c r="S12" s="6"/>
    </row>
    <row r="13" spans="1:19" x14ac:dyDescent="0.3">
      <c r="A13">
        <v>2034</v>
      </c>
      <c r="B13" s="17">
        <f>'Excess deaths over time NHS'!F13</f>
        <v>7823.2778883885576</v>
      </c>
      <c r="C13" s="17">
        <f>'Excess deaths over time NHS'!G13</f>
        <v>33417.387060421781</v>
      </c>
      <c r="D13" s="3">
        <v>29000</v>
      </c>
      <c r="E13" s="3">
        <f>'Costs April 2026'!N14</f>
        <v>37354.282688750434</v>
      </c>
      <c r="N13" s="6"/>
      <c r="O13" s="6"/>
      <c r="P13" s="6"/>
      <c r="Q13" s="40"/>
      <c r="R13" s="40"/>
      <c r="S13" s="6"/>
    </row>
    <row r="14" spans="1:19" x14ac:dyDescent="0.3">
      <c r="A14">
        <v>2035</v>
      </c>
      <c r="B14" s="17">
        <f>'Excess deaths over time NHS'!F14</f>
        <v>8965.7899105019424</v>
      </c>
      <c r="C14" s="17">
        <f>'Excess deaths over time NHS'!G14</f>
        <v>42383.176970923727</v>
      </c>
      <c r="D14" s="3">
        <v>29000</v>
      </c>
      <c r="E14" s="3">
        <f>'Costs April 2026'!N15</f>
        <v>47376.33049994782</v>
      </c>
      <c r="I14" s="14" t="s">
        <v>71</v>
      </c>
      <c r="M14" s="38"/>
    </row>
    <row r="15" spans="1:19" x14ac:dyDescent="0.3">
      <c r="A15">
        <v>2036</v>
      </c>
      <c r="B15" s="17">
        <f>'Excess deaths over time NHS'!F15</f>
        <v>10108.301932615326</v>
      </c>
      <c r="C15" s="17">
        <f>'Excess deaths over time NHS'!G15</f>
        <v>52491.478903539057</v>
      </c>
      <c r="D15" s="3">
        <v>29000</v>
      </c>
      <c r="E15" s="3">
        <f>'Costs April 2026'!N16</f>
        <v>58675.489444105842</v>
      </c>
      <c r="I15" s="12"/>
      <c r="J15" s="20"/>
      <c r="K15" s="51">
        <v>2028</v>
      </c>
      <c r="L15" s="52">
        <v>2035</v>
      </c>
      <c r="M15" s="38"/>
      <c r="Q15" s="13"/>
      <c r="R15" s="13"/>
    </row>
    <row r="16" spans="1:19" x14ac:dyDescent="0.3">
      <c r="I16" s="7" t="s">
        <v>48</v>
      </c>
      <c r="J16" s="6"/>
      <c r="K16" s="44">
        <f>'Excess deaths over time UK'!K7</f>
        <v>20519.325086303128</v>
      </c>
      <c r="L16" s="41">
        <f>'Excess deaths over time UK'!K14</f>
        <v>265176.71753759519</v>
      </c>
      <c r="M16" s="38"/>
      <c r="Q16" s="13"/>
      <c r="R16" s="13"/>
    </row>
    <row r="17" spans="1:18" x14ac:dyDescent="0.3">
      <c r="A17" s="14" t="s">
        <v>119</v>
      </c>
      <c r="I17" s="7" t="s">
        <v>25</v>
      </c>
      <c r="J17" s="6"/>
      <c r="K17" s="44">
        <f>$K$16*'Excess deaths over time UK'!G21</f>
        <v>5558.6983585204371</v>
      </c>
      <c r="L17" s="41">
        <f>L16*'Excess deaths over time UK'!G21</f>
        <v>71836.543272956085</v>
      </c>
      <c r="M17" s="38"/>
    </row>
    <row r="18" spans="1:18" x14ac:dyDescent="0.3">
      <c r="A18" t="s">
        <v>0</v>
      </c>
      <c r="B18" t="s">
        <v>21</v>
      </c>
      <c r="C18" t="s">
        <v>22</v>
      </c>
      <c r="D18" s="6" t="s">
        <v>14</v>
      </c>
      <c r="E18" s="33" t="s">
        <v>18</v>
      </c>
      <c r="I18" s="7" t="s">
        <v>26</v>
      </c>
      <c r="J18" s="6"/>
      <c r="K18" s="44">
        <f>$K$16*'Excess deaths over time UK'!G22</f>
        <v>4737.7030084508951</v>
      </c>
      <c r="L18" s="41">
        <f>L16*'Excess deaths over time UK'!G22</f>
        <v>61226.601126740323</v>
      </c>
      <c r="M18" s="38"/>
      <c r="Q18" s="13"/>
      <c r="R18" s="13"/>
    </row>
    <row r="19" spans="1:18" x14ac:dyDescent="0.3">
      <c r="A19">
        <v>2026</v>
      </c>
      <c r="B19" s="34">
        <f>'Excess deaths over time NHS'!K5</f>
        <v>2797.7547115112316</v>
      </c>
      <c r="C19" s="34">
        <f>'Excess deaths over time NHS'!L5</f>
        <v>3558.9022156961819</v>
      </c>
      <c r="D19" s="22">
        <f>'Excess deaths over time NHS'!M5</f>
        <v>1634.081889245778</v>
      </c>
      <c r="E19" s="34">
        <f>'Excess deaths over time NHS'!$B$3</f>
        <v>130439</v>
      </c>
      <c r="I19" s="7" t="s">
        <v>27</v>
      </c>
      <c r="J19" s="6"/>
      <c r="K19" s="44">
        <f>$K$16*'Excess deaths over time UK'!G23</f>
        <v>3420.4350539934107</v>
      </c>
      <c r="L19" s="41">
        <f>L16*'Excess deaths over time UK'!G23</f>
        <v>44203.195590187584</v>
      </c>
      <c r="M19" s="38"/>
      <c r="Q19" s="13"/>
      <c r="R19" s="13"/>
    </row>
    <row r="20" spans="1:18" x14ac:dyDescent="0.3">
      <c r="A20">
        <v>2027</v>
      </c>
      <c r="B20" s="34">
        <f>'Excess deaths over time NHS'!K6</f>
        <v>8393.2641345336942</v>
      </c>
      <c r="C20" s="34">
        <f>'Excess deaths over time NHS'!L6</f>
        <v>10676.706647088546</v>
      </c>
      <c r="D20" s="22">
        <f>'Excess deaths over time NHS'!M6</f>
        <v>4902.2456677373339</v>
      </c>
      <c r="E20" s="34">
        <f>'Excess deaths over time NHS'!$B$3</f>
        <v>130439</v>
      </c>
      <c r="I20" s="7" t="s">
        <v>24</v>
      </c>
      <c r="J20" s="6"/>
      <c r="K20" s="44">
        <f>$K$16*'Excess deaths over time UK'!G20</f>
        <v>2738.5747852102736</v>
      </c>
      <c r="L20" s="41">
        <f>L16*'Excess deaths over time UK'!G20</f>
        <v>35391.333253842531</v>
      </c>
      <c r="M20" s="38"/>
      <c r="Q20" s="13"/>
      <c r="R20" s="13"/>
    </row>
    <row r="21" spans="1:18" x14ac:dyDescent="0.3">
      <c r="A21">
        <v>2028</v>
      </c>
      <c r="B21" s="34">
        <f>'Excess deaths over time NHS'!K7</f>
        <v>16786.528269067392</v>
      </c>
      <c r="C21" s="34">
        <f>'Excess deaths over time NHS'!L7</f>
        <v>21353.413294177095</v>
      </c>
      <c r="D21" s="22">
        <f>'Excess deaths over time NHS'!M7</f>
        <v>9804.4913354746677</v>
      </c>
      <c r="E21" s="34">
        <f>'Excess deaths over time NHS'!$B$3</f>
        <v>130439</v>
      </c>
      <c r="I21" s="7" t="s">
        <v>35</v>
      </c>
      <c r="J21" s="6"/>
      <c r="K21" s="44">
        <f>K16*'Excess deaths over time UK'!G31</f>
        <v>1762.3888663899645</v>
      </c>
      <c r="L21" s="41">
        <f>L16*'Excess deaths over time UK'!G31</f>
        <v>22775.821945822758</v>
      </c>
      <c r="M21" s="38"/>
      <c r="Q21" s="13"/>
      <c r="R21" s="13"/>
    </row>
    <row r="22" spans="1:18" x14ac:dyDescent="0.3">
      <c r="A22">
        <v>2029</v>
      </c>
      <c r="B22" s="34">
        <f>'Excess deaths over time NHS'!K8</f>
        <v>29308.930985602579</v>
      </c>
      <c r="C22" s="34">
        <f>'Excess deaths over time NHS'!L8</f>
        <v>37282.617734563595</v>
      </c>
      <c r="D22" s="22">
        <f>'Excess deaths over time NHS'!M8</f>
        <v>17118.438982400159</v>
      </c>
      <c r="E22" s="34">
        <f>'Excess deaths over time NHS'!$B$3</f>
        <v>130439</v>
      </c>
      <c r="I22" s="7" t="s">
        <v>30</v>
      </c>
      <c r="J22" s="6"/>
      <c r="K22" s="44">
        <f>$K$16*'Excess deaths over time UK'!G26</f>
        <v>1219.4601963570362</v>
      </c>
      <c r="L22" s="41">
        <f>L16*'Excess deaths over time UK'!G26</f>
        <v>15759.409760195515</v>
      </c>
      <c r="M22" s="38"/>
      <c r="Q22" s="13"/>
      <c r="R22" s="13"/>
    </row>
    <row r="23" spans="1:18" x14ac:dyDescent="0.3">
      <c r="A23">
        <v>2030</v>
      </c>
      <c r="B23" s="34">
        <f>'Excess deaths over time NHS'!K9</f>
        <v>45960.47228413925</v>
      </c>
      <c r="C23" s="34">
        <f>'Excess deaths over time NHS'!L9</f>
        <v>58464.319968248048</v>
      </c>
      <c r="D23" s="22">
        <f>'Excess deaths over time NHS'!M9</f>
        <v>26844.088608513805</v>
      </c>
      <c r="E23" s="34">
        <f>'Excess deaths over time NHS'!$B$3</f>
        <v>130439</v>
      </c>
      <c r="I23" s="5" t="s">
        <v>47</v>
      </c>
      <c r="J23" s="42"/>
      <c r="K23" s="45">
        <f>K16-SUM(K17:K22)</f>
        <v>1082.0648173811132</v>
      </c>
      <c r="L23" s="43">
        <f>L16-SUM(L17:L22)</f>
        <v>13983.812587850378</v>
      </c>
      <c r="M23" s="38"/>
      <c r="Q23" s="13"/>
      <c r="R23" s="13"/>
    </row>
    <row r="24" spans="1:18" x14ac:dyDescent="0.3">
      <c r="A24">
        <v>2031</v>
      </c>
      <c r="B24" s="34">
        <f>'Excess deaths over time NHS'!K10</f>
        <v>68459.920828784307</v>
      </c>
      <c r="C24" s="34">
        <f>'Excess deaths over time NHS'!L10</f>
        <v>87084.890938255354</v>
      </c>
      <c r="D24" s="22">
        <f>'Excess deaths over time NHS'!M10</f>
        <v>39985.319765609172</v>
      </c>
      <c r="E24" s="34">
        <f>'Excess deaths over time NHS'!$B$3</f>
        <v>130439</v>
      </c>
      <c r="M24" s="38"/>
      <c r="Q24" s="13"/>
      <c r="R24" s="13"/>
    </row>
    <row r="25" spans="1:18" x14ac:dyDescent="0.3">
      <c r="A25">
        <v>2032</v>
      </c>
      <c r="B25" s="34">
        <f>'Excess deaths over time NHS'!K11</f>
        <v>96807.276619537733</v>
      </c>
      <c r="C25" s="34">
        <f>'Excess deaths over time NHS'!L11</f>
        <v>123144.33064458551</v>
      </c>
      <c r="D25" s="22">
        <f>'Excess deaths over time NHS'!M11</f>
        <v>56542.132453686259</v>
      </c>
      <c r="E25" s="34">
        <f>'Excess deaths over time NHS'!$B$3</f>
        <v>130439</v>
      </c>
      <c r="L25" s="39"/>
      <c r="M25" s="38"/>
      <c r="Q25" s="13"/>
      <c r="R25" s="13"/>
    </row>
    <row r="26" spans="1:18" x14ac:dyDescent="0.3">
      <c r="A26">
        <v>2033</v>
      </c>
      <c r="B26" s="34">
        <f>'Excess deaths over time NHS'!K12</f>
        <v>131002.53965639955</v>
      </c>
      <c r="C26" s="34">
        <f>'Excess deaths over time NHS'!L12</f>
        <v>166642.63908723852</v>
      </c>
      <c r="D26" s="22">
        <f>'Excess deaths over time NHS'!M12</f>
        <v>76514.526672745065</v>
      </c>
      <c r="E26" s="34">
        <f>'Excess deaths over time NHS'!$B$3</f>
        <v>130439</v>
      </c>
    </row>
    <row r="27" spans="1:18" x14ac:dyDescent="0.3">
      <c r="A27">
        <v>2034</v>
      </c>
      <c r="B27" s="34">
        <f>'Excess deaths over time NHS'!K13</f>
        <v>171045.70993936973</v>
      </c>
      <c r="C27" s="34">
        <f>'Excess deaths over time NHS'!L13</f>
        <v>217579.81626621439</v>
      </c>
      <c r="D27" s="22">
        <f>'Excess deaths over time NHS'!M13</f>
        <v>99902.50242278559</v>
      </c>
      <c r="E27" s="34">
        <f>'Excess deaths over time NHS'!$B$3</f>
        <v>130439</v>
      </c>
    </row>
    <row r="28" spans="1:18" x14ac:dyDescent="0.3">
      <c r="A28">
        <v>2035</v>
      </c>
      <c r="B28" s="34">
        <f>'Excess deaths over time NHS'!K14</f>
        <v>216936.78746844828</v>
      </c>
      <c r="C28" s="34">
        <f>'Excess deaths over time NHS'!L14</f>
        <v>275955.8621815131</v>
      </c>
      <c r="D28" s="22">
        <f>'Excess deaths over time NHS'!M14</f>
        <v>126706.05970380784</v>
      </c>
      <c r="E28" s="34">
        <f>'Excess deaths over time NHS'!$B$3</f>
        <v>130439</v>
      </c>
    </row>
    <row r="29" spans="1:18" x14ac:dyDescent="0.3">
      <c r="A29">
        <v>2036</v>
      </c>
      <c r="B29" s="34">
        <f>'Excess deaths over time NHS'!K15</f>
        <v>268675.77224363521</v>
      </c>
      <c r="C29" s="34">
        <f>'Excess deaths over time NHS'!L15</f>
        <v>341770.77683313465</v>
      </c>
      <c r="D29" s="22">
        <f>'Excess deaths over time NHS'!M15</f>
        <v>156925.19851581182</v>
      </c>
      <c r="E29" s="34">
        <f>'Excess deaths over time NHS'!$B$3</f>
        <v>130439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1"/>
  <sheetViews>
    <sheetView workbookViewId="0">
      <selection activeCell="G20" sqref="G20"/>
    </sheetView>
  </sheetViews>
  <sheetFormatPr defaultRowHeight="14.4" x14ac:dyDescent="0.3"/>
  <cols>
    <col min="1" max="1" width="54.6640625" customWidth="1"/>
    <col min="2" max="3" width="11" bestFit="1" customWidth="1"/>
    <col min="5" max="5" width="10.5546875" customWidth="1"/>
    <col min="6" max="6" width="12.88671875" customWidth="1"/>
    <col min="7" max="7" width="11.88671875" customWidth="1"/>
    <col min="8" max="8" width="15" customWidth="1"/>
    <col min="9" max="9" width="11" bestFit="1" customWidth="1"/>
    <col min="11" max="11" width="11.21875" customWidth="1"/>
    <col min="12" max="12" width="13.21875" customWidth="1"/>
  </cols>
  <sheetData>
    <row r="1" spans="1:16" x14ac:dyDescent="0.3">
      <c r="A1" s="14" t="s">
        <v>124</v>
      </c>
    </row>
    <row r="2" spans="1:16" x14ac:dyDescent="0.3">
      <c r="A2" t="s">
        <v>15</v>
      </c>
      <c r="B2" s="28">
        <v>137447</v>
      </c>
      <c r="E2" s="12"/>
      <c r="F2" s="20" t="s">
        <v>2</v>
      </c>
      <c r="G2" s="15"/>
      <c r="H2" s="12" t="s">
        <v>84</v>
      </c>
      <c r="I2" s="20"/>
      <c r="J2" s="20"/>
      <c r="K2" s="20"/>
      <c r="L2" s="20"/>
      <c r="M2" s="15"/>
      <c r="N2" s="12" t="s">
        <v>7</v>
      </c>
      <c r="O2" s="20"/>
      <c r="P2" s="15"/>
    </row>
    <row r="3" spans="1:16" x14ac:dyDescent="0.3">
      <c r="A3" t="s">
        <v>67</v>
      </c>
      <c r="B3" s="35">
        <f>B2-B4</f>
        <v>130439</v>
      </c>
      <c r="E3" s="7"/>
      <c r="F3" s="6"/>
      <c r="G3" s="9"/>
      <c r="H3" s="7" t="s">
        <v>1</v>
      </c>
      <c r="I3" s="6"/>
      <c r="J3" s="6"/>
      <c r="K3" s="6" t="s">
        <v>8</v>
      </c>
      <c r="L3" s="6"/>
      <c r="M3" s="9"/>
      <c r="N3" s="7" t="s">
        <v>6</v>
      </c>
      <c r="O3" s="6"/>
      <c r="P3" s="9"/>
    </row>
    <row r="4" spans="1:16" x14ac:dyDescent="0.3">
      <c r="A4" s="19" t="s">
        <v>16</v>
      </c>
      <c r="B4" s="36">
        <v>7008</v>
      </c>
      <c r="E4" s="7" t="s">
        <v>0</v>
      </c>
      <c r="F4" s="21" t="s">
        <v>1</v>
      </c>
      <c r="G4" s="30" t="s">
        <v>9</v>
      </c>
      <c r="H4" s="7" t="s">
        <v>3</v>
      </c>
      <c r="I4" s="6" t="s">
        <v>4</v>
      </c>
      <c r="J4" s="33" t="s">
        <v>49</v>
      </c>
      <c r="K4" s="6" t="s">
        <v>3</v>
      </c>
      <c r="L4" s="6" t="s">
        <v>4</v>
      </c>
      <c r="M4" s="48" t="s">
        <v>49</v>
      </c>
      <c r="N4" s="7" t="s">
        <v>3</v>
      </c>
      <c r="O4" s="6" t="s">
        <v>4</v>
      </c>
      <c r="P4" s="48" t="s">
        <v>49</v>
      </c>
    </row>
    <row r="5" spans="1:16" x14ac:dyDescent="0.3">
      <c r="A5" s="19" t="s">
        <v>66</v>
      </c>
      <c r="B5" s="28">
        <v>11817</v>
      </c>
      <c r="E5" s="7">
        <v>2026</v>
      </c>
      <c r="F5" s="4">
        <f>'Costs April 2026'!I6</f>
        <v>546.60039195271281</v>
      </c>
      <c r="G5" s="8">
        <f>F5</f>
        <v>546.60039195271281</v>
      </c>
      <c r="H5" s="31">
        <f>(F5*1000000)/$B$12</f>
        <v>2797.7547115112316</v>
      </c>
      <c r="I5" s="22">
        <f>(F5*1000000)/$B$16</f>
        <v>3558.9022156961819</v>
      </c>
      <c r="J5" s="22">
        <f>(F5*1000000)/$B$21</f>
        <v>1634.081889245778</v>
      </c>
      <c r="K5" s="22">
        <f>H5</f>
        <v>2797.7547115112316</v>
      </c>
      <c r="L5" s="22">
        <f>I5</f>
        <v>3558.9022156961819</v>
      </c>
      <c r="M5" s="41">
        <f>J5</f>
        <v>1634.081889245778</v>
      </c>
      <c r="N5" s="53">
        <f>K5/$B$3</f>
        <v>2.144875927836944E-2</v>
      </c>
      <c r="O5" s="10">
        <f>L5/$B$3</f>
        <v>2.7284034803212089E-2</v>
      </c>
      <c r="P5" s="49">
        <f>M5/$B$3</f>
        <v>1.2527556093237283E-2</v>
      </c>
    </row>
    <row r="6" spans="1:16" x14ac:dyDescent="0.3">
      <c r="A6" s="19" t="s">
        <v>65</v>
      </c>
      <c r="B6" s="28">
        <v>3662</v>
      </c>
      <c r="E6" s="7">
        <v>2027</v>
      </c>
      <c r="F6" s="4">
        <f>'Costs April 2026'!I7</f>
        <v>1093.2007839054256</v>
      </c>
      <c r="G6" s="8">
        <f>G5+F6</f>
        <v>1639.8011758581383</v>
      </c>
      <c r="H6" s="31">
        <f t="shared" ref="H6:H15" si="0">(F6*1000000)/$B$12</f>
        <v>5595.5094230224631</v>
      </c>
      <c r="I6" s="22">
        <f t="shared" ref="I6:I15" si="1">(F6*1000000)/$B$16</f>
        <v>7117.8044313923638</v>
      </c>
      <c r="J6" s="22">
        <f t="shared" ref="J6:J15" si="2">(F6*1000000)/$B$21</f>
        <v>3268.1637784915561</v>
      </c>
      <c r="K6" s="22">
        <f>K5+H6</f>
        <v>8393.2641345336942</v>
      </c>
      <c r="L6" s="22">
        <f>L5+I6</f>
        <v>10676.706647088546</v>
      </c>
      <c r="M6" s="41">
        <f>M5+J6</f>
        <v>4902.2456677373339</v>
      </c>
      <c r="N6" s="53">
        <f t="shared" ref="N6:N15" si="3">K6/$B$3</f>
        <v>6.4346277835108323E-2</v>
      </c>
      <c r="O6" s="10">
        <f t="shared" ref="O6:O15" si="4">L6/$B$3</f>
        <v>8.1852104409636278E-2</v>
      </c>
      <c r="P6" s="49">
        <f t="shared" ref="P6:P15" si="5">M6/$B$3</f>
        <v>3.7582668279711851E-2</v>
      </c>
    </row>
    <row r="7" spans="1:16" x14ac:dyDescent="0.3">
      <c r="A7" t="s">
        <v>68</v>
      </c>
      <c r="B7" s="46">
        <f>SUM(B3:B6)</f>
        <v>152926</v>
      </c>
      <c r="E7" s="23">
        <v>2028</v>
      </c>
      <c r="F7" s="4">
        <f>'Costs April 2026'!I8</f>
        <v>1639.8011758581385</v>
      </c>
      <c r="G7" s="8">
        <f t="shared" ref="G7:G15" si="6">G6+F7</f>
        <v>3279.6023517162766</v>
      </c>
      <c r="H7" s="31">
        <f t="shared" si="0"/>
        <v>8393.2641345336961</v>
      </c>
      <c r="I7" s="22">
        <f t="shared" si="1"/>
        <v>10676.706647088547</v>
      </c>
      <c r="J7" s="22">
        <f t="shared" si="2"/>
        <v>4902.2456677373348</v>
      </c>
      <c r="K7" s="22">
        <f t="shared" ref="K7:M15" si="7">K6+H7</f>
        <v>16786.528269067392</v>
      </c>
      <c r="L7" s="22">
        <f t="shared" si="7"/>
        <v>21353.413294177095</v>
      </c>
      <c r="M7" s="41">
        <f t="shared" si="7"/>
        <v>9804.4913354746677</v>
      </c>
      <c r="N7" s="53">
        <f t="shared" si="3"/>
        <v>0.12869255567021667</v>
      </c>
      <c r="O7" s="10">
        <f t="shared" si="4"/>
        <v>0.16370420881927258</v>
      </c>
      <c r="P7" s="49">
        <f t="shared" si="5"/>
        <v>7.5165336559423701E-2</v>
      </c>
    </row>
    <row r="8" spans="1:16" x14ac:dyDescent="0.3">
      <c r="E8" s="7">
        <v>2029</v>
      </c>
      <c r="F8" s="4">
        <f>'Costs April 2026'!I9</f>
        <v>2446.5154878965768</v>
      </c>
      <c r="G8" s="8">
        <f t="shared" si="6"/>
        <v>5726.1178396128535</v>
      </c>
      <c r="H8" s="31">
        <f t="shared" si="0"/>
        <v>12522.402716535185</v>
      </c>
      <c r="I8" s="22">
        <f t="shared" si="1"/>
        <v>15929.204440386498</v>
      </c>
      <c r="J8" s="22">
        <f t="shared" si="2"/>
        <v>7313.9476469254914</v>
      </c>
      <c r="K8" s="22">
        <f t="shared" si="7"/>
        <v>29308.930985602579</v>
      </c>
      <c r="L8" s="22">
        <f t="shared" si="7"/>
        <v>37282.617734563595</v>
      </c>
      <c r="M8" s="41">
        <f t="shared" si="7"/>
        <v>17118.438982400159</v>
      </c>
      <c r="N8" s="53">
        <f t="shared" si="3"/>
        <v>0.22469453909952222</v>
      </c>
      <c r="O8" s="10">
        <f t="shared" si="4"/>
        <v>0.28582416098378244</v>
      </c>
      <c r="P8" s="49">
        <f t="shared" si="5"/>
        <v>0.13123712219811681</v>
      </c>
    </row>
    <row r="9" spans="1:16" x14ac:dyDescent="0.3">
      <c r="B9" s="3"/>
      <c r="E9" s="7">
        <v>2030</v>
      </c>
      <c r="F9" s="4">
        <f>'Costs April 2026'!I10</f>
        <v>3253.2297999350153</v>
      </c>
      <c r="G9" s="8">
        <f t="shared" si="6"/>
        <v>8979.3476395478683</v>
      </c>
      <c r="H9" s="31">
        <f t="shared" si="0"/>
        <v>16651.541298536675</v>
      </c>
      <c r="I9" s="22">
        <f t="shared" si="1"/>
        <v>21181.702233684449</v>
      </c>
      <c r="J9" s="22">
        <f t="shared" si="2"/>
        <v>9725.6496261136472</v>
      </c>
      <c r="K9" s="22">
        <f t="shared" si="7"/>
        <v>45960.47228413925</v>
      </c>
      <c r="L9" s="22">
        <f t="shared" si="7"/>
        <v>58464.319968248048</v>
      </c>
      <c r="M9" s="41">
        <f t="shared" si="7"/>
        <v>26844.088608513805</v>
      </c>
      <c r="N9" s="53">
        <f t="shared" si="3"/>
        <v>0.35235222812302497</v>
      </c>
      <c r="O9" s="10">
        <f t="shared" si="4"/>
        <v>0.44821196090316584</v>
      </c>
      <c r="P9" s="49">
        <f t="shared" si="5"/>
        <v>0.20579802519579118</v>
      </c>
    </row>
    <row r="10" spans="1:16" x14ac:dyDescent="0.3">
      <c r="A10" t="s">
        <v>5</v>
      </c>
      <c r="B10" t="s">
        <v>17</v>
      </c>
      <c r="E10" s="7">
        <v>2031</v>
      </c>
      <c r="F10" s="4">
        <f>'Costs April 2026'!I11</f>
        <v>4395.7418220484005</v>
      </c>
      <c r="G10" s="8">
        <f t="shared" si="6"/>
        <v>13375.089461596268</v>
      </c>
      <c r="H10" s="31">
        <f t="shared" si="0"/>
        <v>22499.448544645053</v>
      </c>
      <c r="I10" s="22">
        <f t="shared" si="1"/>
        <v>28620.570970007306</v>
      </c>
      <c r="J10" s="22">
        <f t="shared" si="2"/>
        <v>13141.231157095368</v>
      </c>
      <c r="K10" s="22">
        <f t="shared" si="7"/>
        <v>68459.920828784307</v>
      </c>
      <c r="L10" s="22">
        <f t="shared" si="7"/>
        <v>87084.890938255354</v>
      </c>
      <c r="M10" s="41">
        <f t="shared" si="7"/>
        <v>39985.319765609172</v>
      </c>
      <c r="N10" s="53">
        <f t="shared" si="3"/>
        <v>0.52484242311566565</v>
      </c>
      <c r="O10" s="10">
        <f t="shared" si="4"/>
        <v>0.66762924384773992</v>
      </c>
      <c r="P10" s="49">
        <f t="shared" si="5"/>
        <v>0.30654420660699006</v>
      </c>
    </row>
    <row r="11" spans="1:16" x14ac:dyDescent="0.3">
      <c r="A11" t="s">
        <v>59</v>
      </c>
      <c r="B11" s="3">
        <v>8772.5240453571478</v>
      </c>
      <c r="E11" s="7">
        <v>2032</v>
      </c>
      <c r="F11" s="4">
        <f>'Costs April 2026'!I12</f>
        <v>5538.2538441617862</v>
      </c>
      <c r="G11" s="8">
        <f t="shared" si="6"/>
        <v>18913.343305758055</v>
      </c>
      <c r="H11" s="31">
        <f t="shared" si="0"/>
        <v>28347.35579075343</v>
      </c>
      <c r="I11" s="22">
        <f t="shared" si="1"/>
        <v>36059.439706330159</v>
      </c>
      <c r="J11" s="22">
        <f t="shared" si="2"/>
        <v>16556.812688077087</v>
      </c>
      <c r="K11" s="22">
        <f t="shared" si="7"/>
        <v>96807.276619537733</v>
      </c>
      <c r="L11" s="22">
        <f t="shared" si="7"/>
        <v>123144.33064458551</v>
      </c>
      <c r="M11" s="41">
        <f t="shared" si="7"/>
        <v>56542.132453686259</v>
      </c>
      <c r="N11" s="53">
        <f t="shared" si="3"/>
        <v>0.74216512407744417</v>
      </c>
      <c r="O11" s="10">
        <f t="shared" si="4"/>
        <v>0.94407600981750484</v>
      </c>
      <c r="P11" s="49">
        <f t="shared" si="5"/>
        <v>0.43347566643171337</v>
      </c>
    </row>
    <row r="12" spans="1:16" x14ac:dyDescent="0.3">
      <c r="A12" t="s">
        <v>60</v>
      </c>
      <c r="B12" s="3">
        <v>195371.09157702458</v>
      </c>
      <c r="E12" s="7">
        <v>2033</v>
      </c>
      <c r="F12" s="4">
        <f>'Costs April 2026'!I13</f>
        <v>6680.7658662751719</v>
      </c>
      <c r="G12" s="8">
        <f t="shared" si="6"/>
        <v>25594.109172033226</v>
      </c>
      <c r="H12" s="31">
        <f t="shared" si="0"/>
        <v>34195.263036861812</v>
      </c>
      <c r="I12" s="22">
        <f t="shared" si="1"/>
        <v>43498.308442653011</v>
      </c>
      <c r="J12" s="22">
        <f t="shared" si="2"/>
        <v>19972.39421905881</v>
      </c>
      <c r="K12" s="22">
        <f t="shared" si="7"/>
        <v>131002.53965639955</v>
      </c>
      <c r="L12" s="22">
        <f t="shared" si="7"/>
        <v>166642.63908723852</v>
      </c>
      <c r="M12" s="41">
        <f t="shared" si="7"/>
        <v>76514.526672745065</v>
      </c>
      <c r="N12" s="53">
        <f t="shared" si="3"/>
        <v>1.0043203310083606</v>
      </c>
      <c r="O12" s="10">
        <f t="shared" si="4"/>
        <v>1.2775522588124604</v>
      </c>
      <c r="P12" s="49">
        <f t="shared" si="5"/>
        <v>0.58659240466996121</v>
      </c>
    </row>
    <row r="13" spans="1:16" x14ac:dyDescent="0.3">
      <c r="E13" s="7">
        <v>2034</v>
      </c>
      <c r="F13" s="4">
        <f>'Costs April 2026'!I14</f>
        <v>7823.2778883885576</v>
      </c>
      <c r="G13" s="8">
        <f t="shared" si="6"/>
        <v>33417.387060421781</v>
      </c>
      <c r="H13" s="31">
        <f t="shared" si="0"/>
        <v>40043.17028297019</v>
      </c>
      <c r="I13" s="22">
        <f t="shared" si="1"/>
        <v>50937.177178975864</v>
      </c>
      <c r="J13" s="22">
        <f t="shared" si="2"/>
        <v>23387.975750040532</v>
      </c>
      <c r="K13" s="22">
        <f t="shared" si="7"/>
        <v>171045.70993936973</v>
      </c>
      <c r="L13" s="22">
        <f t="shared" si="7"/>
        <v>217579.81626621439</v>
      </c>
      <c r="M13" s="41">
        <f t="shared" si="7"/>
        <v>99902.50242278559</v>
      </c>
      <c r="N13" s="53">
        <f t="shared" si="3"/>
        <v>1.3113080439084148</v>
      </c>
      <c r="O13" s="10">
        <f t="shared" si="4"/>
        <v>1.6680579908326068</v>
      </c>
      <c r="P13" s="49">
        <f t="shared" si="5"/>
        <v>0.76589442132173347</v>
      </c>
    </row>
    <row r="14" spans="1:16" x14ac:dyDescent="0.3">
      <c r="A14" t="s">
        <v>83</v>
      </c>
      <c r="E14" s="7">
        <v>2035</v>
      </c>
      <c r="F14" s="4">
        <f>'Costs April 2026'!I15</f>
        <v>8965.7899105019424</v>
      </c>
      <c r="G14" s="8">
        <f t="shared" si="6"/>
        <v>42383.176970923727</v>
      </c>
      <c r="H14" s="31">
        <f t="shared" si="0"/>
        <v>45891.07752907856</v>
      </c>
      <c r="I14" s="22">
        <f t="shared" si="1"/>
        <v>58376.04591529871</v>
      </c>
      <c r="J14" s="22">
        <f t="shared" si="2"/>
        <v>26803.557281022247</v>
      </c>
      <c r="K14" s="22">
        <f t="shared" si="7"/>
        <v>216936.78746844828</v>
      </c>
      <c r="L14" s="22">
        <f t="shared" si="7"/>
        <v>275955.8621815131</v>
      </c>
      <c r="M14" s="41">
        <f t="shared" si="7"/>
        <v>126706.05970380784</v>
      </c>
      <c r="N14" s="53">
        <f t="shared" si="3"/>
        <v>1.6631282627776069</v>
      </c>
      <c r="O14" s="10">
        <f t="shared" si="4"/>
        <v>2.1155932058779436</v>
      </c>
      <c r="P14" s="49">
        <f t="shared" si="5"/>
        <v>0.9713817163870303</v>
      </c>
    </row>
    <row r="15" spans="1:16" x14ac:dyDescent="0.3">
      <c r="A15" t="s">
        <v>59</v>
      </c>
      <c r="B15" s="3">
        <v>6198.6291029924269</v>
      </c>
      <c r="E15" s="56">
        <v>2036</v>
      </c>
      <c r="F15" s="24">
        <f>'Costs April 2026'!I16</f>
        <v>10108.301932615326</v>
      </c>
      <c r="G15" s="27">
        <f t="shared" si="6"/>
        <v>52491.478903539057</v>
      </c>
      <c r="H15" s="32">
        <f t="shared" si="0"/>
        <v>51738.984775186931</v>
      </c>
      <c r="I15" s="25">
        <f t="shared" si="1"/>
        <v>65814.914651621555</v>
      </c>
      <c r="J15" s="25">
        <f t="shared" si="2"/>
        <v>30219.138812003963</v>
      </c>
      <c r="K15" s="25">
        <f t="shared" si="7"/>
        <v>268675.77224363521</v>
      </c>
      <c r="L15" s="25">
        <f t="shared" si="7"/>
        <v>341770.77683313465</v>
      </c>
      <c r="M15" s="43">
        <f t="shared" si="7"/>
        <v>156925.19851581182</v>
      </c>
      <c r="N15" s="54">
        <f t="shared" si="3"/>
        <v>2.059780987615937</v>
      </c>
      <c r="O15" s="26">
        <f t="shared" si="4"/>
        <v>2.6201579039484715</v>
      </c>
      <c r="P15" s="50">
        <f t="shared" si="5"/>
        <v>1.2030542898658516</v>
      </c>
    </row>
    <row r="16" spans="1:16" x14ac:dyDescent="0.3">
      <c r="A16" t="s">
        <v>60</v>
      </c>
      <c r="B16" s="3">
        <v>153586.79694597577</v>
      </c>
      <c r="G16" s="3"/>
      <c r="J16" s="13" t="s">
        <v>10</v>
      </c>
    </row>
    <row r="18" spans="1:7" x14ac:dyDescent="0.3">
      <c r="A18" t="s">
        <v>13</v>
      </c>
      <c r="B18" s="3">
        <v>15000</v>
      </c>
      <c r="E18" t="s">
        <v>10</v>
      </c>
      <c r="F18" t="s">
        <v>46</v>
      </c>
      <c r="G18" t="s">
        <v>64</v>
      </c>
    </row>
    <row r="19" spans="1:7" x14ac:dyDescent="0.3">
      <c r="A19" t="s">
        <v>11</v>
      </c>
      <c r="B19">
        <v>22.3</v>
      </c>
      <c r="E19" t="s">
        <v>23</v>
      </c>
      <c r="F19" s="39">
        <v>5118.4645175908863</v>
      </c>
      <c r="G19" s="38"/>
    </row>
    <row r="20" spans="1:7" x14ac:dyDescent="0.3">
      <c r="A20" t="s">
        <v>12</v>
      </c>
      <c r="B20">
        <f>1/B19</f>
        <v>4.4843049327354258E-2</v>
      </c>
      <c r="E20" t="s">
        <v>24</v>
      </c>
      <c r="F20" s="39">
        <v>683.12665294359829</v>
      </c>
      <c r="G20" s="38">
        <f t="shared" ref="G20:G41" si="8">F20/$F$19</f>
        <v>0.13346319987095004</v>
      </c>
    </row>
    <row r="21" spans="1:7" x14ac:dyDescent="0.3">
      <c r="A21" t="s">
        <v>61</v>
      </c>
      <c r="B21" s="1">
        <f>B18/B20</f>
        <v>334500</v>
      </c>
      <c r="E21" t="s">
        <v>25</v>
      </c>
      <c r="F21" s="39">
        <v>1386.5953286674901</v>
      </c>
      <c r="G21" s="38">
        <f t="shared" si="8"/>
        <v>0.27090064293737071</v>
      </c>
    </row>
    <row r="22" spans="1:7" x14ac:dyDescent="0.3">
      <c r="E22" t="s">
        <v>26</v>
      </c>
      <c r="F22" s="39">
        <v>1181.8012844792095</v>
      </c>
      <c r="G22" s="38">
        <f t="shared" si="8"/>
        <v>0.23088980697583292</v>
      </c>
    </row>
    <row r="23" spans="1:7" x14ac:dyDescent="0.3">
      <c r="E23" t="s">
        <v>27</v>
      </c>
      <c r="F23" s="39">
        <v>853.21400118933275</v>
      </c>
      <c r="G23" s="38">
        <f t="shared" si="8"/>
        <v>0.16669335076116068</v>
      </c>
    </row>
    <row r="24" spans="1:7" x14ac:dyDescent="0.3">
      <c r="E24" t="s">
        <v>28</v>
      </c>
      <c r="F24" s="39">
        <v>88.350304194684597</v>
      </c>
      <c r="G24" s="38">
        <f t="shared" si="8"/>
        <v>1.7261095371677703E-2</v>
      </c>
    </row>
    <row r="25" spans="1:7" x14ac:dyDescent="0.3">
      <c r="E25" t="s">
        <v>29</v>
      </c>
      <c r="F25" s="39">
        <v>96.641698001006361</v>
      </c>
      <c r="G25" s="38">
        <f t="shared" si="8"/>
        <v>1.8880994030313767E-2</v>
      </c>
    </row>
    <row r="26" spans="1:7" x14ac:dyDescent="0.3">
      <c r="E26" t="s">
        <v>30</v>
      </c>
      <c r="F26" s="39">
        <v>304.18952472439508</v>
      </c>
      <c r="G26" s="38">
        <f t="shared" si="8"/>
        <v>5.9429839491701372E-2</v>
      </c>
    </row>
    <row r="27" spans="1:7" x14ac:dyDescent="0.3">
      <c r="B27" s="17"/>
      <c r="E27" t="s">
        <v>31</v>
      </c>
      <c r="F27" s="39">
        <v>0</v>
      </c>
      <c r="G27" s="38">
        <f t="shared" si="8"/>
        <v>0</v>
      </c>
    </row>
    <row r="28" spans="1:7" x14ac:dyDescent="0.3">
      <c r="E28" t="s">
        <v>32</v>
      </c>
      <c r="F28" s="39">
        <v>0</v>
      </c>
      <c r="G28" s="38">
        <f t="shared" si="8"/>
        <v>0</v>
      </c>
    </row>
    <row r="29" spans="1:7" x14ac:dyDescent="0.3">
      <c r="E29" t="s">
        <v>33</v>
      </c>
      <c r="F29" s="39">
        <v>0</v>
      </c>
      <c r="G29" s="38">
        <f t="shared" si="8"/>
        <v>0</v>
      </c>
    </row>
    <row r="30" spans="1:7" x14ac:dyDescent="0.3">
      <c r="E30" t="s">
        <v>34</v>
      </c>
      <c r="F30" s="39">
        <v>12.132112635631948</v>
      </c>
      <c r="G30" s="38">
        <f t="shared" si="8"/>
        <v>2.3702640887588262E-3</v>
      </c>
    </row>
    <row r="31" spans="1:7" x14ac:dyDescent="0.3">
      <c r="E31" t="s">
        <v>35</v>
      </c>
      <c r="F31" s="39">
        <v>439.62093494174866</v>
      </c>
      <c r="G31" s="38">
        <f t="shared" si="8"/>
        <v>8.5889221939681543E-2</v>
      </c>
    </row>
    <row r="32" spans="1:7" x14ac:dyDescent="0.3">
      <c r="E32" t="s">
        <v>36</v>
      </c>
      <c r="F32" s="39">
        <v>5.0717102567295678</v>
      </c>
      <c r="G32" s="38">
        <f t="shared" si="8"/>
        <v>9.9086556901964722E-4</v>
      </c>
    </row>
    <row r="33" spans="5:7" x14ac:dyDescent="0.3">
      <c r="E33" t="s">
        <v>37</v>
      </c>
      <c r="F33" s="39">
        <v>0.18541736422452182</v>
      </c>
      <c r="G33" s="38">
        <f t="shared" si="8"/>
        <v>3.6225192845879571E-5</v>
      </c>
    </row>
    <row r="34" spans="5:7" x14ac:dyDescent="0.3">
      <c r="E34" t="s">
        <v>38</v>
      </c>
      <c r="F34" s="39">
        <v>0.33447838252266687</v>
      </c>
      <c r="G34" s="38">
        <f t="shared" si="8"/>
        <v>6.5347406702371009E-5</v>
      </c>
    </row>
    <row r="35" spans="5:7" x14ac:dyDescent="0.3">
      <c r="E35" t="s">
        <v>39</v>
      </c>
      <c r="F35" s="39">
        <v>0.13451847992759428</v>
      </c>
      <c r="G35" s="38">
        <f t="shared" si="8"/>
        <v>2.6281022260736163E-5</v>
      </c>
    </row>
    <row r="36" spans="5:7" x14ac:dyDescent="0.3">
      <c r="E36" t="s">
        <v>40</v>
      </c>
      <c r="F36" s="39">
        <v>25.038615439495722</v>
      </c>
      <c r="G36" s="38">
        <f t="shared" si="8"/>
        <v>4.8918216299916198E-3</v>
      </c>
    </row>
    <row r="37" spans="5:7" x14ac:dyDescent="0.3">
      <c r="E37" t="s">
        <v>41</v>
      </c>
      <c r="F37" s="39">
        <v>42.009757717928423</v>
      </c>
      <c r="G37" s="38">
        <f t="shared" si="8"/>
        <v>8.2074922222380095E-3</v>
      </c>
    </row>
    <row r="38" spans="5:7" x14ac:dyDescent="0.3">
      <c r="E38" t="s">
        <v>42</v>
      </c>
      <c r="F38" s="39">
        <v>1.8178172963188417E-2</v>
      </c>
      <c r="G38" s="38">
        <f t="shared" si="8"/>
        <v>3.5514894946940766E-6</v>
      </c>
    </row>
    <row r="39" spans="5:7" x14ac:dyDescent="0.3">
      <c r="E39" t="s">
        <v>43</v>
      </c>
      <c r="F39" s="39">
        <v>0</v>
      </c>
      <c r="G39" s="38">
        <f t="shared" si="8"/>
        <v>0</v>
      </c>
    </row>
    <row r="40" spans="5:7" x14ac:dyDescent="0.3">
      <c r="E40" t="s">
        <v>44</v>
      </c>
      <c r="F40" s="39">
        <v>0</v>
      </c>
      <c r="G40" s="38">
        <f t="shared" si="8"/>
        <v>0</v>
      </c>
    </row>
    <row r="41" spans="5:7" x14ac:dyDescent="0.3">
      <c r="E41" t="s">
        <v>45</v>
      </c>
      <c r="F41" s="39">
        <v>0</v>
      </c>
      <c r="G41" s="38">
        <f t="shared" si="8"/>
        <v>0</v>
      </c>
    </row>
  </sheetData>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1"/>
  <sheetViews>
    <sheetView workbookViewId="0">
      <selection activeCell="A11" sqref="A11"/>
    </sheetView>
  </sheetViews>
  <sheetFormatPr defaultRowHeight="14.4" x14ac:dyDescent="0.3"/>
  <cols>
    <col min="1" max="1" width="54.6640625" customWidth="1"/>
    <col min="2" max="3" width="11" bestFit="1" customWidth="1"/>
    <col min="5" max="5" width="10.5546875" customWidth="1"/>
    <col min="6" max="6" width="12.88671875" customWidth="1"/>
    <col min="7" max="7" width="11.88671875" customWidth="1"/>
    <col min="8" max="8" width="15" customWidth="1"/>
    <col min="9" max="9" width="11" bestFit="1" customWidth="1"/>
    <col min="11" max="11" width="11.21875" customWidth="1"/>
    <col min="12" max="12" width="13.21875" customWidth="1"/>
  </cols>
  <sheetData>
    <row r="1" spans="1:16" x14ac:dyDescent="0.3">
      <c r="A1" s="14" t="s">
        <v>62</v>
      </c>
    </row>
    <row r="2" spans="1:16" x14ac:dyDescent="0.3">
      <c r="A2" t="s">
        <v>15</v>
      </c>
      <c r="B2" s="28">
        <v>137447</v>
      </c>
      <c r="E2" s="12"/>
      <c r="F2" s="20" t="s">
        <v>51</v>
      </c>
      <c r="G2" s="15"/>
      <c r="H2" s="12" t="s">
        <v>63</v>
      </c>
      <c r="I2" s="20"/>
      <c r="J2" s="20"/>
      <c r="K2" s="20"/>
      <c r="L2" s="20"/>
      <c r="M2" s="15"/>
      <c r="N2" s="20" t="s">
        <v>7</v>
      </c>
      <c r="O2" s="20"/>
      <c r="P2" s="15"/>
    </row>
    <row r="3" spans="1:16" x14ac:dyDescent="0.3">
      <c r="A3" t="s">
        <v>67</v>
      </c>
      <c r="B3" s="35">
        <f>B2-B4</f>
        <v>130439</v>
      </c>
      <c r="E3" s="7"/>
      <c r="F3" s="6"/>
      <c r="G3" s="9"/>
      <c r="H3" s="7" t="s">
        <v>1</v>
      </c>
      <c r="I3" s="6"/>
      <c r="J3" s="6"/>
      <c r="K3" s="6" t="s">
        <v>8</v>
      </c>
      <c r="L3" s="6"/>
      <c r="M3" s="9"/>
      <c r="N3" s="6" t="s">
        <v>6</v>
      </c>
      <c r="O3" s="6"/>
      <c r="P3" s="9"/>
    </row>
    <row r="4" spans="1:16" x14ac:dyDescent="0.3">
      <c r="A4" s="19" t="s">
        <v>16</v>
      </c>
      <c r="B4" s="36">
        <v>7008</v>
      </c>
      <c r="E4" s="7" t="s">
        <v>0</v>
      </c>
      <c r="F4" s="21" t="s">
        <v>1</v>
      </c>
      <c r="G4" s="30" t="s">
        <v>9</v>
      </c>
      <c r="H4" s="7" t="s">
        <v>3</v>
      </c>
      <c r="I4" s="6" t="s">
        <v>4</v>
      </c>
      <c r="J4" s="33" t="s">
        <v>49</v>
      </c>
      <c r="K4" s="6" t="s">
        <v>3</v>
      </c>
      <c r="L4" s="6" t="s">
        <v>4</v>
      </c>
      <c r="M4" s="48" t="s">
        <v>49</v>
      </c>
      <c r="N4" s="6" t="s">
        <v>3</v>
      </c>
      <c r="O4" s="6" t="s">
        <v>4</v>
      </c>
      <c r="P4" s="48" t="s">
        <v>49</v>
      </c>
    </row>
    <row r="5" spans="1:16" x14ac:dyDescent="0.3">
      <c r="A5" s="19" t="s">
        <v>66</v>
      </c>
      <c r="B5" s="28">
        <v>11817</v>
      </c>
      <c r="E5" s="7">
        <v>2026</v>
      </c>
      <c r="F5" s="4">
        <f>'Costs April 2026'!G6</f>
        <v>668.14715675581101</v>
      </c>
      <c r="G5" s="8">
        <f>F5</f>
        <v>668.14715675581101</v>
      </c>
      <c r="H5" s="31">
        <f>(F5*1000000)/$B$12</f>
        <v>3419.8875143838545</v>
      </c>
      <c r="I5" s="22">
        <f>(F5*1000000)/$B$16</f>
        <v>4350.2903247004497</v>
      </c>
      <c r="J5" s="22">
        <f>(F5*1000000)/$B$21</f>
        <v>1997.450393888822</v>
      </c>
      <c r="K5" s="22">
        <f>H5</f>
        <v>3419.8875143838545</v>
      </c>
      <c r="L5" s="22">
        <f>I5</f>
        <v>4350.2903247004497</v>
      </c>
      <c r="M5" s="41">
        <f>J5</f>
        <v>1997.450393888822</v>
      </c>
      <c r="N5" s="10">
        <f>K5/$B$7</f>
        <v>2.2363022078546842E-2</v>
      </c>
      <c r="O5" s="10">
        <f>L5/$B$7</f>
        <v>2.8447028789744384E-2</v>
      </c>
      <c r="P5" s="49">
        <f>M5/$B$7</f>
        <v>1.3061548682950067E-2</v>
      </c>
    </row>
    <row r="6" spans="1:16" x14ac:dyDescent="0.3">
      <c r="A6" s="19" t="s">
        <v>65</v>
      </c>
      <c r="B6" s="28">
        <v>3662</v>
      </c>
      <c r="E6" s="7">
        <v>2027</v>
      </c>
      <c r="F6" s="4">
        <f>'Costs April 2026'!G7</f>
        <v>1336.294313511622</v>
      </c>
      <c r="G6" s="8">
        <f>G5+F6</f>
        <v>2004.441470267433</v>
      </c>
      <c r="H6" s="31">
        <f t="shared" ref="H6:H14" si="0">(F6*1000000)/$B$12</f>
        <v>6839.775028767709</v>
      </c>
      <c r="I6" s="22">
        <f t="shared" ref="I6:I14" si="1">(F6*1000000)/$B$16</f>
        <v>8700.5806494008993</v>
      </c>
      <c r="J6" s="22">
        <f t="shared" ref="J6:J14" si="2">(F6*1000000)/$B$21</f>
        <v>3994.9007877776439</v>
      </c>
      <c r="K6" s="22">
        <f>K5+H6</f>
        <v>10259.662543151564</v>
      </c>
      <c r="L6" s="22">
        <f>L5+I6</f>
        <v>13050.870974101348</v>
      </c>
      <c r="M6" s="41">
        <f>M5+J6</f>
        <v>5992.3511816664659</v>
      </c>
      <c r="N6" s="10">
        <f t="shared" ref="N6:N14" si="3">K6/$B$7</f>
        <v>6.7089066235640538E-2</v>
      </c>
      <c r="O6" s="10">
        <f t="shared" ref="O6:O14" si="4">L6/$B$7</f>
        <v>8.5341086369233141E-2</v>
      </c>
      <c r="P6" s="49">
        <f t="shared" ref="P6:P14" si="5">M6/$B$7</f>
        <v>3.9184646048850198E-2</v>
      </c>
    </row>
    <row r="7" spans="1:16" x14ac:dyDescent="0.3">
      <c r="A7" t="s">
        <v>68</v>
      </c>
      <c r="B7" s="46">
        <f>SUM(B3:B6)</f>
        <v>152926</v>
      </c>
      <c r="E7" s="23">
        <v>2028</v>
      </c>
      <c r="F7" s="4">
        <f>'Costs April 2026'!G8</f>
        <v>2004.441470267433</v>
      </c>
      <c r="G7" s="8">
        <f t="shared" ref="G7:G15" si="6">G6+F7</f>
        <v>4008.8829405348661</v>
      </c>
      <c r="H7" s="31">
        <f t="shared" si="0"/>
        <v>10259.662543151564</v>
      </c>
      <c r="I7" s="22">
        <f t="shared" si="1"/>
        <v>13050.870974101348</v>
      </c>
      <c r="J7" s="22">
        <f t="shared" si="2"/>
        <v>5992.3511816664659</v>
      </c>
      <c r="K7" s="22">
        <f t="shared" ref="K7:L14" si="7">K6+H7</f>
        <v>20519.325086303128</v>
      </c>
      <c r="L7" s="22">
        <f t="shared" si="7"/>
        <v>26101.741948202696</v>
      </c>
      <c r="M7" s="41">
        <f t="shared" ref="M7:M14" si="8">M6+J7</f>
        <v>11984.702363332932</v>
      </c>
      <c r="N7" s="10">
        <f t="shared" si="3"/>
        <v>0.13417813247128108</v>
      </c>
      <c r="O7" s="10">
        <f t="shared" si="4"/>
        <v>0.17068217273846628</v>
      </c>
      <c r="P7" s="49">
        <f t="shared" si="5"/>
        <v>7.8369292097700397E-2</v>
      </c>
    </row>
    <row r="8" spans="1:16" x14ac:dyDescent="0.3">
      <c r="E8" s="7">
        <v>2029</v>
      </c>
      <c r="F8" s="4">
        <f>'Costs April 2026'!G9</f>
        <v>2990.5437157801525</v>
      </c>
      <c r="G8" s="8">
        <f t="shared" si="6"/>
        <v>6999.4266563150186</v>
      </c>
      <c r="H8" s="31">
        <f t="shared" si="0"/>
        <v>15306.991897525115</v>
      </c>
      <c r="I8" s="22">
        <f t="shared" si="1"/>
        <v>19471.359356703542</v>
      </c>
      <c r="J8" s="22">
        <f t="shared" si="2"/>
        <v>8940.3399574892446</v>
      </c>
      <c r="K8" s="22">
        <f t="shared" si="7"/>
        <v>35826.316983828241</v>
      </c>
      <c r="L8" s="22">
        <f t="shared" si="7"/>
        <v>45573.101304906239</v>
      </c>
      <c r="M8" s="41">
        <f t="shared" si="8"/>
        <v>20925.042320822176</v>
      </c>
      <c r="N8" s="10">
        <f t="shared" si="3"/>
        <v>0.23427224267834273</v>
      </c>
      <c r="O8" s="10">
        <f t="shared" si="4"/>
        <v>0.29800754158812914</v>
      </c>
      <c r="P8" s="49">
        <f t="shared" si="5"/>
        <v>0.13683116226686226</v>
      </c>
    </row>
    <row r="9" spans="1:16" x14ac:dyDescent="0.3">
      <c r="B9" s="3"/>
      <c r="E9" s="7">
        <v>2030</v>
      </c>
      <c r="F9" s="4">
        <f>'Costs April 2026'!G10</f>
        <v>3976.645961292872</v>
      </c>
      <c r="G9" s="8">
        <f t="shared" si="6"/>
        <v>10976.07261760789</v>
      </c>
      <c r="H9" s="31">
        <f t="shared" si="0"/>
        <v>20354.321251898666</v>
      </c>
      <c r="I9" s="22">
        <f t="shared" si="1"/>
        <v>25891.847739305736</v>
      </c>
      <c r="J9" s="22">
        <f t="shared" si="2"/>
        <v>11888.328733312024</v>
      </c>
      <c r="K9" s="22">
        <f t="shared" si="7"/>
        <v>56180.638235726903</v>
      </c>
      <c r="L9" s="22">
        <f t="shared" si="7"/>
        <v>71464.949044211971</v>
      </c>
      <c r="M9" s="41">
        <f t="shared" si="8"/>
        <v>32813.371054134201</v>
      </c>
      <c r="N9" s="10">
        <f t="shared" si="3"/>
        <v>0.36737139685682552</v>
      </c>
      <c r="O9" s="10">
        <f t="shared" si="4"/>
        <v>0.46731719291822171</v>
      </c>
      <c r="P9" s="49">
        <f t="shared" si="5"/>
        <v>0.21457025655633574</v>
      </c>
    </row>
    <row r="10" spans="1:16" x14ac:dyDescent="0.3">
      <c r="A10" t="s">
        <v>5</v>
      </c>
      <c r="B10" t="s">
        <v>17</v>
      </c>
      <c r="E10" s="7">
        <v>2031</v>
      </c>
      <c r="F10" s="4">
        <f>'Costs April 2026'!G11</f>
        <v>5373.216784096875</v>
      </c>
      <c r="G10" s="8">
        <f t="shared" si="6"/>
        <v>16349.289401704766</v>
      </c>
      <c r="H10" s="31">
        <f t="shared" si="0"/>
        <v>27502.619454723666</v>
      </c>
      <c r="I10" s="22">
        <f t="shared" si="1"/>
        <v>34984.887314154395</v>
      </c>
      <c r="J10" s="22">
        <f t="shared" si="2"/>
        <v>16063.428353054933</v>
      </c>
      <c r="K10" s="22">
        <f t="shared" si="7"/>
        <v>83683.257690450569</v>
      </c>
      <c r="L10" s="22">
        <f t="shared" si="7"/>
        <v>106449.83635836636</v>
      </c>
      <c r="M10" s="41">
        <f t="shared" si="8"/>
        <v>48876.79940718913</v>
      </c>
      <c r="N10" s="10">
        <f t="shared" si="3"/>
        <v>0.54721406229451219</v>
      </c>
      <c r="O10" s="10">
        <f t="shared" si="4"/>
        <v>0.69608723407639228</v>
      </c>
      <c r="P10" s="49">
        <f t="shared" si="5"/>
        <v>0.31961078827138045</v>
      </c>
    </row>
    <row r="11" spans="1:16" x14ac:dyDescent="0.3">
      <c r="A11" t="s">
        <v>59</v>
      </c>
      <c r="B11" s="3">
        <v>8772.5240453571478</v>
      </c>
      <c r="E11" s="7">
        <v>2032</v>
      </c>
      <c r="F11" s="4">
        <f>'Costs April 2026'!G12</f>
        <v>6769.787606900878</v>
      </c>
      <c r="G11" s="8">
        <f t="shared" si="6"/>
        <v>23119.077008605644</v>
      </c>
      <c r="H11" s="31">
        <f t="shared" si="0"/>
        <v>34650.917657548664</v>
      </c>
      <c r="I11" s="22">
        <f t="shared" si="1"/>
        <v>44077.926889003058</v>
      </c>
      <c r="J11" s="22">
        <f t="shared" si="2"/>
        <v>20238.527972797841</v>
      </c>
      <c r="K11" s="22">
        <f t="shared" si="7"/>
        <v>118334.17534799923</v>
      </c>
      <c r="L11" s="22">
        <f t="shared" si="7"/>
        <v>150527.76324736941</v>
      </c>
      <c r="M11" s="41">
        <f t="shared" si="8"/>
        <v>69115.327379986964</v>
      </c>
      <c r="N11" s="10">
        <f t="shared" si="3"/>
        <v>0.7738002389914026</v>
      </c>
      <c r="O11" s="10">
        <f t="shared" si="4"/>
        <v>0.98431766506264085</v>
      </c>
      <c r="P11" s="49">
        <f t="shared" si="5"/>
        <v>0.45195275741199642</v>
      </c>
    </row>
    <row r="12" spans="1:16" x14ac:dyDescent="0.3">
      <c r="A12" t="s">
        <v>60</v>
      </c>
      <c r="B12" s="3">
        <v>195371.09157702458</v>
      </c>
      <c r="E12" s="7">
        <v>2033</v>
      </c>
      <c r="F12" s="4">
        <f>'Costs April 2026'!G13</f>
        <v>8166.358429704881</v>
      </c>
      <c r="G12" s="8">
        <f t="shared" si="6"/>
        <v>31285.435438310524</v>
      </c>
      <c r="H12" s="31">
        <f t="shared" si="0"/>
        <v>41799.215860373661</v>
      </c>
      <c r="I12" s="22">
        <f t="shared" si="1"/>
        <v>53170.966463851713</v>
      </c>
      <c r="J12" s="22">
        <f t="shared" si="2"/>
        <v>24413.62759254075</v>
      </c>
      <c r="K12" s="22">
        <f t="shared" si="7"/>
        <v>160133.39120837289</v>
      </c>
      <c r="L12" s="22">
        <f t="shared" si="7"/>
        <v>203698.72971122112</v>
      </c>
      <c r="M12" s="41">
        <f t="shared" si="8"/>
        <v>93528.954972527717</v>
      </c>
      <c r="N12" s="10">
        <f t="shared" si="3"/>
        <v>1.0471299269474967</v>
      </c>
      <c r="O12" s="10">
        <f t="shared" si="4"/>
        <v>1.3320084858769674</v>
      </c>
      <c r="P12" s="49">
        <f t="shared" si="5"/>
        <v>0.61159616397818373</v>
      </c>
    </row>
    <row r="13" spans="1:16" x14ac:dyDescent="0.3">
      <c r="E13" s="7">
        <v>2034</v>
      </c>
      <c r="F13" s="4">
        <f>'Costs April 2026'!G14</f>
        <v>9562.929252508884</v>
      </c>
      <c r="G13" s="8">
        <f t="shared" si="6"/>
        <v>40848.364690819406</v>
      </c>
      <c r="H13" s="31">
        <f t="shared" si="0"/>
        <v>48947.514063198665</v>
      </c>
      <c r="I13" s="22">
        <f t="shared" si="1"/>
        <v>62264.006038700376</v>
      </c>
      <c r="J13" s="22">
        <f t="shared" si="2"/>
        <v>28588.727212283662</v>
      </c>
      <c r="K13" s="22">
        <f t="shared" si="7"/>
        <v>209080.90527157157</v>
      </c>
      <c r="L13" s="22">
        <f t="shared" si="7"/>
        <v>265962.73574992153</v>
      </c>
      <c r="M13" s="41">
        <f t="shared" si="8"/>
        <v>122117.68218481138</v>
      </c>
      <c r="N13" s="10">
        <f t="shared" si="3"/>
        <v>1.3672031261627948</v>
      </c>
      <c r="O13" s="10">
        <f t="shared" si="4"/>
        <v>1.7391596965193723</v>
      </c>
      <c r="P13" s="49">
        <f t="shared" si="5"/>
        <v>0.79854100796994221</v>
      </c>
    </row>
    <row r="14" spans="1:16" x14ac:dyDescent="0.3">
      <c r="A14" t="s">
        <v>83</v>
      </c>
      <c r="E14" s="7">
        <v>2035</v>
      </c>
      <c r="F14" s="4">
        <f>'Costs April 2026'!G15</f>
        <v>10959.500075312886</v>
      </c>
      <c r="G14" s="8">
        <f t="shared" si="6"/>
        <v>51807.86476613229</v>
      </c>
      <c r="H14" s="31">
        <f t="shared" si="0"/>
        <v>56095.812266023648</v>
      </c>
      <c r="I14" s="22">
        <f t="shared" si="1"/>
        <v>71357.045613549024</v>
      </c>
      <c r="J14" s="22">
        <f t="shared" si="2"/>
        <v>32763.826832026563</v>
      </c>
      <c r="K14" s="22">
        <f t="shared" si="7"/>
        <v>265176.71753759519</v>
      </c>
      <c r="L14" s="22">
        <f t="shared" si="7"/>
        <v>337319.78136347054</v>
      </c>
      <c r="M14" s="41">
        <f t="shared" si="8"/>
        <v>154881.50901683792</v>
      </c>
      <c r="N14" s="10">
        <f t="shared" si="3"/>
        <v>1.7340198366372963</v>
      </c>
      <c r="O14" s="10">
        <f t="shared" si="4"/>
        <v>2.2057712969898549</v>
      </c>
      <c r="P14" s="49">
        <f t="shared" si="5"/>
        <v>1.0127872893872718</v>
      </c>
    </row>
    <row r="15" spans="1:16" x14ac:dyDescent="0.3">
      <c r="A15" t="s">
        <v>59</v>
      </c>
      <c r="B15" s="3">
        <v>6198.6291029924269</v>
      </c>
      <c r="E15" s="56">
        <v>2036</v>
      </c>
      <c r="F15" s="24">
        <f>'Costs April 2026'!G16</f>
        <v>12356.070898116888</v>
      </c>
      <c r="G15" s="27">
        <f t="shared" si="6"/>
        <v>64163.935664249177</v>
      </c>
      <c r="H15" s="32">
        <f t="shared" ref="H15" si="9">(F15*1000000)/$B$12</f>
        <v>63244.110468848645</v>
      </c>
      <c r="I15" s="25">
        <f t="shared" ref="I15" si="10">(F15*1000000)/$B$16</f>
        <v>80450.085188397687</v>
      </c>
      <c r="J15" s="25">
        <f t="shared" ref="J15" si="11">(F15*1000000)/$B$21</f>
        <v>36938.926451769468</v>
      </c>
      <c r="K15" s="25">
        <f t="shared" ref="K15" si="12">K14+H15</f>
        <v>328420.82800644386</v>
      </c>
      <c r="L15" s="25">
        <f t="shared" ref="L15" si="13">L14+I15</f>
        <v>417769.86655186821</v>
      </c>
      <c r="M15" s="43">
        <f t="shared" ref="M15" si="14">M14+J15</f>
        <v>191820.43546860741</v>
      </c>
      <c r="N15" s="26">
        <f t="shared" ref="N15" si="15">K15/$B$7</f>
        <v>2.1475800583710019</v>
      </c>
      <c r="O15" s="26">
        <f t="shared" ref="O15" si="16">L15/$B$7</f>
        <v>2.7318432872884153</v>
      </c>
      <c r="P15" s="50">
        <f t="shared" ref="P15" si="17">M15/$B$7</f>
        <v>1.2543350082301727</v>
      </c>
    </row>
    <row r="16" spans="1:16" x14ac:dyDescent="0.3">
      <c r="A16" t="s">
        <v>60</v>
      </c>
      <c r="B16" s="3">
        <v>153586.79694597577</v>
      </c>
      <c r="E16" t="s">
        <v>80</v>
      </c>
      <c r="G16" s="3">
        <f>G15-'Excess deaths over time NHS'!G15</f>
        <v>11672.45676071012</v>
      </c>
      <c r="J16" s="13" t="s">
        <v>10</v>
      </c>
    </row>
    <row r="18" spans="1:7" x14ac:dyDescent="0.3">
      <c r="A18" t="s">
        <v>13</v>
      </c>
      <c r="B18" s="3">
        <v>15000</v>
      </c>
      <c r="E18" t="s">
        <v>10</v>
      </c>
      <c r="F18" t="s">
        <v>46</v>
      </c>
      <c r="G18" t="s">
        <v>64</v>
      </c>
    </row>
    <row r="19" spans="1:7" x14ac:dyDescent="0.3">
      <c r="A19" t="s">
        <v>11</v>
      </c>
      <c r="B19">
        <v>22.3</v>
      </c>
      <c r="E19" t="s">
        <v>23</v>
      </c>
      <c r="F19" s="39">
        <v>5118.4645175908863</v>
      </c>
      <c r="G19" s="38"/>
    </row>
    <row r="20" spans="1:7" x14ac:dyDescent="0.3">
      <c r="A20" t="s">
        <v>12</v>
      </c>
      <c r="B20">
        <f>1/B19</f>
        <v>4.4843049327354258E-2</v>
      </c>
      <c r="E20" t="s">
        <v>24</v>
      </c>
      <c r="F20" s="39">
        <v>683.12665294359829</v>
      </c>
      <c r="G20" s="38">
        <f t="shared" ref="G20:G41" si="18">F20/$F$19</f>
        <v>0.13346319987095004</v>
      </c>
    </row>
    <row r="21" spans="1:7" x14ac:dyDescent="0.3">
      <c r="A21" t="s">
        <v>61</v>
      </c>
      <c r="B21" s="1">
        <f>B18/B20</f>
        <v>334500</v>
      </c>
      <c r="E21" t="s">
        <v>25</v>
      </c>
      <c r="F21" s="39">
        <v>1386.5953286674901</v>
      </c>
      <c r="G21" s="38">
        <f t="shared" si="18"/>
        <v>0.27090064293737071</v>
      </c>
    </row>
    <row r="22" spans="1:7" x14ac:dyDescent="0.3">
      <c r="E22" t="s">
        <v>26</v>
      </c>
      <c r="F22" s="39">
        <v>1181.8012844792095</v>
      </c>
      <c r="G22" s="38">
        <f t="shared" si="18"/>
        <v>0.23088980697583292</v>
      </c>
    </row>
    <row r="23" spans="1:7" x14ac:dyDescent="0.3">
      <c r="E23" t="s">
        <v>27</v>
      </c>
      <c r="F23" s="39">
        <v>853.21400118933275</v>
      </c>
      <c r="G23" s="38">
        <f t="shared" si="18"/>
        <v>0.16669335076116068</v>
      </c>
    </row>
    <row r="24" spans="1:7" x14ac:dyDescent="0.3">
      <c r="E24" t="s">
        <v>28</v>
      </c>
      <c r="F24" s="39">
        <v>88.350304194684597</v>
      </c>
      <c r="G24" s="38">
        <f t="shared" si="18"/>
        <v>1.7261095371677703E-2</v>
      </c>
    </row>
    <row r="25" spans="1:7" x14ac:dyDescent="0.3">
      <c r="E25" t="s">
        <v>29</v>
      </c>
      <c r="F25" s="39">
        <v>96.641698001006361</v>
      </c>
      <c r="G25" s="38">
        <f t="shared" si="18"/>
        <v>1.8880994030313767E-2</v>
      </c>
    </row>
    <row r="26" spans="1:7" x14ac:dyDescent="0.3">
      <c r="E26" t="s">
        <v>30</v>
      </c>
      <c r="F26" s="39">
        <v>304.18952472439508</v>
      </c>
      <c r="G26" s="38">
        <f t="shared" si="18"/>
        <v>5.9429839491701372E-2</v>
      </c>
    </row>
    <row r="27" spans="1:7" x14ac:dyDescent="0.3">
      <c r="B27" s="17"/>
      <c r="E27" t="s">
        <v>31</v>
      </c>
      <c r="F27" s="39">
        <v>0</v>
      </c>
      <c r="G27" s="38">
        <f t="shared" si="18"/>
        <v>0</v>
      </c>
    </row>
    <row r="28" spans="1:7" x14ac:dyDescent="0.3">
      <c r="E28" t="s">
        <v>32</v>
      </c>
      <c r="F28" s="39">
        <v>0</v>
      </c>
      <c r="G28" s="38">
        <f t="shared" si="18"/>
        <v>0</v>
      </c>
    </row>
    <row r="29" spans="1:7" x14ac:dyDescent="0.3">
      <c r="E29" t="s">
        <v>33</v>
      </c>
      <c r="F29" s="39">
        <v>0</v>
      </c>
      <c r="G29" s="38">
        <f t="shared" si="18"/>
        <v>0</v>
      </c>
    </row>
    <row r="30" spans="1:7" x14ac:dyDescent="0.3">
      <c r="E30" t="s">
        <v>34</v>
      </c>
      <c r="F30" s="39">
        <v>12.132112635631948</v>
      </c>
      <c r="G30" s="38">
        <f t="shared" si="18"/>
        <v>2.3702640887588262E-3</v>
      </c>
    </row>
    <row r="31" spans="1:7" x14ac:dyDescent="0.3">
      <c r="E31" t="s">
        <v>35</v>
      </c>
      <c r="F31" s="39">
        <v>439.62093494174866</v>
      </c>
      <c r="G31" s="38">
        <f t="shared" si="18"/>
        <v>8.5889221939681543E-2</v>
      </c>
    </row>
    <row r="32" spans="1:7" x14ac:dyDescent="0.3">
      <c r="E32" t="s">
        <v>36</v>
      </c>
      <c r="F32" s="39">
        <v>5.0717102567295678</v>
      </c>
      <c r="G32" s="38">
        <f t="shared" si="18"/>
        <v>9.9086556901964722E-4</v>
      </c>
    </row>
    <row r="33" spans="5:7" x14ac:dyDescent="0.3">
      <c r="E33" t="s">
        <v>37</v>
      </c>
      <c r="F33" s="39">
        <v>0.18541736422452182</v>
      </c>
      <c r="G33" s="38">
        <f t="shared" si="18"/>
        <v>3.6225192845879571E-5</v>
      </c>
    </row>
    <row r="34" spans="5:7" x14ac:dyDescent="0.3">
      <c r="E34" t="s">
        <v>38</v>
      </c>
      <c r="F34" s="39">
        <v>0.33447838252266687</v>
      </c>
      <c r="G34" s="38">
        <f t="shared" si="18"/>
        <v>6.5347406702371009E-5</v>
      </c>
    </row>
    <row r="35" spans="5:7" x14ac:dyDescent="0.3">
      <c r="E35" t="s">
        <v>39</v>
      </c>
      <c r="F35" s="39">
        <v>0.13451847992759428</v>
      </c>
      <c r="G35" s="38">
        <f t="shared" si="18"/>
        <v>2.6281022260736163E-5</v>
      </c>
    </row>
    <row r="36" spans="5:7" x14ac:dyDescent="0.3">
      <c r="E36" t="s">
        <v>40</v>
      </c>
      <c r="F36" s="39">
        <v>25.038615439495722</v>
      </c>
      <c r="G36" s="38">
        <f t="shared" si="18"/>
        <v>4.8918216299916198E-3</v>
      </c>
    </row>
    <row r="37" spans="5:7" x14ac:dyDescent="0.3">
      <c r="E37" t="s">
        <v>41</v>
      </c>
      <c r="F37" s="39">
        <v>42.009757717928423</v>
      </c>
      <c r="G37" s="38">
        <f t="shared" si="18"/>
        <v>8.2074922222380095E-3</v>
      </c>
    </row>
    <row r="38" spans="5:7" x14ac:dyDescent="0.3">
      <c r="E38" t="s">
        <v>42</v>
      </c>
      <c r="F38" s="39">
        <v>1.8178172963188417E-2</v>
      </c>
      <c r="G38" s="38">
        <f t="shared" si="18"/>
        <v>3.5514894946940766E-6</v>
      </c>
    </row>
    <row r="39" spans="5:7" x14ac:dyDescent="0.3">
      <c r="E39" t="s">
        <v>43</v>
      </c>
      <c r="F39" s="39">
        <v>0</v>
      </c>
      <c r="G39" s="38">
        <f t="shared" si="18"/>
        <v>0</v>
      </c>
    </row>
    <row r="40" spans="5:7" x14ac:dyDescent="0.3">
      <c r="E40" t="s">
        <v>44</v>
      </c>
      <c r="F40" s="39">
        <v>0</v>
      </c>
      <c r="G40" s="38">
        <f t="shared" si="18"/>
        <v>0</v>
      </c>
    </row>
    <row r="41" spans="5:7" x14ac:dyDescent="0.3">
      <c r="E41" t="s">
        <v>45</v>
      </c>
      <c r="F41" s="39">
        <v>0</v>
      </c>
      <c r="G41" s="38">
        <f t="shared" si="18"/>
        <v>0</v>
      </c>
    </row>
  </sheetData>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D13" sqref="D13"/>
    </sheetView>
  </sheetViews>
  <sheetFormatPr defaultRowHeight="14.4" x14ac:dyDescent="0.3"/>
  <cols>
    <col min="1" max="1" width="16.77734375" customWidth="1"/>
    <col min="2" max="2" width="24" customWidth="1"/>
    <col min="3" max="3" width="25.5546875" customWidth="1"/>
    <col min="4" max="4" width="13.6640625" customWidth="1"/>
    <col min="5" max="5" width="20.44140625" customWidth="1"/>
    <col min="6" max="6" width="18.5546875" customWidth="1"/>
  </cols>
  <sheetData>
    <row r="2" spans="1:4" x14ac:dyDescent="0.3">
      <c r="A2" t="s">
        <v>108</v>
      </c>
      <c r="B2">
        <v>37.5</v>
      </c>
    </row>
    <row r="3" spans="1:4" x14ac:dyDescent="0.3">
      <c r="A3" t="s">
        <v>109</v>
      </c>
      <c r="B3">
        <f>B2/5</f>
        <v>7.5</v>
      </c>
    </row>
    <row r="4" spans="1:4" x14ac:dyDescent="0.3">
      <c r="A4" t="s">
        <v>110</v>
      </c>
      <c r="B4">
        <f>B3*60</f>
        <v>450</v>
      </c>
    </row>
    <row r="5" spans="1:4" x14ac:dyDescent="0.3">
      <c r="A5" t="s">
        <v>111</v>
      </c>
      <c r="B5">
        <f>B4*60</f>
        <v>27000</v>
      </c>
    </row>
    <row r="6" spans="1:4" x14ac:dyDescent="0.3">
      <c r="A6" t="s">
        <v>112</v>
      </c>
      <c r="B6" s="3">
        <f>B5*10</f>
        <v>270000</v>
      </c>
    </row>
    <row r="8" spans="1:4" x14ac:dyDescent="0.3">
      <c r="B8" t="s">
        <v>113</v>
      </c>
      <c r="C8" t="s">
        <v>114</v>
      </c>
      <c r="D8" t="s">
        <v>115</v>
      </c>
    </row>
    <row r="9" spans="1:4" x14ac:dyDescent="0.3">
      <c r="A9" s="3">
        <v>1000000</v>
      </c>
      <c r="B9" s="80">
        <f>A9/B6</f>
        <v>3.7037037037037037</v>
      </c>
      <c r="C9" s="80"/>
      <c r="D9" s="80"/>
    </row>
    <row r="10" spans="1:4" x14ac:dyDescent="0.3">
      <c r="A10" s="3">
        <v>1000000000</v>
      </c>
      <c r="B10" s="80">
        <f>A10/B6</f>
        <v>3703.7037037037039</v>
      </c>
      <c r="C10" s="80">
        <f>B10/5</f>
        <v>740.74074074074076</v>
      </c>
      <c r="D10" s="80">
        <f>C10/52</f>
        <v>14.245014245014245</v>
      </c>
    </row>
    <row r="11" spans="1:4" x14ac:dyDescent="0.3">
      <c r="D11" t="s">
        <v>10</v>
      </c>
    </row>
    <row r="12" spans="1:4" x14ac:dyDescent="0.3">
      <c r="D12"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2</vt:i4>
      </vt:variant>
    </vt:vector>
  </HeadingPairs>
  <TitlesOfParts>
    <vt:vector size="8" baseType="lpstr">
      <vt:lpstr>Costs April 2026</vt:lpstr>
      <vt:lpstr>Costs to other nations</vt:lpstr>
      <vt:lpstr>Data figures and table</vt:lpstr>
      <vt:lpstr>Excess deaths over time NHS</vt:lpstr>
      <vt:lpstr>Excess deaths over time UK</vt:lpstr>
      <vt:lpstr>What is 1bn</vt:lpstr>
      <vt:lpstr>Figure 1 NHS costs</vt:lpstr>
      <vt:lpstr>Figure 2 Excess deaths NHS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dc:creator>
  <cp:lastModifiedBy>Karl</cp:lastModifiedBy>
  <dcterms:created xsi:type="dcterms:W3CDTF">2025-12-19T08:01:40Z</dcterms:created>
  <dcterms:modified xsi:type="dcterms:W3CDTF">2026-04-13T15:35:36Z</dcterms:modified>
</cp:coreProperties>
</file>