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drawings/drawing9.xml" ContentType="application/vnd.openxmlformats-officedocument.drawing+xml"/>
  <Override PartName="/xl/charts/chart2.xml" ContentType="application/vnd.openxmlformats-officedocument.drawingml.chart+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1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13.xml" ContentType="application/vnd.openxmlformats-officedocument.drawing+xml"/>
  <Override PartName="/xl/charts/chart5.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1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omments2.xml" ContentType="application/vnd.openxmlformats-officedocument.spreadsheetml.comments+xml"/>
  <Override PartName="/xl/drawings/drawing18.xml" ContentType="application/vnd.openxmlformats-officedocument.drawing+xml"/>
  <Override PartName="/xl/ctrlProps/ctrlProp5.xml" ContentType="application/vnd.ms-excel.controlproperties+xml"/>
  <Override PartName="/xl/ctrlProps/ctrlProp6.xml" ContentType="application/vnd.ms-excel.controlproperties+xml"/>
  <Override PartName="/xl/charts/chart8.xml" ContentType="application/vnd.openxmlformats-officedocument.drawingml.chart+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20.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21.xml" ContentType="application/vnd.openxmlformats-officedocument.drawing+xml"/>
  <Override PartName="/xl/charts/chart15.xml" ContentType="application/vnd.openxmlformats-officedocument.drawingml.chart+xml"/>
  <Override PartName="/xl/drawings/drawing22.xml" ContentType="application/vnd.openxmlformats-officedocument.drawing+xml"/>
  <Override PartName="/xl/drawings/drawing23.xml" ContentType="application/vnd.openxmlformats-officedocument.drawing+xml"/>
  <Override PartName="/xl/charts/chart16.xml" ContentType="application/vnd.openxmlformats-officedocument.drawingml.chart+xml"/>
  <Override PartName="/xl/drawings/drawing24.xml" ContentType="application/vnd.openxmlformats-officedocument.drawing+xml"/>
  <Override PartName="/xl/charts/chart17.xml" ContentType="application/vnd.openxmlformats-officedocument.drawingml.chart+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harts/chart18.xml" ContentType="application/vnd.openxmlformats-officedocument.drawingml.chart+xml"/>
  <Override PartName="/xl/drawings/drawing28.xml" ContentType="application/vnd.openxmlformats-officedocument.drawing+xml"/>
  <Override PartName="/xl/charts/chart19.xml" ContentType="application/vnd.openxmlformats-officedocument.drawingml.chart+xml"/>
  <Override PartName="/xl/drawings/drawing29.xml" ContentType="application/vnd.openxmlformats-officedocument.drawing+xml"/>
  <Override PartName="/xl/ctrlProps/ctrlProp7.xml" ContentType="application/vnd.ms-excel.controlproperties+xml"/>
  <Override PartName="/xl/ctrlProps/ctrlProp8.xml" ContentType="application/vnd.ms-excel.controlproperties+xml"/>
  <Override PartName="/xl/charts/chart20.xml" ContentType="application/vnd.openxmlformats-officedocument.drawingml.chart+xml"/>
  <Override PartName="/xl/drawings/drawing30.xml" ContentType="application/vnd.openxmlformats-officedocument.drawing+xml"/>
  <Override PartName="/xl/drawings/drawing3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2.xml" ContentType="application/vnd.openxmlformats-officedocument.drawing+xml"/>
  <Override PartName="/xl/drawings/drawing33.xml" ContentType="application/vnd.openxmlformats-officedocument.drawing+xml"/>
  <Override PartName="/xl/comments3.xml" ContentType="application/vnd.openxmlformats-officedocument.spreadsheetml.comments+xml"/>
  <Override PartName="/xl/drawings/drawing34.xml" ContentType="application/vnd.openxmlformats-officedocument.drawing+xml"/>
  <Override PartName="/xl/charts/chart23.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37.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8.xml" ContentType="application/vnd.openxmlformats-officedocument.drawing+xml"/>
  <Override PartName="/xl/charts/chart2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lockStructure="1"/>
  <bookViews>
    <workbookView xWindow="-1395" yWindow="75" windowWidth="15480" windowHeight="9105" firstSheet="2" activeTab="13"/>
  </bookViews>
  <sheets>
    <sheet name="Title Page" sheetId="1" r:id="rId1"/>
    <sheet name="Note to the user" sheetId="3" r:id="rId2"/>
    <sheet name="Table of contents" sheetId="2" r:id="rId3"/>
    <sheet name="Inputs direct labour (3)" sheetId="4" state="hidden" r:id="rId4"/>
    <sheet name="Inputs direct labour (2)" sheetId="5" state="hidden" r:id="rId5"/>
    <sheet name="Inputs direct labour" sheetId="7" state="hidden" r:id="rId6"/>
    <sheet name="Glossary" sheetId="8" r:id="rId7"/>
    <sheet name="Sheet15" sheetId="6" state="hidden" r:id="rId8"/>
    <sheet name="Direct labour Inputs" sheetId="9" r:id="rId9"/>
    <sheet name="Direct labour Inputs - med" sheetId="10" state="hidden" r:id="rId10"/>
    <sheet name="Inputs indirect expenditure" sheetId="13" state="hidden" r:id="rId11"/>
    <sheet name="Indirect labour inputs" sheetId="11" r:id="rId12"/>
    <sheet name="Inputs index (2)" sheetId="39" state="hidden" r:id="rId13"/>
    <sheet name="Capital inputs" sheetId="12" r:id="rId14"/>
    <sheet name="Prescribing_hidden" sheetId="14" state="hidden" r:id="rId15"/>
    <sheet name="Sheet14" sheetId="15" state="hidden" r:id="rId16"/>
    <sheet name="Total inputs" sheetId="16" state="hidden" r:id="rId17"/>
    <sheet name="Productivity (3)" sheetId="35" state="hidden" r:id="rId18"/>
    <sheet name="Indirect intermediates" sheetId="41" r:id="rId19"/>
    <sheet name="Ind_inter_backfile" sheetId="42" state="hidden" r:id="rId20"/>
    <sheet name="Total indirect inputs" sheetId="36" r:id="rId21"/>
    <sheet name="Reference Costs Breakdown" sheetId="18" state="hidden" r:id="rId22"/>
    <sheet name="Reference Costs Output (4)" sheetId="45" state="hidden" r:id="rId23"/>
    <sheet name="HES output" sheetId="23" r:id="rId24"/>
    <sheet name="HES QA backend" sheetId="44" state="hidden" r:id="rId25"/>
    <sheet name="HES output (2)" sheetId="21" state="hidden" r:id="rId26"/>
    <sheet name="Inpatient and Outpatient" sheetId="43" r:id="rId27"/>
    <sheet name="Reference Costs Output" sheetId="17" r:id="rId28"/>
    <sheet name="Primary care (2)" sheetId="31" state="hidden" r:id="rId29"/>
    <sheet name="Reference Costs Output (2)" sheetId="24" state="hidden" r:id="rId30"/>
    <sheet name="Prescribing" sheetId="19" r:id="rId31"/>
    <sheet name="Primary care" sheetId="30" r:id="rId32"/>
    <sheet name="QA Primary Care" sheetId="33" r:id="rId33"/>
    <sheet name="Primary Care QA" sheetId="32" state="hidden" r:id="rId34"/>
    <sheet name="Deflators" sheetId="20" state="hidden" r:id="rId35"/>
    <sheet name="Quality adjustment" sheetId="25" state="hidden" r:id="rId36"/>
    <sheet name="Reference Costs Output (3)" sheetId="26" state="hidden" r:id="rId37"/>
    <sheet name="Productivity (2)" sheetId="27" state="hidden" r:id="rId38"/>
    <sheet name="Productivity" sheetId="28" r:id="rId39"/>
    <sheet name="Publications" sheetId="29" r:id="rId40"/>
    <sheet name="Productivity (4)" sheetId="37" state="hidden" r:id="rId41"/>
    <sheet name="Productivity (5)" sheetId="38" state="hidden" r:id="rId42"/>
    <sheet name="Deflt" sheetId="22" state="hidden" r:id="rId43"/>
  </sheets>
  <externalReferences>
    <externalReference r:id="rId44"/>
  </externalReferences>
  <definedNames>
    <definedName name="authority">'Inputs indirect expenditure'!$R$33:$R$35</definedName>
    <definedName name="authority2">'Inputs indirect expenditure'!$R$33:$R$36</definedName>
    <definedName name="Capitalcosts">'Inputs direct labour (2)'!$M$17:$M$18</definedName>
    <definedName name="ef_costs">'Reference Costs Output (2)'!$K$16:$P$34</definedName>
    <definedName name="EXP">Sheet14!$L$8:$M$9</definedName>
    <definedName name="Exp_terms">'Inputs direct labour (3)'!$E$9:$E$10</definedName>
    <definedName name="expn">Sheet14!$L$8:$L$9</definedName>
    <definedName name="GPview">'Primary care (2)'!$P$18:$P$19</definedName>
    <definedName name="HES_setting">'HES output (2)'!$D$103:$D$106</definedName>
    <definedName name="index">Prescribing_hidden!$A$26:$A$27</definedName>
    <definedName name="indices">Deflators!$C$12:$C$18</definedName>
    <definedName name="inter_prov">Ind_inter_backfile!$J$4:$J$5</definedName>
    <definedName name="new_ref_cetegories">'Reference Costs Output (2)'!$N$24:$N$27</definedName>
    <definedName name="pcts">'Inputs direct labour (2)'!$M$31:$M$32</definedName>
    <definedName name="QA">'HES QA backend'!$Q$7:$Q$11</definedName>
    <definedName name="QAnew">'HES QA backend'!$P$23:$P$26</definedName>
    <definedName name="Ref_costs">'Reference Costs Output (2)'!$K$16:$P$34</definedName>
    <definedName name="Refcosts">'Reference Costs Output (2)'!$K$16:$P$34</definedName>
    <definedName name="Reference_costs">'Reference Costs Output (2)'!$K$16:$K$27</definedName>
    <definedName name="relative">Prescribing_hidden!$A$29:$A$31</definedName>
    <definedName name="Select_expenditure_type">Sheet14!$L$8:$M$9</definedName>
    <definedName name="source_inter">'Productivity (2)'!$N$15:$N$16</definedName>
    <definedName name="source_labour">'Productivity (2)'!$N$18:$N$19</definedName>
    <definedName name="test1">'Reference Costs Output'!$C$14:$C$20</definedName>
    <definedName name="view">Sheet15!$T$7:$T$8</definedName>
  </definedNames>
  <calcPr calcId="145621"/>
  <customWorkbookViews>
    <customWorkbookView name="kg716 - Personal View" guid="{9EA95E61-FCA5-4867-AEB4-B8C24058ACDD}" mergeInterval="0" personalView="1" maximized="1" xWindow="1" yWindow="1" windowWidth="1276" windowHeight="806" activeSheetId="11"/>
  </customWorkbookViews>
</workbook>
</file>

<file path=xl/calcChain.xml><?xml version="1.0" encoding="utf-8"?>
<calcChain xmlns="http://schemas.openxmlformats.org/spreadsheetml/2006/main">
  <c r="I14" i="17" l="1"/>
  <c r="D14" i="17"/>
  <c r="D15" i="17"/>
  <c r="D16" i="17"/>
  <c r="C15" i="17"/>
  <c r="C16" i="17"/>
  <c r="C14" i="17"/>
  <c r="J72" i="24" l="1"/>
  <c r="I15" i="17" s="1"/>
  <c r="J74" i="24"/>
  <c r="I17" i="17" s="1"/>
  <c r="I77" i="24"/>
  <c r="I76" i="24"/>
  <c r="I75" i="24"/>
  <c r="G73" i="24"/>
  <c r="J73" i="24" s="1"/>
  <c r="I16" i="17" s="1"/>
  <c r="G72" i="24"/>
  <c r="G23" i="24"/>
  <c r="E74" i="24"/>
  <c r="C17" i="17" s="1"/>
  <c r="F74" i="24"/>
  <c r="D17" i="17" s="1"/>
  <c r="F75" i="24"/>
  <c r="D18" i="17" s="1"/>
  <c r="G75" i="24"/>
  <c r="F76" i="24"/>
  <c r="D19" i="17" s="1"/>
  <c r="G76" i="24"/>
  <c r="G77" i="24"/>
  <c r="E75" i="24"/>
  <c r="C18" i="17" s="1"/>
  <c r="E76" i="24"/>
  <c r="C19" i="17" s="1"/>
  <c r="E77" i="24"/>
  <c r="C20" i="17" s="1"/>
  <c r="F77" i="24"/>
  <c r="D20" i="17" s="1"/>
  <c r="J22" i="24" l="1"/>
  <c r="G24" i="24"/>
  <c r="J24" i="24" s="1"/>
  <c r="J92" i="24"/>
  <c r="J94" i="24"/>
  <c r="G93" i="24"/>
  <c r="J93" i="24" s="1"/>
  <c r="F15" i="17"/>
  <c r="J11" i="24"/>
  <c r="J12" i="24"/>
  <c r="J13" i="24"/>
  <c r="G12" i="24"/>
  <c r="J102" i="24"/>
  <c r="G103" i="24"/>
  <c r="J103" i="24" s="1"/>
  <c r="J104" i="24"/>
  <c r="J112" i="24"/>
  <c r="G113" i="24"/>
  <c r="J113" i="24" s="1"/>
  <c r="G112" i="24"/>
  <c r="J114" i="24"/>
  <c r="J124" i="24"/>
  <c r="J134" i="24"/>
  <c r="J131" i="24"/>
  <c r="J132" i="24"/>
  <c r="J133" i="24"/>
  <c r="J84" i="24"/>
  <c r="J81" i="24"/>
  <c r="J82" i="24"/>
  <c r="J83" i="24"/>
  <c r="J64" i="24"/>
  <c r="F17" i="17" l="1"/>
  <c r="J23" i="24"/>
  <c r="F16" i="17" s="1"/>
  <c r="C18" i="9" l="1"/>
  <c r="D18" i="9"/>
  <c r="E18" i="9"/>
  <c r="C19" i="9"/>
  <c r="D19" i="9"/>
  <c r="E19" i="9"/>
  <c r="C20" i="9"/>
  <c r="D20" i="9"/>
  <c r="E20" i="9"/>
  <c r="C15" i="9"/>
  <c r="D15" i="9"/>
  <c r="E15" i="9"/>
  <c r="C16" i="9"/>
  <c r="D16" i="9"/>
  <c r="E16" i="9"/>
  <c r="D14" i="9"/>
  <c r="E14" i="9"/>
  <c r="C14" i="9"/>
  <c r="J24" i="17"/>
  <c r="J25" i="17"/>
  <c r="J26" i="17"/>
  <c r="N37" i="24"/>
  <c r="J117" i="24"/>
  <c r="K30" i="17"/>
  <c r="H34" i="24"/>
  <c r="G34" i="24" s="1"/>
  <c r="G33" i="24"/>
  <c r="G32" i="24"/>
  <c r="G35" i="24"/>
  <c r="G36" i="24"/>
  <c r="G37" i="24"/>
  <c r="G31" i="24"/>
  <c r="K29" i="17" l="1"/>
  <c r="K26" i="17"/>
  <c r="K24" i="17"/>
  <c r="K27" i="17"/>
  <c r="K25" i="17"/>
  <c r="E15" i="17"/>
  <c r="E16" i="17"/>
  <c r="E14" i="17"/>
  <c r="N31" i="24" l="1"/>
  <c r="N32" i="24"/>
  <c r="N33" i="24"/>
  <c r="N35" i="24"/>
  <c r="N36" i="24"/>
  <c r="K11" i="27"/>
  <c r="K12" i="27"/>
  <c r="K13" i="27"/>
  <c r="K14" i="27"/>
  <c r="K15" i="27"/>
  <c r="K16" i="27"/>
  <c r="K21" i="27"/>
  <c r="K22" i="27"/>
  <c r="K23" i="27"/>
  <c r="K24" i="27"/>
  <c r="K25" i="27"/>
  <c r="K26" i="27"/>
  <c r="K31" i="27"/>
  <c r="K32" i="27"/>
  <c r="K33" i="27"/>
  <c r="K34" i="27"/>
  <c r="K35" i="27"/>
  <c r="K36" i="27"/>
  <c r="K41" i="27"/>
  <c r="K42" i="27"/>
  <c r="K43" i="27"/>
  <c r="K44" i="27"/>
  <c r="K45" i="27"/>
  <c r="K46" i="27"/>
  <c r="I11" i="27"/>
  <c r="F46" i="27"/>
  <c r="F45" i="27"/>
  <c r="F44" i="27"/>
  <c r="F43" i="27"/>
  <c r="F42" i="27"/>
  <c r="F41" i="27"/>
  <c r="I41" i="27"/>
  <c r="F36" i="27"/>
  <c r="F35" i="27"/>
  <c r="F34" i="27"/>
  <c r="F33" i="27"/>
  <c r="F32" i="27"/>
  <c r="F31" i="27"/>
  <c r="I31" i="27"/>
  <c r="F26" i="27"/>
  <c r="F25" i="27"/>
  <c r="F24" i="27"/>
  <c r="F23" i="27"/>
  <c r="F22" i="27"/>
  <c r="F21" i="27"/>
  <c r="I21" i="27"/>
  <c r="F12" i="27"/>
  <c r="F13" i="27"/>
  <c r="F14" i="27"/>
  <c r="F15" i="27"/>
  <c r="F16" i="27"/>
  <c r="F11" i="27"/>
  <c r="N34" i="24" l="1"/>
  <c r="I46" i="27"/>
  <c r="I16" i="27"/>
  <c r="I14" i="27"/>
  <c r="I12" i="27"/>
  <c r="I24" i="27"/>
  <c r="I22" i="27"/>
  <c r="I36" i="27"/>
  <c r="I33" i="27"/>
  <c r="I35" i="27"/>
  <c r="I44" i="27"/>
  <c r="I42" i="27"/>
  <c r="I15" i="27"/>
  <c r="I13" i="27"/>
  <c r="I25" i="27"/>
  <c r="I23" i="27"/>
  <c r="I34" i="27"/>
  <c r="I32" i="27"/>
  <c r="I45" i="27"/>
  <c r="I43" i="27"/>
  <c r="I26" i="27"/>
  <c r="B25" i="9" l="1"/>
  <c r="F73" i="13"/>
  <c r="F62" i="13"/>
  <c r="F98" i="13" s="1"/>
  <c r="F61" i="13"/>
  <c r="H61" i="13" s="1"/>
  <c r="F60" i="13"/>
  <c r="H60" i="13" s="1"/>
  <c r="F68" i="13"/>
  <c r="E96" i="13"/>
  <c r="I13" i="11" s="1"/>
  <c r="E97" i="13"/>
  <c r="E98" i="13"/>
  <c r="F70" i="44"/>
  <c r="F14" i="43"/>
  <c r="F13" i="43"/>
  <c r="F27" i="43" s="1"/>
  <c r="F18" i="43"/>
  <c r="F15" i="43"/>
  <c r="F26" i="44"/>
  <c r="F27" i="44"/>
  <c r="E14" i="43" s="1"/>
  <c r="F25" i="44"/>
  <c r="E13" i="43"/>
  <c r="E27" i="43" s="1"/>
  <c r="F16" i="43"/>
  <c r="F17" i="43"/>
  <c r="F67" i="44"/>
  <c r="F68" i="44"/>
  <c r="F69" i="44"/>
  <c r="E15" i="43"/>
  <c r="F71" i="44"/>
  <c r="F77" i="44"/>
  <c r="F78" i="44"/>
  <c r="F79" i="44"/>
  <c r="F80" i="44"/>
  <c r="F81" i="44"/>
  <c r="J89" i="44"/>
  <c r="F89" i="44" s="1"/>
  <c r="F96" i="44"/>
  <c r="F97" i="44"/>
  <c r="F98" i="44"/>
  <c r="F99" i="44"/>
  <c r="F86" i="44"/>
  <c r="F87" i="44"/>
  <c r="F88" i="44"/>
  <c r="F90" i="44"/>
  <c r="N91" i="44"/>
  <c r="J21" i="45"/>
  <c r="I21" i="45"/>
  <c r="D17" i="45"/>
  <c r="C17" i="45"/>
  <c r="D16" i="45"/>
  <c r="C16" i="45"/>
  <c r="D15" i="45"/>
  <c r="C15" i="45"/>
  <c r="D14" i="45"/>
  <c r="C14" i="45"/>
  <c r="G25" i="13"/>
  <c r="G26" i="13"/>
  <c r="G24" i="13"/>
  <c r="E25" i="13"/>
  <c r="F25" i="13"/>
  <c r="E26" i="13"/>
  <c r="F26" i="13"/>
  <c r="F24" i="13"/>
  <c r="E24" i="13"/>
  <c r="G49" i="13"/>
  <c r="G50" i="13"/>
  <c r="G48" i="13"/>
  <c r="F48" i="13"/>
  <c r="E49" i="13"/>
  <c r="F49" i="13"/>
  <c r="E50" i="13"/>
  <c r="F50" i="13"/>
  <c r="E48" i="13"/>
  <c r="E72" i="13"/>
  <c r="I14" i="11" s="1"/>
  <c r="E73" i="13"/>
  <c r="I15" i="11" s="1"/>
  <c r="E71" i="13"/>
  <c r="D12" i="43"/>
  <c r="D13" i="43"/>
  <c r="D14" i="43"/>
  <c r="C12" i="43"/>
  <c r="C13" i="43"/>
  <c r="C14" i="43"/>
  <c r="F60" i="21"/>
  <c r="F61" i="21"/>
  <c r="F62" i="21"/>
  <c r="F59" i="21"/>
  <c r="E60" i="21"/>
  <c r="E61" i="21"/>
  <c r="E62" i="21"/>
  <c r="E59" i="21"/>
  <c r="N90" i="44"/>
  <c r="B73" i="44"/>
  <c r="C58" i="21"/>
  <c r="C53" i="21"/>
  <c r="C54" i="21"/>
  <c r="C52" i="21"/>
  <c r="E87" i="13" l="1"/>
  <c r="C15" i="11" s="1"/>
  <c r="F72" i="13"/>
  <c r="E23" i="9"/>
  <c r="D23" i="9"/>
  <c r="C23" i="9"/>
  <c r="I22" i="45"/>
  <c r="J23" i="45"/>
  <c r="E85" i="13"/>
  <c r="C13" i="11" s="1"/>
  <c r="J22" i="45"/>
  <c r="E86" i="13"/>
  <c r="C14" i="11" s="1"/>
  <c r="I24" i="45"/>
  <c r="I23" i="45"/>
  <c r="J24" i="45"/>
  <c r="F71" i="13"/>
  <c r="H50" i="13"/>
  <c r="G87" i="13" s="1"/>
  <c r="E15" i="11" s="1"/>
  <c r="H49" i="13"/>
  <c r="G86" i="13" s="1"/>
  <c r="E14" i="11" s="1"/>
  <c r="H26" i="13"/>
  <c r="H62" i="13"/>
  <c r="F97" i="13"/>
  <c r="F85" i="13"/>
  <c r="D13" i="11" s="1"/>
  <c r="F96" i="13"/>
  <c r="H24" i="13"/>
  <c r="H25" i="13"/>
  <c r="H48" i="13"/>
  <c r="G85" i="13" s="1"/>
  <c r="E13" i="11" s="1"/>
  <c r="E28" i="43"/>
  <c r="E29" i="43" s="1"/>
  <c r="F28" i="43"/>
  <c r="F29" i="43" s="1"/>
  <c r="F30" i="43" s="1"/>
  <c r="F31" i="43" s="1"/>
  <c r="F32" i="43" s="1"/>
  <c r="F44" i="13"/>
  <c r="G44" i="13"/>
  <c r="H13" i="13"/>
  <c r="H14" i="13"/>
  <c r="H15" i="13"/>
  <c r="H16" i="13"/>
  <c r="H17" i="13"/>
  <c r="H18" i="13"/>
  <c r="H12" i="13"/>
  <c r="K12" i="13"/>
  <c r="J12" i="13"/>
  <c r="I12" i="13"/>
  <c r="H85" i="13" l="1"/>
  <c r="F13" i="11" s="1"/>
  <c r="H73" i="13"/>
  <c r="F87" i="13"/>
  <c r="J15" i="11"/>
  <c r="F86" i="13"/>
  <c r="H72" i="13"/>
  <c r="J14" i="11"/>
  <c r="H71" i="13"/>
  <c r="J13" i="11"/>
  <c r="H37" i="13"/>
  <c r="G97" i="13" s="1"/>
  <c r="H38" i="13"/>
  <c r="G98" i="13" s="1"/>
  <c r="H36" i="13"/>
  <c r="G96" i="13" s="1"/>
  <c r="H86" i="13" l="1"/>
  <c r="F14" i="11" s="1"/>
  <c r="D14" i="11"/>
  <c r="H96" i="13"/>
  <c r="K13" i="11"/>
  <c r="H97" i="13"/>
  <c r="L14" i="11" s="1"/>
  <c r="K14" i="11"/>
  <c r="L13" i="11"/>
  <c r="H98" i="13"/>
  <c r="L15" i="11" s="1"/>
  <c r="K15" i="11"/>
  <c r="H87" i="13"/>
  <c r="F15" i="11" s="1"/>
  <c r="D15" i="11"/>
  <c r="G40" i="21"/>
  <c r="G41" i="21"/>
  <c r="G39" i="21"/>
  <c r="D12" i="23"/>
  <c r="F12" i="23"/>
  <c r="G12" i="23"/>
  <c r="H12" i="23"/>
  <c r="I12" i="23"/>
  <c r="D13" i="23"/>
  <c r="F13" i="23"/>
  <c r="G13" i="23"/>
  <c r="H13" i="23"/>
  <c r="I13" i="23"/>
  <c r="D14" i="23"/>
  <c r="F14" i="23"/>
  <c r="G14" i="23"/>
  <c r="H14" i="23"/>
  <c r="I14" i="23"/>
  <c r="D15" i="23"/>
  <c r="I23" i="23" s="1"/>
  <c r="E15" i="23"/>
  <c r="F15" i="23"/>
  <c r="G15" i="23"/>
  <c r="H15" i="23"/>
  <c r="I15" i="23"/>
  <c r="C12" i="23"/>
  <c r="C13" i="23"/>
  <c r="C14" i="23"/>
  <c r="G53" i="21"/>
  <c r="E13" i="23" s="1"/>
  <c r="G54" i="21"/>
  <c r="E14" i="23" s="1"/>
  <c r="G52" i="21"/>
  <c r="E12" i="23" s="1"/>
  <c r="G27" i="21"/>
  <c r="G28" i="21"/>
  <c r="G26" i="21"/>
  <c r="G14" i="21"/>
  <c r="G15" i="21"/>
  <c r="G13" i="21"/>
  <c r="Q13" i="6"/>
  <c r="Q6" i="6"/>
  <c r="Q7" i="6"/>
  <c r="Q8" i="6"/>
  <c r="Q9" i="6"/>
  <c r="Q10" i="6"/>
  <c r="Q11" i="6"/>
  <c r="Q12" i="6"/>
  <c r="Q5" i="6"/>
  <c r="Q4" i="6"/>
  <c r="P6" i="6"/>
  <c r="P7" i="6"/>
  <c r="P8" i="6"/>
  <c r="P9" i="6"/>
  <c r="P10" i="6"/>
  <c r="P11" i="6"/>
  <c r="P12" i="6"/>
  <c r="P13" i="6"/>
  <c r="P5" i="6"/>
  <c r="P4" i="6"/>
  <c r="O6" i="6"/>
  <c r="O7" i="6"/>
  <c r="O8" i="6"/>
  <c r="O9" i="6"/>
  <c r="O10" i="6"/>
  <c r="O11" i="6"/>
  <c r="O12" i="6"/>
  <c r="O13" i="6"/>
  <c r="O5" i="6"/>
  <c r="O4" i="6"/>
  <c r="N6" i="6"/>
  <c r="N7" i="6"/>
  <c r="N8" i="6"/>
  <c r="N9" i="6"/>
  <c r="N10" i="6"/>
  <c r="N11" i="6"/>
  <c r="N12" i="6"/>
  <c r="N13" i="6"/>
  <c r="N5" i="6"/>
  <c r="N4" i="6"/>
  <c r="Q21" i="6"/>
  <c r="K15" i="9" s="1"/>
  <c r="Q22" i="6"/>
  <c r="K16" i="9" s="1"/>
  <c r="Q23" i="6"/>
  <c r="K17" i="9" s="1"/>
  <c r="Q24" i="6"/>
  <c r="K18" i="9" s="1"/>
  <c r="Q25" i="6"/>
  <c r="K19" i="9" s="1"/>
  <c r="Q26" i="6"/>
  <c r="K20" i="9" s="1"/>
  <c r="Q27" i="6"/>
  <c r="K21" i="9" s="1"/>
  <c r="Q28" i="6"/>
  <c r="K22" i="9" s="1"/>
  <c r="Q20" i="6"/>
  <c r="K14" i="9" s="1"/>
  <c r="Q19" i="6"/>
  <c r="K13" i="9" s="1"/>
  <c r="P21" i="6"/>
  <c r="J15" i="9" s="1"/>
  <c r="P22" i="6"/>
  <c r="J16" i="9" s="1"/>
  <c r="P23" i="6"/>
  <c r="J17" i="9" s="1"/>
  <c r="P24" i="6"/>
  <c r="J18" i="9" s="1"/>
  <c r="P25" i="6"/>
  <c r="J19" i="9" s="1"/>
  <c r="P26" i="6"/>
  <c r="J20" i="9" s="1"/>
  <c r="P27" i="6"/>
  <c r="J21" i="9" s="1"/>
  <c r="P28" i="6"/>
  <c r="J22" i="9" s="1"/>
  <c r="P20" i="6"/>
  <c r="J14" i="9" s="1"/>
  <c r="P19" i="6"/>
  <c r="J13" i="9" s="1"/>
  <c r="O21" i="6"/>
  <c r="I15" i="9" s="1"/>
  <c r="O22" i="6"/>
  <c r="I16" i="9" s="1"/>
  <c r="O23" i="6"/>
  <c r="I17" i="9" s="1"/>
  <c r="O24" i="6"/>
  <c r="I18" i="9" s="1"/>
  <c r="O25" i="6"/>
  <c r="I19" i="9" s="1"/>
  <c r="O26" i="6"/>
  <c r="I20" i="9" s="1"/>
  <c r="O27" i="6"/>
  <c r="I21" i="9" s="1"/>
  <c r="O28" i="6"/>
  <c r="I22" i="9" s="1"/>
  <c r="O20" i="6"/>
  <c r="I14" i="9" s="1"/>
  <c r="O19" i="6"/>
  <c r="I13" i="9" s="1"/>
  <c r="N21" i="6"/>
  <c r="H15" i="9" s="1"/>
  <c r="N22" i="6"/>
  <c r="H16" i="9" s="1"/>
  <c r="N23" i="6"/>
  <c r="H17" i="9" s="1"/>
  <c r="N24" i="6"/>
  <c r="H18" i="9" s="1"/>
  <c r="N25" i="6"/>
  <c r="H19" i="9" s="1"/>
  <c r="N26" i="6"/>
  <c r="H20" i="9" s="1"/>
  <c r="N27" i="6"/>
  <c r="H21" i="9" s="1"/>
  <c r="N28" i="6"/>
  <c r="H22" i="9" s="1"/>
  <c r="N20" i="6"/>
  <c r="H14" i="9" s="1"/>
  <c r="N19" i="6"/>
  <c r="H13" i="9" s="1"/>
  <c r="F50" i="44"/>
  <c r="E16" i="43" s="1"/>
  <c r="E30" i="43" s="1"/>
  <c r="F83" i="44"/>
  <c r="D15" i="43"/>
  <c r="G15" i="43"/>
  <c r="D16" i="43"/>
  <c r="G16" i="43"/>
  <c r="D17" i="43"/>
  <c r="G17" i="43"/>
  <c r="D18" i="43"/>
  <c r="G18" i="43"/>
  <c r="C16" i="43"/>
  <c r="C17" i="43"/>
  <c r="C18" i="43"/>
  <c r="F101" i="44"/>
  <c r="F100" i="44"/>
  <c r="C15" i="43"/>
  <c r="F91" i="44"/>
  <c r="F92" i="44"/>
  <c r="F82" i="44"/>
  <c r="F72" i="44"/>
  <c r="F73" i="44"/>
  <c r="F61" i="44"/>
  <c r="F62" i="44"/>
  <c r="F60" i="44"/>
  <c r="F51" i="44"/>
  <c r="F52" i="44"/>
  <c r="F40" i="44"/>
  <c r="F41" i="44"/>
  <c r="F39" i="44"/>
  <c r="F30" i="44"/>
  <c r="F31" i="44"/>
  <c r="F29" i="44"/>
  <c r="F19" i="44"/>
  <c r="F20" i="44"/>
  <c r="F18" i="44"/>
  <c r="F9" i="44"/>
  <c r="F10" i="44"/>
  <c r="F8" i="44"/>
  <c r="E17" i="43" l="1"/>
  <c r="E31" i="43" s="1"/>
  <c r="E32" i="43" s="1"/>
  <c r="E18" i="43"/>
  <c r="H22" i="23"/>
  <c r="I21" i="23"/>
  <c r="I22" i="23"/>
  <c r="H21" i="23"/>
  <c r="B11" i="43"/>
  <c r="C11" i="43"/>
  <c r="B15" i="43"/>
  <c r="B16" i="43"/>
  <c r="B17" i="43"/>
  <c r="B18" i="43"/>
  <c r="N92" i="44"/>
  <c r="M92" i="44"/>
  <c r="M91" i="44"/>
  <c r="M90" i="44"/>
  <c r="M89" i="44"/>
  <c r="K28" i="17" l="1"/>
  <c r="J15" i="24"/>
  <c r="H16" i="45" s="1"/>
  <c r="E16" i="45" s="1"/>
  <c r="J16" i="24"/>
  <c r="H17" i="45" s="1"/>
  <c r="E17" i="45" s="1"/>
  <c r="J17" i="24"/>
  <c r="J18" i="24"/>
  <c r="J19" i="24"/>
  <c r="J20" i="24"/>
  <c r="J25" i="24"/>
  <c r="J26" i="24"/>
  <c r="J27" i="24"/>
  <c r="J45" i="24"/>
  <c r="J46" i="24"/>
  <c r="J47" i="24"/>
  <c r="J65" i="24"/>
  <c r="J66" i="24"/>
  <c r="J67" i="24"/>
  <c r="J75" i="24"/>
  <c r="I18" i="17" s="1"/>
  <c r="J76" i="24"/>
  <c r="I19" i="17" s="1"/>
  <c r="J77" i="24"/>
  <c r="I20" i="17" s="1"/>
  <c r="J85" i="24"/>
  <c r="J86" i="24"/>
  <c r="J87" i="24"/>
  <c r="J95" i="24"/>
  <c r="J96" i="24"/>
  <c r="J97" i="24"/>
  <c r="J105" i="24"/>
  <c r="J106" i="24"/>
  <c r="J107" i="24"/>
  <c r="J115" i="24"/>
  <c r="J116" i="24"/>
  <c r="J125" i="24"/>
  <c r="J126" i="24"/>
  <c r="J127" i="24"/>
  <c r="J135" i="24"/>
  <c r="J136" i="24"/>
  <c r="J137" i="24"/>
  <c r="J14" i="24"/>
  <c r="H15" i="45" s="1"/>
  <c r="E15" i="45" s="1"/>
  <c r="D14" i="41"/>
  <c r="E14" i="41"/>
  <c r="F14" i="41"/>
  <c r="G14" i="41"/>
  <c r="H14" i="41"/>
  <c r="I14" i="41"/>
  <c r="C14" i="41"/>
  <c r="C21" i="42"/>
  <c r="C25" i="42" s="1"/>
  <c r="C27" i="42" s="1"/>
  <c r="D21" i="42"/>
  <c r="D25" i="42" s="1"/>
  <c r="D27" i="42" s="1"/>
  <c r="E21" i="42"/>
  <c r="E25" i="42" s="1"/>
  <c r="E27" i="42" s="1"/>
  <c r="F21" i="42"/>
  <c r="G21" i="42"/>
  <c r="G25" i="42" s="1"/>
  <c r="G27" i="42" s="1"/>
  <c r="H21" i="42"/>
  <c r="H25" i="42" s="1"/>
  <c r="H27" i="42" s="1"/>
  <c r="B21" i="42"/>
  <c r="B25" i="42" s="1"/>
  <c r="B27" i="42" s="1"/>
  <c r="H40" i="42"/>
  <c r="B40" i="42"/>
  <c r="F25" i="42"/>
  <c r="C39" i="42"/>
  <c r="C40" i="42" s="1"/>
  <c r="D39" i="42"/>
  <c r="D40" i="42" s="1"/>
  <c r="E39" i="42"/>
  <c r="E40" i="42" s="1"/>
  <c r="F39" i="42"/>
  <c r="F40" i="42" s="1"/>
  <c r="G39" i="42"/>
  <c r="G40" i="42" s="1"/>
  <c r="H39" i="42"/>
  <c r="B39" i="42"/>
  <c r="F20" i="17" l="1"/>
  <c r="F19" i="17"/>
  <c r="F18" i="17"/>
  <c r="F27" i="42"/>
  <c r="B38" i="19"/>
  <c r="C28" i="19"/>
  <c r="C29" i="19"/>
  <c r="C30" i="19"/>
  <c r="C31" i="19"/>
  <c r="B31" i="19" s="1"/>
  <c r="C32" i="19"/>
  <c r="C33" i="19"/>
  <c r="C34" i="19"/>
  <c r="B34" i="19" s="1"/>
  <c r="C35" i="19"/>
  <c r="B35" i="19" s="1"/>
  <c r="C36" i="19"/>
  <c r="C37" i="19"/>
  <c r="C38" i="19"/>
  <c r="C39" i="19"/>
  <c r="B39" i="19" s="1"/>
  <c r="C40" i="19"/>
  <c r="C27" i="19"/>
  <c r="B27" i="19" s="1"/>
  <c r="D28" i="19"/>
  <c r="D29" i="19"/>
  <c r="D30" i="19"/>
  <c r="D31" i="19"/>
  <c r="D32" i="19"/>
  <c r="D33" i="19"/>
  <c r="D34" i="19"/>
  <c r="D35" i="19"/>
  <c r="D36" i="19"/>
  <c r="D37" i="19"/>
  <c r="D38" i="19"/>
  <c r="D39" i="19"/>
  <c r="D40" i="19"/>
  <c r="D27" i="19"/>
  <c r="E28" i="19"/>
  <c r="E29" i="19"/>
  <c r="E30" i="19"/>
  <c r="E31" i="19"/>
  <c r="E32" i="19"/>
  <c r="E33" i="19"/>
  <c r="E34" i="19"/>
  <c r="E35" i="19"/>
  <c r="E36" i="19"/>
  <c r="E37" i="19"/>
  <c r="E38" i="19"/>
  <c r="E39" i="19"/>
  <c r="E40" i="19"/>
  <c r="E27" i="19"/>
  <c r="C14" i="28"/>
  <c r="D14" i="28"/>
  <c r="E14" i="28"/>
  <c r="F14" i="28"/>
  <c r="G14" i="28"/>
  <c r="H14" i="28"/>
  <c r="C15" i="28"/>
  <c r="D15" i="28"/>
  <c r="E15" i="28"/>
  <c r="F15" i="28"/>
  <c r="G15" i="28"/>
  <c r="H15" i="28"/>
  <c r="C16" i="28"/>
  <c r="D16" i="28"/>
  <c r="E16" i="28"/>
  <c r="F16" i="28"/>
  <c r="G16" i="28"/>
  <c r="H16" i="28"/>
  <c r="C17" i="28"/>
  <c r="D17" i="28"/>
  <c r="E17" i="28"/>
  <c r="F17" i="28"/>
  <c r="G17" i="28"/>
  <c r="H17" i="28"/>
  <c r="C18" i="28"/>
  <c r="D18" i="28"/>
  <c r="E18" i="28"/>
  <c r="F18" i="28"/>
  <c r="G18" i="28"/>
  <c r="H18" i="28"/>
  <c r="D13" i="28"/>
  <c r="E13" i="28"/>
  <c r="F13" i="28"/>
  <c r="G13" i="28"/>
  <c r="H13" i="28"/>
  <c r="C13" i="28"/>
  <c r="B22" i="41"/>
  <c r="B23" i="41"/>
  <c r="C23" i="41"/>
  <c r="D23" i="41"/>
  <c r="E23" i="41"/>
  <c r="F23" i="41"/>
  <c r="G23" i="41"/>
  <c r="H23" i="41"/>
  <c r="I23" i="41"/>
  <c r="B24" i="41"/>
  <c r="C24" i="41"/>
  <c r="D24" i="41"/>
  <c r="E24" i="41"/>
  <c r="F24" i="41"/>
  <c r="G24" i="41"/>
  <c r="H24" i="41"/>
  <c r="I24" i="41"/>
  <c r="B25" i="41"/>
  <c r="C25" i="41"/>
  <c r="D25" i="41"/>
  <c r="E25" i="41"/>
  <c r="F25" i="41"/>
  <c r="G25" i="41"/>
  <c r="H25" i="41"/>
  <c r="I25" i="41"/>
  <c r="B26" i="41"/>
  <c r="C26" i="41"/>
  <c r="D26" i="41"/>
  <c r="E26" i="41"/>
  <c r="F26" i="41"/>
  <c r="G26" i="41"/>
  <c r="H26" i="41"/>
  <c r="I26" i="41"/>
  <c r="B27" i="41"/>
  <c r="C27" i="41"/>
  <c r="D27" i="41"/>
  <c r="E27" i="41"/>
  <c r="F27" i="41"/>
  <c r="G27" i="41"/>
  <c r="H27" i="41"/>
  <c r="I27" i="41"/>
  <c r="B28" i="41"/>
  <c r="C28" i="41"/>
  <c r="D28" i="41"/>
  <c r="E28" i="41"/>
  <c r="F28" i="41"/>
  <c r="G28" i="41"/>
  <c r="H28" i="41"/>
  <c r="I28" i="41"/>
  <c r="B29" i="41"/>
  <c r="C29" i="41"/>
  <c r="D29" i="41"/>
  <c r="E29" i="41"/>
  <c r="F29" i="41"/>
  <c r="G29" i="41"/>
  <c r="H29" i="41"/>
  <c r="I29" i="41"/>
  <c r="C22" i="41"/>
  <c r="D22" i="41"/>
  <c r="E22" i="41"/>
  <c r="F22" i="41"/>
  <c r="G22" i="41"/>
  <c r="H22" i="41"/>
  <c r="I22" i="41"/>
  <c r="B40" i="19" l="1"/>
  <c r="B36" i="19"/>
  <c r="B32" i="19"/>
  <c r="B28" i="19"/>
  <c r="B37" i="19"/>
  <c r="B33" i="19"/>
  <c r="B29" i="19"/>
  <c r="B30" i="19"/>
  <c r="I18" i="23"/>
  <c r="I17" i="23"/>
  <c r="I16" i="23"/>
  <c r="I11" i="23"/>
  <c r="H16" i="23"/>
  <c r="H17" i="23"/>
  <c r="H18" i="23"/>
  <c r="D26" i="33"/>
  <c r="D29" i="33" s="1"/>
  <c r="C26" i="36"/>
  <c r="C31" i="36" s="1"/>
  <c r="D26" i="36"/>
  <c r="D31" i="36" s="1"/>
  <c r="E26" i="36"/>
  <c r="E31" i="36" s="1"/>
  <c r="F26" i="36"/>
  <c r="F31" i="36" s="1"/>
  <c r="G26" i="36"/>
  <c r="G31" i="36" s="1"/>
  <c r="H26" i="36"/>
  <c r="H31" i="36" s="1"/>
  <c r="I26" i="36"/>
  <c r="I31" i="36" s="1"/>
  <c r="B26" i="36"/>
  <c r="C16" i="36"/>
  <c r="C21" i="36" s="1"/>
  <c r="D16" i="36"/>
  <c r="D21" i="36" s="1"/>
  <c r="E16" i="36"/>
  <c r="E21" i="36" s="1"/>
  <c r="F16" i="36"/>
  <c r="F21" i="36" s="1"/>
  <c r="G16" i="36"/>
  <c r="G21" i="36" s="1"/>
  <c r="H16" i="36"/>
  <c r="H21" i="36" s="1"/>
  <c r="I16" i="36"/>
  <c r="I21" i="36" s="1"/>
  <c r="B16" i="36"/>
  <c r="J11" i="22"/>
  <c r="J12" i="22"/>
  <c r="J13" i="22"/>
  <c r="J14" i="22"/>
  <c r="J12" i="38"/>
  <c r="I30" i="38"/>
  <c r="P18" i="37"/>
  <c r="I28" i="38" s="1"/>
  <c r="P19" i="37"/>
  <c r="P20" i="37"/>
  <c r="P21" i="37"/>
  <c r="I31" i="38" s="1"/>
  <c r="P22" i="37"/>
  <c r="I32" i="38" s="1"/>
  <c r="P23" i="37"/>
  <c r="I33" i="38" s="1"/>
  <c r="P24" i="37"/>
  <c r="I34" i="38" s="1"/>
  <c r="P17" i="37"/>
  <c r="I27" i="38" s="1"/>
  <c r="K17" i="37"/>
  <c r="D27" i="38" s="1"/>
  <c r="L17" i="37"/>
  <c r="E27" i="38" s="1"/>
  <c r="M17" i="37"/>
  <c r="F27" i="38" s="1"/>
  <c r="N17" i="37"/>
  <c r="G27" i="38" s="1"/>
  <c r="O17" i="37"/>
  <c r="H27" i="38" s="1"/>
  <c r="K18" i="37"/>
  <c r="D28" i="38" s="1"/>
  <c r="L18" i="37"/>
  <c r="E28" i="38" s="1"/>
  <c r="M18" i="37"/>
  <c r="F28" i="38" s="1"/>
  <c r="N18" i="37"/>
  <c r="G28" i="38" s="1"/>
  <c r="O18" i="37"/>
  <c r="H28" i="38" s="1"/>
  <c r="K19" i="37"/>
  <c r="L19" i="37"/>
  <c r="M19" i="37"/>
  <c r="N19" i="37"/>
  <c r="O19" i="37"/>
  <c r="K20" i="37"/>
  <c r="D30" i="38" s="1"/>
  <c r="L20" i="37"/>
  <c r="E30" i="38" s="1"/>
  <c r="M20" i="37"/>
  <c r="F30" i="38" s="1"/>
  <c r="N20" i="37"/>
  <c r="G30" i="38" s="1"/>
  <c r="O20" i="37"/>
  <c r="H30" i="38" s="1"/>
  <c r="K21" i="37"/>
  <c r="D31" i="38" s="1"/>
  <c r="L21" i="37"/>
  <c r="E31" i="38" s="1"/>
  <c r="M21" i="37"/>
  <c r="F31" i="38" s="1"/>
  <c r="N21" i="37"/>
  <c r="G31" i="38" s="1"/>
  <c r="O21" i="37"/>
  <c r="H31" i="38" s="1"/>
  <c r="K22" i="37"/>
  <c r="D32" i="38" s="1"/>
  <c r="L22" i="37"/>
  <c r="E32" i="38" s="1"/>
  <c r="M22" i="37"/>
  <c r="F32" i="38" s="1"/>
  <c r="N22" i="37"/>
  <c r="G32" i="38" s="1"/>
  <c r="O22" i="37"/>
  <c r="H32" i="38" s="1"/>
  <c r="K23" i="37"/>
  <c r="D33" i="38" s="1"/>
  <c r="L23" i="37"/>
  <c r="E33" i="38" s="1"/>
  <c r="M23" i="37"/>
  <c r="F33" i="38" s="1"/>
  <c r="N23" i="37"/>
  <c r="G33" i="38" s="1"/>
  <c r="O23" i="37"/>
  <c r="H33" i="38" s="1"/>
  <c r="K24" i="37"/>
  <c r="D34" i="38" s="1"/>
  <c r="L24" i="37"/>
  <c r="E34" i="38" s="1"/>
  <c r="M24" i="37"/>
  <c r="F34" i="38" s="1"/>
  <c r="N24" i="37"/>
  <c r="G34" i="38" s="1"/>
  <c r="O24" i="37"/>
  <c r="H34" i="38" s="1"/>
  <c r="J18" i="37"/>
  <c r="C28" i="38" s="1"/>
  <c r="J19" i="37"/>
  <c r="J20" i="37"/>
  <c r="C30" i="38" s="1"/>
  <c r="J21" i="37"/>
  <c r="C31" i="38" s="1"/>
  <c r="J22" i="37"/>
  <c r="C32" i="38" s="1"/>
  <c r="J23" i="37"/>
  <c r="C33" i="38" s="1"/>
  <c r="J24" i="37"/>
  <c r="C34" i="38" s="1"/>
  <c r="J17" i="37"/>
  <c r="C27" i="38" s="1"/>
  <c r="I19" i="38"/>
  <c r="H19" i="38"/>
  <c r="H29" i="38" s="1"/>
  <c r="G19" i="38"/>
  <c r="F19" i="38"/>
  <c r="F29" i="38" s="1"/>
  <c r="E19" i="38"/>
  <c r="E29" i="38" s="1"/>
  <c r="D19" i="38"/>
  <c r="D29" i="38" s="1"/>
  <c r="C19" i="38"/>
  <c r="B19" i="38"/>
  <c r="B19" i="35"/>
  <c r="D19" i="35"/>
  <c r="E19" i="35"/>
  <c r="F19" i="35"/>
  <c r="G19" i="35"/>
  <c r="H19" i="35"/>
  <c r="I19" i="35"/>
  <c r="C19" i="35"/>
  <c r="I29" i="38" l="1"/>
  <c r="C29" i="38"/>
  <c r="G29" i="38"/>
  <c r="D27" i="33"/>
  <c r="D32" i="33"/>
  <c r="D30" i="33"/>
  <c r="D28" i="33"/>
  <c r="D33" i="33"/>
  <c r="D31" i="33"/>
  <c r="C14" i="30" l="1"/>
  <c r="D14" i="30"/>
  <c r="E14" i="30"/>
  <c r="F14" i="30"/>
  <c r="G14" i="30"/>
  <c r="H14" i="30"/>
  <c r="I14" i="30"/>
  <c r="C15" i="30"/>
  <c r="D15" i="30"/>
  <c r="E15" i="30"/>
  <c r="F15" i="30"/>
  <c r="G15" i="30"/>
  <c r="H15" i="30"/>
  <c r="I15" i="30"/>
  <c r="C16" i="30"/>
  <c r="D16" i="30"/>
  <c r="E16" i="30"/>
  <c r="F16" i="30"/>
  <c r="G16" i="30"/>
  <c r="H16" i="30"/>
  <c r="I16" i="30"/>
  <c r="C17" i="30"/>
  <c r="D17" i="30"/>
  <c r="E17" i="30"/>
  <c r="F17" i="30"/>
  <c r="G17" i="30"/>
  <c r="H17" i="30"/>
  <c r="I17" i="30"/>
  <c r="C18" i="30"/>
  <c r="D18" i="30"/>
  <c r="E18" i="30"/>
  <c r="F18" i="30"/>
  <c r="G18" i="30"/>
  <c r="H18" i="30"/>
  <c r="I18" i="30"/>
  <c r="C19" i="30"/>
  <c r="D19" i="30"/>
  <c r="E19" i="30"/>
  <c r="F19" i="30"/>
  <c r="G19" i="30"/>
  <c r="H19" i="30"/>
  <c r="I19" i="30"/>
  <c r="D13" i="30"/>
  <c r="E13" i="30"/>
  <c r="F13" i="30"/>
  <c r="G13" i="30"/>
  <c r="H13" i="30"/>
  <c r="I13" i="30"/>
  <c r="C13" i="30"/>
  <c r="E15" i="31"/>
  <c r="D15" i="31"/>
  <c r="M15" i="31"/>
  <c r="N15" i="31" s="1"/>
  <c r="K15" i="31"/>
  <c r="L15" i="31" s="1"/>
  <c r="I15" i="31"/>
  <c r="J15" i="31" s="1"/>
  <c r="H15" i="31"/>
  <c r="C15" i="31"/>
  <c r="L14" i="31"/>
  <c r="J14" i="31"/>
  <c r="L13" i="31"/>
  <c r="J13" i="31"/>
  <c r="L12" i="31"/>
  <c r="J12" i="31"/>
  <c r="L11" i="31"/>
  <c r="J11" i="31"/>
  <c r="L10" i="31"/>
  <c r="J10" i="31"/>
  <c r="L9" i="31"/>
  <c r="J9" i="31"/>
  <c r="P15" i="31" s="1"/>
  <c r="R15" i="31" l="1"/>
  <c r="G18" i="23" l="1"/>
  <c r="F18" i="23"/>
  <c r="E18" i="23"/>
  <c r="D18" i="23"/>
  <c r="I26" i="23" s="1"/>
  <c r="C18" i="23"/>
  <c r="H26" i="23" s="1"/>
  <c r="B18" i="23"/>
  <c r="G17" i="23"/>
  <c r="F17" i="23"/>
  <c r="E17" i="23"/>
  <c r="D17" i="23"/>
  <c r="I25" i="23" s="1"/>
  <c r="C17" i="23"/>
  <c r="H25" i="23" s="1"/>
  <c r="B17" i="23"/>
  <c r="G16" i="23"/>
  <c r="F16" i="23"/>
  <c r="E16" i="23"/>
  <c r="D16" i="23"/>
  <c r="I24" i="23" s="1"/>
  <c r="C16" i="23"/>
  <c r="H24" i="23" s="1"/>
  <c r="B16" i="23"/>
  <c r="C15" i="23"/>
  <c r="H23" i="23" s="1"/>
  <c r="B15" i="23"/>
  <c r="H11" i="23"/>
  <c r="G11" i="23"/>
  <c r="F11" i="23"/>
  <c r="E11" i="23"/>
  <c r="D11" i="23"/>
  <c r="C11" i="23"/>
  <c r="B11" i="23"/>
  <c r="J27" i="17" l="1"/>
  <c r="C25" i="15"/>
  <c r="C24" i="15"/>
  <c r="C23" i="15"/>
  <c r="J22" i="15"/>
  <c r="I22" i="15"/>
  <c r="H22" i="15"/>
  <c r="G22" i="15"/>
  <c r="F22" i="15"/>
  <c r="E22" i="15"/>
  <c r="D22" i="15"/>
  <c r="C22" i="15"/>
  <c r="C21" i="15"/>
  <c r="C20" i="15"/>
  <c r="C19" i="15"/>
  <c r="C18" i="15"/>
  <c r="J11" i="15"/>
  <c r="I11" i="15"/>
  <c r="H11" i="15"/>
  <c r="G11" i="15"/>
  <c r="F11" i="15"/>
  <c r="E11" i="15"/>
  <c r="D11" i="15"/>
  <c r="J10" i="15"/>
  <c r="I10" i="15"/>
  <c r="H10" i="15"/>
  <c r="G10" i="15"/>
  <c r="F10" i="15"/>
  <c r="E10" i="15"/>
  <c r="D10" i="15"/>
  <c r="J9" i="15"/>
  <c r="I9" i="15"/>
  <c r="H9" i="15"/>
  <c r="G9" i="15"/>
  <c r="F9" i="15"/>
  <c r="E9" i="15"/>
  <c r="D9" i="15"/>
  <c r="J8" i="15"/>
  <c r="I8" i="15"/>
  <c r="H8" i="15"/>
  <c r="G8" i="15"/>
  <c r="F8" i="15"/>
  <c r="E8" i="15"/>
  <c r="D8" i="15"/>
  <c r="K102" i="13"/>
  <c r="J102" i="13"/>
  <c r="I102" i="13"/>
  <c r="H102" i="13"/>
  <c r="L19" i="11" s="1"/>
  <c r="G102" i="13"/>
  <c r="K19" i="11" s="1"/>
  <c r="F102" i="13"/>
  <c r="J19" i="11" s="1"/>
  <c r="E102" i="13"/>
  <c r="I19" i="11" s="1"/>
  <c r="K101" i="13"/>
  <c r="J101" i="13"/>
  <c r="I101" i="13"/>
  <c r="H101" i="13"/>
  <c r="L18" i="11" s="1"/>
  <c r="G101" i="13"/>
  <c r="K18" i="11" s="1"/>
  <c r="F101" i="13"/>
  <c r="J18" i="11" s="1"/>
  <c r="E101" i="13"/>
  <c r="I18" i="11" s="1"/>
  <c r="K100" i="13"/>
  <c r="J100" i="13"/>
  <c r="I100" i="13"/>
  <c r="H100" i="13"/>
  <c r="L17" i="11" s="1"/>
  <c r="G100" i="13"/>
  <c r="K17" i="11" s="1"/>
  <c r="F100" i="13"/>
  <c r="J17" i="11" s="1"/>
  <c r="E100" i="13"/>
  <c r="I17" i="11" s="1"/>
  <c r="K99" i="13"/>
  <c r="J99" i="13"/>
  <c r="I99" i="13"/>
  <c r="H99" i="13"/>
  <c r="L16" i="11" s="1"/>
  <c r="G99" i="13"/>
  <c r="K16" i="11" s="1"/>
  <c r="F99" i="13"/>
  <c r="J16" i="11" s="1"/>
  <c r="E99" i="13"/>
  <c r="I16" i="11" s="1"/>
  <c r="E18" i="17" l="1"/>
  <c r="J28" i="17"/>
  <c r="E20" i="17"/>
  <c r="J30" i="17"/>
  <c r="E19" i="17"/>
  <c r="J29" i="17"/>
  <c r="E17" i="17"/>
  <c r="L102" i="13"/>
  <c r="L100" i="13"/>
  <c r="L101" i="13"/>
  <c r="L99" i="13"/>
  <c r="J15" i="15"/>
  <c r="I15" i="15" s="1"/>
  <c r="H15" i="15" s="1"/>
  <c r="G15" i="15" s="1"/>
  <c r="F15" i="15" s="1"/>
  <c r="E15" i="15" s="1"/>
  <c r="D15" i="15" s="1"/>
  <c r="K91" i="13"/>
  <c r="J91" i="13"/>
  <c r="I91" i="13"/>
  <c r="H91" i="13"/>
  <c r="F19" i="11" s="1"/>
  <c r="G91" i="13"/>
  <c r="E19" i="11" s="1"/>
  <c r="F91" i="13"/>
  <c r="D19" i="11" s="1"/>
  <c r="E91" i="13"/>
  <c r="C19" i="11" s="1"/>
  <c r="K90" i="13"/>
  <c r="J90" i="13"/>
  <c r="I90" i="13"/>
  <c r="H90" i="13"/>
  <c r="F18" i="11" s="1"/>
  <c r="G90" i="13"/>
  <c r="E18" i="11" s="1"/>
  <c r="F90" i="13"/>
  <c r="D18" i="11" s="1"/>
  <c r="E90" i="13"/>
  <c r="C18" i="11" s="1"/>
  <c r="K89" i="13"/>
  <c r="J89" i="13"/>
  <c r="I89" i="13"/>
  <c r="H89" i="13"/>
  <c r="F17" i="11" s="1"/>
  <c r="G89" i="13"/>
  <c r="E17" i="11" s="1"/>
  <c r="F89" i="13"/>
  <c r="D17" i="11" s="1"/>
  <c r="E89" i="13"/>
  <c r="C17" i="11" s="1"/>
  <c r="L91" i="13" l="1"/>
  <c r="L89" i="13"/>
  <c r="L90" i="13"/>
  <c r="K88" i="13"/>
  <c r="J88" i="13"/>
  <c r="I88" i="13"/>
  <c r="H88" i="13"/>
  <c r="F16" i="11" s="1"/>
  <c r="G88" i="13"/>
  <c r="E16" i="11" s="1"/>
  <c r="F88" i="13"/>
  <c r="D16" i="11" s="1"/>
  <c r="E88" i="13"/>
  <c r="I35" i="12"/>
  <c r="H35" i="12"/>
  <c r="G35" i="12"/>
  <c r="F35" i="12"/>
  <c r="E35" i="12"/>
  <c r="D35" i="12"/>
  <c r="C35" i="12"/>
  <c r="B35" i="12"/>
  <c r="I34" i="12"/>
  <c r="H34" i="12"/>
  <c r="G34" i="12"/>
  <c r="F34" i="12"/>
  <c r="E34" i="12"/>
  <c r="D34" i="12"/>
  <c r="C34" i="12"/>
  <c r="B34" i="12"/>
  <c r="I33" i="12"/>
  <c r="H33" i="12"/>
  <c r="G33" i="12"/>
  <c r="F33" i="12"/>
  <c r="E33" i="12"/>
  <c r="D33" i="12"/>
  <c r="C33" i="12"/>
  <c r="B33" i="12"/>
  <c r="I32" i="12"/>
  <c r="H32" i="12"/>
  <c r="G32" i="12"/>
  <c r="F32" i="12"/>
  <c r="E32" i="12"/>
  <c r="D32" i="12"/>
  <c r="C32" i="12"/>
  <c r="B32" i="12"/>
  <c r="I31" i="12"/>
  <c r="H31" i="12"/>
  <c r="G31" i="12"/>
  <c r="F31" i="12"/>
  <c r="E31" i="12"/>
  <c r="D31" i="12"/>
  <c r="C31" i="12"/>
  <c r="B31" i="12"/>
  <c r="I30" i="12"/>
  <c r="H30" i="12"/>
  <c r="G30" i="12"/>
  <c r="F30" i="12"/>
  <c r="E30" i="12"/>
  <c r="D30" i="12"/>
  <c r="C30" i="12"/>
  <c r="B30" i="12"/>
  <c r="I29" i="12"/>
  <c r="H29" i="12"/>
  <c r="G29" i="12"/>
  <c r="F29" i="12"/>
  <c r="E29" i="12"/>
  <c r="D29" i="12"/>
  <c r="C29" i="12"/>
  <c r="B29" i="12"/>
  <c r="I28" i="12"/>
  <c r="H28" i="12"/>
  <c r="G28" i="12"/>
  <c r="F28" i="12"/>
  <c r="E28" i="12"/>
  <c r="D28" i="12"/>
  <c r="C28" i="12"/>
  <c r="B28" i="12"/>
  <c r="I27" i="12"/>
  <c r="H27" i="12"/>
  <c r="G27" i="12"/>
  <c r="F27" i="12"/>
  <c r="E27" i="12"/>
  <c r="D27" i="12"/>
  <c r="L88" i="13" l="1"/>
  <c r="C16" i="11"/>
  <c r="C27" i="12"/>
  <c r="B27" i="12"/>
  <c r="B19" i="11"/>
  <c r="B18" i="11"/>
  <c r="B17" i="11"/>
  <c r="B16" i="11"/>
  <c r="F12" i="11"/>
  <c r="E12" i="11"/>
  <c r="D12" i="11"/>
  <c r="C12" i="11"/>
  <c r="F17" i="10"/>
  <c r="E17" i="10"/>
  <c r="D17" i="10"/>
  <c r="C17" i="10"/>
  <c r="F16" i="10"/>
  <c r="E16" i="10"/>
  <c r="D16" i="10"/>
  <c r="C16" i="10"/>
  <c r="F15" i="10"/>
  <c r="E15" i="10"/>
  <c r="D15" i="10"/>
  <c r="C15" i="10"/>
  <c r="F14" i="10"/>
  <c r="E14" i="10"/>
  <c r="D14" i="10"/>
  <c r="C14" i="10"/>
  <c r="F13" i="10"/>
  <c r="E13" i="10"/>
  <c r="D13" i="10"/>
  <c r="C13" i="10"/>
  <c r="F18" i="10" l="1"/>
  <c r="E18" i="10" s="1"/>
  <c r="D18" i="10"/>
  <c r="C18" i="10" s="1"/>
  <c r="K23" i="9"/>
  <c r="K16" i="4"/>
  <c r="J16" i="4"/>
  <c r="I16" i="4"/>
  <c r="H16" i="4"/>
  <c r="G16" i="4"/>
  <c r="F16" i="4"/>
  <c r="E16" i="4"/>
  <c r="K15" i="4"/>
  <c r="J15" i="4"/>
  <c r="I15" i="4"/>
  <c r="H15" i="4"/>
  <c r="G15" i="4"/>
  <c r="F15" i="4"/>
  <c r="E15" i="4"/>
  <c r="K14" i="4"/>
  <c r="J14" i="4"/>
  <c r="I14" i="4"/>
  <c r="H14" i="4"/>
  <c r="G14" i="4"/>
  <c r="F14" i="4"/>
  <c r="E14" i="4"/>
  <c r="K13" i="4"/>
  <c r="J13" i="4"/>
  <c r="I13" i="4"/>
  <c r="H13" i="4"/>
  <c r="G13" i="4"/>
  <c r="F13" i="4"/>
  <c r="E13" i="4"/>
  <c r="J23" i="9" l="1"/>
  <c r="I23" i="9" s="1"/>
  <c r="H23" i="9" s="1"/>
  <c r="K20" i="4"/>
  <c r="J20" i="4" s="1"/>
  <c r="I20" i="4" s="1"/>
  <c r="H20" i="4" s="1"/>
  <c r="G20" i="4" s="1"/>
  <c r="F20" i="4" s="1"/>
  <c r="E20" i="4" s="1"/>
</calcChain>
</file>

<file path=xl/comments1.xml><?xml version="1.0" encoding="utf-8"?>
<comments xmlns="http://schemas.openxmlformats.org/spreadsheetml/2006/main">
  <authors>
    <author>Padraic Ward</author>
  </authors>
  <commentList>
    <comment ref="J84" authorId="0">
      <text>
        <r>
          <rPr>
            <b/>
            <sz val="8"/>
            <color indexed="81"/>
            <rFont val="Tahoma"/>
            <family val="2"/>
          </rPr>
          <t>Padraic Ward:</t>
        </r>
        <r>
          <rPr>
            <sz val="8"/>
            <color indexed="81"/>
            <rFont val="Tahoma"/>
            <family val="2"/>
          </rPr>
          <t xml:space="preserve">
Using w/o impairments as our baseline case</t>
        </r>
      </text>
    </comment>
    <comment ref="J95" authorId="0">
      <text>
        <r>
          <rPr>
            <b/>
            <sz val="8"/>
            <color indexed="81"/>
            <rFont val="Tahoma"/>
            <family val="2"/>
          </rPr>
          <t>Padraic Ward:</t>
        </r>
        <r>
          <rPr>
            <sz val="8"/>
            <color indexed="81"/>
            <rFont val="Tahoma"/>
            <family val="2"/>
          </rPr>
          <t xml:space="preserve">
Using w/o impairments as our baseline case</t>
        </r>
      </text>
    </comment>
  </commentList>
</comments>
</file>

<file path=xl/comments2.xml><?xml version="1.0" encoding="utf-8"?>
<comments xmlns="http://schemas.openxmlformats.org/spreadsheetml/2006/main">
  <authors>
    <author>Padraic Ward</author>
  </authors>
  <commentList>
    <comment ref="H35" authorId="0">
      <text>
        <r>
          <rPr>
            <b/>
            <sz val="8"/>
            <color indexed="81"/>
            <rFont val="Tahoma"/>
            <family val="2"/>
          </rPr>
          <t>Padraic Ward:</t>
        </r>
        <r>
          <rPr>
            <sz val="8"/>
            <color indexed="81"/>
            <rFont val="Tahoma"/>
            <family val="2"/>
          </rPr>
          <t xml:space="preserve">
These figures in row 19 include purchase of healthcare from non-NHS bodies taken from the RC database</t>
        </r>
      </text>
    </comment>
  </commentList>
</comments>
</file>

<file path=xl/comments3.xml><?xml version="1.0" encoding="utf-8"?>
<comments xmlns="http://schemas.openxmlformats.org/spreadsheetml/2006/main">
  <authors>
    <author>Andrew Street</author>
  </authors>
  <commentList>
    <comment ref="E9" authorId="0">
      <text>
        <r>
          <rPr>
            <b/>
            <sz val="8"/>
            <color indexed="81"/>
            <rFont val="Tahoma"/>
            <family val="2"/>
          </rPr>
          <t>Andrew Street:</t>
        </r>
        <r>
          <rPr>
            <sz val="8"/>
            <color indexed="81"/>
            <rFont val="Tahoma"/>
            <family val="2"/>
          </rPr>
          <t xml:space="preserve">
from Adriana</t>
        </r>
      </text>
    </comment>
    <comment ref="H9" authorId="0">
      <text>
        <r>
          <rPr>
            <b/>
            <sz val="8"/>
            <color indexed="81"/>
            <rFont val="Tahoma"/>
            <family val="2"/>
          </rPr>
          <t>Andrew Street:</t>
        </r>
        <r>
          <rPr>
            <sz val="8"/>
            <color indexed="81"/>
            <rFont val="Tahoma"/>
            <family val="2"/>
          </rPr>
          <t xml:space="preserve">
with px based on chem comp</t>
        </r>
      </text>
    </comment>
    <comment ref="E19" authorId="0">
      <text>
        <r>
          <rPr>
            <b/>
            <sz val="8"/>
            <color indexed="81"/>
            <rFont val="Tahoma"/>
            <family val="2"/>
          </rPr>
          <t>Andrew Street:</t>
        </r>
        <r>
          <rPr>
            <sz val="8"/>
            <color indexed="81"/>
            <rFont val="Tahoma"/>
            <family val="2"/>
          </rPr>
          <t xml:space="preserve">
from Adriana</t>
        </r>
      </text>
    </comment>
    <comment ref="H19" authorId="0">
      <text>
        <r>
          <rPr>
            <b/>
            <sz val="8"/>
            <color indexed="81"/>
            <rFont val="Tahoma"/>
            <family val="2"/>
          </rPr>
          <t>Andrew Street:</t>
        </r>
        <r>
          <rPr>
            <sz val="8"/>
            <color indexed="81"/>
            <rFont val="Tahoma"/>
            <family val="2"/>
          </rPr>
          <t xml:space="preserve">
with px based on chem comp</t>
        </r>
      </text>
    </comment>
    <comment ref="E29" authorId="0">
      <text>
        <r>
          <rPr>
            <b/>
            <sz val="8"/>
            <color indexed="81"/>
            <rFont val="Tahoma"/>
            <family val="2"/>
          </rPr>
          <t>Andrew Street:</t>
        </r>
        <r>
          <rPr>
            <sz val="8"/>
            <color indexed="81"/>
            <rFont val="Tahoma"/>
            <family val="2"/>
          </rPr>
          <t xml:space="preserve">
from Adriana</t>
        </r>
      </text>
    </comment>
    <comment ref="H29" authorId="0">
      <text>
        <r>
          <rPr>
            <b/>
            <sz val="8"/>
            <color indexed="81"/>
            <rFont val="Tahoma"/>
            <family val="2"/>
          </rPr>
          <t>Andrew Street:</t>
        </r>
        <r>
          <rPr>
            <sz val="8"/>
            <color indexed="81"/>
            <rFont val="Tahoma"/>
            <family val="2"/>
          </rPr>
          <t xml:space="preserve">
with px based on chem comp</t>
        </r>
      </text>
    </comment>
    <comment ref="E39" authorId="0">
      <text>
        <r>
          <rPr>
            <b/>
            <sz val="8"/>
            <color indexed="81"/>
            <rFont val="Tahoma"/>
            <family val="2"/>
          </rPr>
          <t>Andrew Street:</t>
        </r>
        <r>
          <rPr>
            <sz val="8"/>
            <color indexed="81"/>
            <rFont val="Tahoma"/>
            <family val="2"/>
          </rPr>
          <t xml:space="preserve">
from Adriana</t>
        </r>
      </text>
    </comment>
    <comment ref="H39" authorId="0">
      <text>
        <r>
          <rPr>
            <b/>
            <sz val="8"/>
            <color indexed="81"/>
            <rFont val="Tahoma"/>
            <family val="2"/>
          </rPr>
          <t>Andrew Street:</t>
        </r>
        <r>
          <rPr>
            <sz val="8"/>
            <color indexed="81"/>
            <rFont val="Tahoma"/>
            <family val="2"/>
          </rPr>
          <t xml:space="preserve">
with px based on chem comp</t>
        </r>
      </text>
    </comment>
  </commentList>
</comments>
</file>

<file path=xl/sharedStrings.xml><?xml version="1.0" encoding="utf-8"?>
<sst xmlns="http://schemas.openxmlformats.org/spreadsheetml/2006/main" count="1931" uniqueCount="552">
  <si>
    <t>Centre for Health Economics, University of York</t>
  </si>
  <si>
    <t>Year</t>
  </si>
  <si>
    <t>Total FTEs</t>
  </si>
  <si>
    <t>Total Spend</t>
  </si>
  <si>
    <t>2007/08</t>
  </si>
  <si>
    <t>2008/09</t>
  </si>
  <si>
    <t>2009/10</t>
  </si>
  <si>
    <t>2010/11</t>
  </si>
  <si>
    <t>Price and Volume Ratios relative to previous year</t>
  </si>
  <si>
    <t>Laspeyres Price Ratio</t>
  </si>
  <si>
    <t>Paasche Price Ratio</t>
  </si>
  <si>
    <t>Fisher Price Ratio</t>
  </si>
  <si>
    <t>Laspeyres Volume Ratio</t>
  </si>
  <si>
    <t>Paasche Volume Ratio</t>
  </si>
  <si>
    <t>Fisher Volume Ratio</t>
  </si>
  <si>
    <t>07/08 to 08/09</t>
  </si>
  <si>
    <t>08/09 to 09/10</t>
  </si>
  <si>
    <t>09/10 to 10/11</t>
  </si>
  <si>
    <t>Price and Volume Year on Year % Increases</t>
  </si>
  <si>
    <t>Laspeyres Price</t>
  </si>
  <si>
    <t>Paasche Price</t>
  </si>
  <si>
    <t>Fisher Price</t>
  </si>
  <si>
    <t>Laspeyres Volume</t>
  </si>
  <si>
    <t>Paasche Volume</t>
  </si>
  <si>
    <t>Fisher Volume</t>
  </si>
  <si>
    <t>Price and Output Indices (latest year = 1)</t>
  </si>
  <si>
    <t>Laspeyres Price Index</t>
  </si>
  <si>
    <t>Paasche Price Index</t>
  </si>
  <si>
    <t>Fisher Price Index</t>
  </si>
  <si>
    <t>Laspeyres Volume Index</t>
  </si>
  <si>
    <t>Paasche Volume Index</t>
  </si>
  <si>
    <t>Fisher Volume Index</t>
  </si>
  <si>
    <t>Major Staff Group</t>
  </si>
  <si>
    <t>A</t>
  </si>
  <si>
    <t>G</t>
  </si>
  <si>
    <t>H</t>
  </si>
  <si>
    <t>N</t>
  </si>
  <si>
    <t>P</t>
  </si>
  <si>
    <t>S</t>
  </si>
  <si>
    <t>T</t>
  </si>
  <si>
    <t>U</t>
  </si>
  <si>
    <t>Z</t>
  </si>
  <si>
    <t>NHS Staff</t>
  </si>
  <si>
    <t>Agency Staff</t>
  </si>
  <si>
    <t>Chairman &amp; Directors</t>
  </si>
  <si>
    <t>Labour</t>
  </si>
  <si>
    <t>Intermediate</t>
  </si>
  <si>
    <t>Capital</t>
  </si>
  <si>
    <t>Total</t>
  </si>
  <si>
    <t>Total wo</t>
  </si>
  <si>
    <t>Labour %</t>
  </si>
  <si>
    <t>Intermediate %</t>
  </si>
  <si>
    <t>Capital %</t>
  </si>
  <si>
    <t>Labour % wo</t>
  </si>
  <si>
    <t>Interm % wo</t>
  </si>
  <si>
    <t>Capital % wo</t>
  </si>
  <si>
    <t>PCTs</t>
  </si>
  <si>
    <t>Intermediates</t>
  </si>
  <si>
    <t>Total Labour</t>
  </si>
  <si>
    <t>Total Capital</t>
  </si>
  <si>
    <t>Total Intermediates</t>
  </si>
  <si>
    <t>Total Cost</t>
  </si>
  <si>
    <t>Total Capital w/o imp</t>
  </si>
  <si>
    <t>Total Adjusted Indirect Spend Trusts, FTs PCTs and SHAs</t>
  </si>
  <si>
    <t>Unadjusted Total Volume and Spend</t>
  </si>
  <si>
    <t>Total Px</t>
  </si>
  <si>
    <t>Total Qty</t>
  </si>
  <si>
    <t>1997/98</t>
  </si>
  <si>
    <t>1998/99</t>
  </si>
  <si>
    <t>1999/00</t>
  </si>
  <si>
    <t>2000/01</t>
  </si>
  <si>
    <t>2001/02</t>
  </si>
  <si>
    <t>2002/03</t>
  </si>
  <si>
    <t>2003/04</t>
  </si>
  <si>
    <t>2004/05</t>
  </si>
  <si>
    <t>2005/06</t>
  </si>
  <si>
    <t>2006/07</t>
  </si>
  <si>
    <t>96/97 to 97/98</t>
  </si>
  <si>
    <t>97/98 to 98/99</t>
  </si>
  <si>
    <t>98/99 to 99/00</t>
  </si>
  <si>
    <t>99/00 to 00/01</t>
  </si>
  <si>
    <t>00/01 to 01/02</t>
  </si>
  <si>
    <t>01/02 to 02/03</t>
  </si>
  <si>
    <t>02/03 to 03/04</t>
  </si>
  <si>
    <t>03/04 to 04/05</t>
  </si>
  <si>
    <t>04/05 to 05/06</t>
  </si>
  <si>
    <t>05/06 to 06/07</t>
  </si>
  <si>
    <t>06/07 to 07/08</t>
  </si>
  <si>
    <t>year</t>
  </si>
  <si>
    <t>Average Cost</t>
  </si>
  <si>
    <t>Unadjusted Elective and Day Case HES Output</t>
  </si>
  <si>
    <t>Total CIPS</t>
  </si>
  <si>
    <t>QtPt</t>
  </si>
  <si>
    <t>Unadjusted Non-Elective HES Output</t>
  </si>
  <si>
    <t>Unadjusted Elective and Day Case Mental Health HES Output</t>
  </si>
  <si>
    <t>Unadjusted Non-Elective Mental Health HES Output</t>
  </si>
  <si>
    <t>HES Elective and Day Case CIPS Volume and Cost Indices</t>
  </si>
  <si>
    <t>tot_CIPs</t>
  </si>
  <si>
    <t>Las_pr</t>
  </si>
  <si>
    <t>Paa_pr</t>
  </si>
  <si>
    <t>Fish_pr</t>
  </si>
  <si>
    <t>.</t>
  </si>
  <si>
    <t>HES Non-Elective and Day Case CIPS Volume and Cost Indices</t>
  </si>
  <si>
    <t>HES Elective and Day Case Mental Health CIPS Volume and Cost Indices</t>
  </si>
  <si>
    <t>HES Non-Elective Mental Health CIPS Volume and Cost Indices</t>
  </si>
  <si>
    <t>Authors:</t>
  </si>
  <si>
    <t>Chris Bojke</t>
  </si>
  <si>
    <t>Adriana Castelli</t>
  </si>
  <si>
    <t>Katja Grasic</t>
  </si>
  <si>
    <t>Andrew Street*</t>
  </si>
  <si>
    <t>Padraic Ward</t>
  </si>
  <si>
    <t>*Corresponding author, email: andrew.street@york.ac.uk</t>
  </si>
  <si>
    <t>Other</t>
  </si>
  <si>
    <t>Table of contents</t>
  </si>
  <si>
    <t>3. Productivity</t>
  </si>
  <si>
    <t>Inputs: direct labour</t>
  </si>
  <si>
    <t>Unadjusted direct labout</t>
  </si>
  <si>
    <t xml:space="preserve">Paasche Price Ratio    </t>
  </si>
  <si>
    <t>Legend:</t>
  </si>
  <si>
    <t>N: Qualified nursing, midwifery &amp; health visiting staff (Qualified nurses)</t>
  </si>
  <si>
    <t>P: Nursing, midwifery &amp; health visiting learners</t>
  </si>
  <si>
    <t>S: Scientific, therapeutic and technical staff (Qualified ST&amp;T)</t>
  </si>
  <si>
    <t>T: Healthcare Scientists</t>
  </si>
  <si>
    <t>Z: Non-funded staff</t>
  </si>
  <si>
    <t>U: Unknown</t>
  </si>
  <si>
    <t>H: support workers, unqualified</t>
  </si>
  <si>
    <t>G: NHS support</t>
  </si>
  <si>
    <t>A: Ambulance staff</t>
  </si>
  <si>
    <t>0: Medical and dental staff, hospitals</t>
  </si>
  <si>
    <t>1: Medical and dental staff (locum only)</t>
  </si>
  <si>
    <t>8: Doctors in training</t>
  </si>
  <si>
    <t>9: GPs</t>
  </si>
  <si>
    <t>2: Public health and community health services (medical)</t>
  </si>
  <si>
    <t>Inputs: indirect expenditure</t>
  </si>
  <si>
    <r>
      <t>Unadjusted Indirect PCT Spends</t>
    </r>
    <r>
      <rPr>
        <b/>
        <sz val="18"/>
        <color theme="1"/>
        <rFont val="Arial Rounded MT Bold"/>
        <family val="2"/>
      </rPr>
      <t xml:space="preserve"> </t>
    </r>
  </si>
  <si>
    <r>
      <t>Unadjusted Indirect SHA Spend by year</t>
    </r>
    <r>
      <rPr>
        <b/>
        <sz val="18"/>
        <color theme="1"/>
        <rFont val="Arial Rounded MT Bold"/>
        <family val="2"/>
      </rPr>
      <t xml:space="preserve"> </t>
    </r>
  </si>
  <si>
    <r>
      <t>Adjusted Indirect SHA Spend by year</t>
    </r>
    <r>
      <rPr>
        <b/>
        <sz val="18"/>
        <color theme="1"/>
        <rFont val="Arial Rounded MT Bold"/>
        <family val="2"/>
      </rPr>
      <t xml:space="preserve"> </t>
    </r>
  </si>
  <si>
    <r>
      <t>Adjusted Indirect Hospital Spend by year (FTs and Trusts)</t>
    </r>
    <r>
      <rPr>
        <b/>
        <sz val="18"/>
        <color theme="1"/>
        <rFont val="Arial Rounded MT Bold"/>
        <family val="2"/>
      </rPr>
      <t xml:space="preserve"> </t>
    </r>
  </si>
  <si>
    <r>
      <t>Unadjusted Indirect Hospital Spend by year (FTs and Trusts)</t>
    </r>
    <r>
      <rPr>
        <b/>
        <sz val="18"/>
        <color theme="1"/>
        <rFont val="Arial Rounded MT Bold"/>
        <family val="2"/>
      </rPr>
      <t xml:space="preserve"> </t>
    </r>
  </si>
  <si>
    <t>Unadjusted Total Volume and Spend by Major Staff Groups</t>
  </si>
  <si>
    <t>Prescribing</t>
  </si>
  <si>
    <r>
      <t>Indirect PCT Spend in current prices</t>
    </r>
    <r>
      <rPr>
        <b/>
        <sz val="18"/>
        <color theme="1"/>
        <rFont val="Arial Rounded MT Bold"/>
        <family val="2"/>
      </rPr>
      <t xml:space="preserve"> </t>
    </r>
  </si>
  <si>
    <t>Outputs - HES</t>
  </si>
  <si>
    <t>Qt</t>
  </si>
  <si>
    <t>QtPt-1</t>
  </si>
  <si>
    <t>Qt-1Pt</t>
  </si>
  <si>
    <t>Qt-1Pt-1</t>
  </si>
  <si>
    <t>A&amp;E Services</t>
  </si>
  <si>
    <t>Chemo/Radiotherapy &amp; High Cost Drugs</t>
  </si>
  <si>
    <t>Community Care</t>
  </si>
  <si>
    <t>Diagnostic Tests</t>
  </si>
  <si>
    <t>Hospital and Non-Admitted Mental Health</t>
  </si>
  <si>
    <t>Hospital/Patient Transport Scheme</t>
  </si>
  <si>
    <t>Outpatient</t>
  </si>
  <si>
    <t>Radiology</t>
  </si>
  <si>
    <t>Rehabilitation</t>
  </si>
  <si>
    <t>Renal Dialysis</t>
  </si>
  <si>
    <t>Specialist Services</t>
  </si>
  <si>
    <t>Outputs - Reference Costs</t>
  </si>
  <si>
    <t>Productivity</t>
  </si>
  <si>
    <t>Mixed</t>
  </si>
  <si>
    <t>RC</t>
  </si>
  <si>
    <t>Total NHS</t>
  </si>
  <si>
    <t>Output growth</t>
  </si>
  <si>
    <t>Output index</t>
  </si>
  <si>
    <t>Input growth</t>
  </si>
  <si>
    <t>Input index</t>
  </si>
  <si>
    <t>Productivity index</t>
  </si>
  <si>
    <t>Productivity growth</t>
  </si>
  <si>
    <t>2004/5 - 2005/6</t>
  </si>
  <si>
    <t>2005/6 - 2006/7</t>
  </si>
  <si>
    <t>2006/7 - 2007/8</t>
  </si>
  <si>
    <t>2007/8 - 2008/9</t>
  </si>
  <si>
    <t>2008/9 - 2009/10</t>
  </si>
  <si>
    <t>2009/10-2010/11</t>
  </si>
  <si>
    <t>Productivity estimates: indirect method for L</t>
  </si>
  <si>
    <t>TFR</t>
  </si>
  <si>
    <t>Indirect</t>
  </si>
  <si>
    <t>Hospital dental staff</t>
  </si>
  <si>
    <t>Community/public health medical staff</t>
  </si>
  <si>
    <t>Community/public health dental staff</t>
  </si>
  <si>
    <t>Ambulance</t>
  </si>
  <si>
    <t>Administration &amp; estates</t>
  </si>
  <si>
    <t>Health care assistants</t>
  </si>
  <si>
    <t>Support staff</t>
  </si>
  <si>
    <t>Nursing, midwifery and HV</t>
  </si>
  <si>
    <t>Scientific, therapeutic &amp; Technical</t>
  </si>
  <si>
    <t>General payments</t>
  </si>
  <si>
    <t>Not known</t>
  </si>
  <si>
    <t>0: All directly employed NHS staff</t>
  </si>
  <si>
    <t>1: All directly employed medical &amp; dental staff</t>
  </si>
  <si>
    <t>2: Hospital medical staff</t>
  </si>
  <si>
    <t>Inputs: Intermediates, direct approach</t>
  </si>
  <si>
    <t>Data sources for direct calculation of Intermediates:</t>
  </si>
  <si>
    <t>Capital Costs - Current expenditure (£'000)</t>
  </si>
  <si>
    <t>NHS hospitals, foundation trusts and ambulance trusts</t>
  </si>
  <si>
    <t>2004/5</t>
  </si>
  <si>
    <t>2005/6</t>
  </si>
  <si>
    <t>2006/7</t>
  </si>
  <si>
    <t>2007/8</t>
  </si>
  <si>
    <t>2008/9</t>
  </si>
  <si>
    <t>Equipment</t>
  </si>
  <si>
    <t xml:space="preserve">Medical &amp; Surgical Equipment - Purchase </t>
  </si>
  <si>
    <t xml:space="preserve">Medical &amp; Surgical Equipment - Maintenance </t>
  </si>
  <si>
    <t xml:space="preserve">X-Ray Equipment - Purchase </t>
  </si>
  <si>
    <t xml:space="preserve">X-Ray Equipment - Maintenance </t>
  </si>
  <si>
    <t xml:space="preserve">Appliances </t>
  </si>
  <si>
    <t xml:space="preserve">Laboratory Equipment - Purchase </t>
  </si>
  <si>
    <t xml:space="preserve">Laboratory Equipment - Maintenance </t>
  </si>
  <si>
    <t xml:space="preserve">Furniture, Office &amp; Computer Equipment </t>
  </si>
  <si>
    <t>Computer Hardware-Maintenance &amp; Data Processing Contracts</t>
  </si>
  <si>
    <t>FT services and supplies</t>
  </si>
  <si>
    <t>FT operating lease rentals and Plant and Machinery</t>
  </si>
  <si>
    <t>Premises</t>
  </si>
  <si>
    <t xml:space="preserve">Building and Engineering Equipment </t>
  </si>
  <si>
    <t xml:space="preserve">Building &amp; Engineering Contracts </t>
  </si>
  <si>
    <t>FT premises - capital items</t>
  </si>
  <si>
    <t xml:space="preserve">Business Rates </t>
  </si>
  <si>
    <t>Current expenditure</t>
  </si>
  <si>
    <t>NHS staff</t>
  </si>
  <si>
    <t>Agency staff</t>
  </si>
  <si>
    <t>Intermediates (RC)</t>
  </si>
  <si>
    <t>Primary Care</t>
  </si>
  <si>
    <t>DH Adminstration</t>
  </si>
  <si>
    <t xml:space="preserve">Total </t>
  </si>
  <si>
    <t>Constant expenditure</t>
  </si>
  <si>
    <t>MSG</t>
  </si>
  <si>
    <t>Medical</t>
  </si>
  <si>
    <t xml:space="preserve">Breakdown by major staff groups </t>
  </si>
  <si>
    <t>Select the view:</t>
  </si>
  <si>
    <t>M - Medical staff</t>
  </si>
  <si>
    <t>A - Ambulance staff</t>
  </si>
  <si>
    <t>G - Administration and Estates staff</t>
  </si>
  <si>
    <t>H - Health care assistants and other support staff</t>
  </si>
  <si>
    <t>N - Nursing, midwifery and health visiting staff</t>
  </si>
  <si>
    <t>P - Nursing, midwifery and health visiting learners</t>
  </si>
  <si>
    <t>S - Scientific, therapeutic and technical staff</t>
  </si>
  <si>
    <t>T - Healthcare scientists</t>
  </si>
  <si>
    <t>U - Unknown</t>
  </si>
  <si>
    <t>M</t>
  </si>
  <si>
    <t>Data source: Trusts, Foundation Trusts, SHA and PCT's Financial returns</t>
  </si>
  <si>
    <t>Total inputs</t>
  </si>
  <si>
    <t>TOTAL</t>
  </si>
  <si>
    <t>A&amp;E Services</t>
  </si>
  <si>
    <t>Community Care</t>
  </si>
  <si>
    <t>Diagnostic Tests</t>
  </si>
  <si>
    <t>Hospital and Non-Admitted Mental Health</t>
  </si>
  <si>
    <t>Hospital/Patient Transport Sheme</t>
  </si>
  <si>
    <t>Renal Dialysis</t>
  </si>
  <si>
    <t>Specialist Services</t>
  </si>
  <si>
    <t>Opth&amp;Dentistry</t>
  </si>
  <si>
    <t>Select the setting:</t>
  </si>
  <si>
    <t>Breakdown by different settings</t>
  </si>
  <si>
    <t>Data source: Reference Costs Dataset</t>
  </si>
  <si>
    <t>Reference costs - TOTAL</t>
  </si>
  <si>
    <t>OVERALL REFERENCE COSTS</t>
  </si>
  <si>
    <t>OVERALL REFERENCE COSTS Quality-Adjusted</t>
  </si>
  <si>
    <t>Qadj QtPt-1</t>
  </si>
  <si>
    <t xml:space="preserve">Chemo/Radiotherapy &amp; High Cost Drugs </t>
  </si>
  <si>
    <t>Trusts and Foundation Trusts</t>
  </si>
  <si>
    <t>PCT</t>
  </si>
  <si>
    <t>SHA</t>
  </si>
  <si>
    <t>Adjusted</t>
  </si>
  <si>
    <t>Unadjusted</t>
  </si>
  <si>
    <t>Capital without impairments</t>
  </si>
  <si>
    <t>Data source: Propgen</t>
  </si>
  <si>
    <t>Breakdown by volume and spend</t>
  </si>
  <si>
    <t>Price Index</t>
  </si>
  <si>
    <t>Volume index</t>
  </si>
  <si>
    <t>Ratios relative to previous year</t>
  </si>
  <si>
    <t>Year on year % increase</t>
  </si>
  <si>
    <t>Relative to the latest year</t>
  </si>
  <si>
    <t>BaseYear: 2007/08</t>
  </si>
  <si>
    <t>Opth &amp; Dentistry</t>
  </si>
  <si>
    <t>Breakdown by expenditure</t>
  </si>
  <si>
    <t>Breakdown by expenditure (stacked to 100%)</t>
  </si>
  <si>
    <t>Nb. Of PCTs</t>
  </si>
  <si>
    <t>Total w/o impairments</t>
  </si>
  <si>
    <t>SHAs</t>
  </si>
  <si>
    <t>All trusts</t>
  </si>
  <si>
    <t>CAPITAL COSTS BREAKDOWN</t>
  </si>
  <si>
    <t>Select type of cost</t>
  </si>
  <si>
    <t>Select provider type</t>
  </si>
  <si>
    <t>Deflators</t>
  </si>
  <si>
    <t xml:space="preserve">Data source: ONS MM17 indices, Department of Health </t>
  </si>
  <si>
    <t>Breakdown by specific deflator</t>
  </si>
  <si>
    <t>Pay Index</t>
  </si>
  <si>
    <t>Prices Index</t>
  </si>
  <si>
    <t>Pay &amp; Prices index</t>
  </si>
  <si>
    <t>CHE drugs index</t>
  </si>
  <si>
    <t xml:space="preserve">Medical equipment </t>
  </si>
  <si>
    <t>Computer machinery</t>
  </si>
  <si>
    <t>Electrical Machinery</t>
  </si>
  <si>
    <t>Input type</t>
  </si>
  <si>
    <t>Data source</t>
  </si>
  <si>
    <t>Deflator</t>
  </si>
  <si>
    <t>Electronic staff record</t>
  </si>
  <si>
    <t>CHE pay index from ESR data</t>
  </si>
  <si>
    <t>Organisational financial returns</t>
  </si>
  <si>
    <t>NHS pay index</t>
  </si>
  <si>
    <t>NHS prices index</t>
  </si>
  <si>
    <t xml:space="preserve">ONS MM17 ‘Electrical machinery (3123)’,’ Medical, precision and optical equipment (3300)’; </t>
  </si>
  <si>
    <t>the “Computers and other information processing equipment PQEK” index is no longer available and has been substituted with “Office machinery &amp; computers PVJI”.</t>
  </si>
  <si>
    <t>General medical, dental, ophthalmic care, family health services</t>
  </si>
  <si>
    <t>DH</t>
  </si>
  <si>
    <t>NHS pay index and NHS pay &amp; prices index</t>
  </si>
  <si>
    <t>Prescription cost analysis system</t>
  </si>
  <si>
    <t>CHE prescribing price index</t>
  </si>
  <si>
    <t>Central Administration</t>
  </si>
  <si>
    <t>NHS pay &amp; prices index</t>
  </si>
  <si>
    <t>Intermediates (TFRs)</t>
  </si>
  <si>
    <t>Intermediates (RCs)</t>
  </si>
  <si>
    <t xml:space="preserve">Prescribing </t>
  </si>
  <si>
    <t>Total (TFR)</t>
  </si>
  <si>
    <t>Total (RC)</t>
  </si>
  <si>
    <t>Intermediate (TFRs)</t>
  </si>
  <si>
    <t>Intermediate (RCs)</t>
  </si>
  <si>
    <t>Total (RCs)</t>
  </si>
  <si>
    <t>M0: Medical and dental staff, hospitals</t>
  </si>
  <si>
    <t>M1: Medical and dental staff (locum only)</t>
  </si>
  <si>
    <t>M2: Public health and community health services (medical)</t>
  </si>
  <si>
    <t>M8: Doctors in training</t>
  </si>
  <si>
    <t>Reference Costs</t>
  </si>
  <si>
    <t>Elective and Day Case</t>
  </si>
  <si>
    <t>Non-elective</t>
  </si>
  <si>
    <t>Elective and Day Case Mental Health</t>
  </si>
  <si>
    <t>Non-elective Mental Health</t>
  </si>
  <si>
    <t>M9: GPs and dental*</t>
  </si>
  <si>
    <t>30-day survival</t>
  </si>
  <si>
    <t>Average age</t>
  </si>
  <si>
    <t>Average QALE</t>
  </si>
  <si>
    <t>In Hospital Survival Rates</t>
  </si>
  <si>
    <t xml:space="preserve">Graph for year 2010/2011 </t>
  </si>
  <si>
    <t xml:space="preserve">Note to the user </t>
  </si>
  <si>
    <t>Purpose</t>
  </si>
  <si>
    <t>Use of the spreadsheet</t>
  </si>
  <si>
    <t>Dynamics of the spreadsheet</t>
  </si>
  <si>
    <t>Return to the Table of Contents</t>
  </si>
  <si>
    <t>Glossary of terms</t>
  </si>
  <si>
    <t xml:space="preserve">Castelli et al (2008), ‘Measuring NHS output growth’, CHE Research Paper 44. </t>
  </si>
  <si>
    <t>Castelli et al (2007), ‘Improving the measurement of health system output growth’. Health Economics. 2007;16(10):1091-107.</t>
  </si>
  <si>
    <t>Castelli et al (2007), ‘A new approach to measuring health system output growth and productivity’. National Institute Economic Review. 2007; 200 (April):105-117.</t>
  </si>
  <si>
    <t>Street and Ward (2009), ‘NHS input and productivity growth 2003/4 - 2007/8’.CHE Research Paper 47.</t>
  </si>
  <si>
    <t xml:space="preserve">Bojke et al (2010), ‘Regional variation in the productivity of the English National Health Service’. CHE Research Paper 57. </t>
  </si>
  <si>
    <t>Castelli et al (2010), ‘Getting out what we put in: productivity of the English NHS’. Health Economics, Policy and Law, forthcoming.</t>
  </si>
  <si>
    <t>Bojke C, Castelli A, Laudicella M, Street A, Ward P. Regional variation in the productivity of the English National Health Service. Health Economics 2012;DOI:10.1002/hec.2794.</t>
  </si>
  <si>
    <t>Bojke C, Castelli A, Goudie R, Street A, Ward P. Productivity of the English National Health Service 2003-4 to 2009-10. Centre for Health Economics, University of York;CHE Research Paper 76.</t>
  </si>
  <si>
    <t xml:space="preserve">Dawson et al (2005), ‘Developing new approaches to measuring NHS outputs and productivity’, CHE Research Paper 6. </t>
  </si>
  <si>
    <t>Click on the dark blue cell and select a value</t>
  </si>
  <si>
    <t>Publications</t>
  </si>
  <si>
    <t>Pt</t>
  </si>
  <si>
    <t>FTE</t>
  </si>
  <si>
    <t>Full Time Equivalent</t>
  </si>
  <si>
    <t>Current Prices</t>
  </si>
  <si>
    <t>Constant Prices</t>
  </si>
  <si>
    <t>QALE</t>
  </si>
  <si>
    <t>Quality adjusted life expectancy</t>
  </si>
  <si>
    <t>Total Qt</t>
  </si>
  <si>
    <t>2009/10*</t>
  </si>
  <si>
    <t>2010/11*</t>
  </si>
  <si>
    <t>activity</t>
  </si>
  <si>
    <t>cost</t>
  </si>
  <si>
    <t>GP Home visit</t>
  </si>
  <si>
    <t>GP Telephone</t>
  </si>
  <si>
    <t>GP Surgery</t>
  </si>
  <si>
    <t>GP Other</t>
  </si>
  <si>
    <t xml:space="preserve">Practice Nurse </t>
  </si>
  <si>
    <t>Other Clinicians</t>
  </si>
  <si>
    <t>Activity</t>
  </si>
  <si>
    <t>Number og GP Practices</t>
  </si>
  <si>
    <t>GP registered patients (millions)</t>
  </si>
  <si>
    <t>Average number of patients per practice</t>
  </si>
  <si>
    <t>Quality Adjusted Primary Care</t>
  </si>
  <si>
    <t>Prevalence</t>
  </si>
  <si>
    <t>CHD achievement</t>
  </si>
  <si>
    <t>CHD</t>
  </si>
  <si>
    <t>Stroke</t>
  </si>
  <si>
    <t>Hypertension</t>
  </si>
  <si>
    <t>.....</t>
  </si>
  <si>
    <t>Quality Adjusted Values</t>
  </si>
  <si>
    <t>Select the coefficient</t>
  </si>
  <si>
    <t>Glossary</t>
  </si>
  <si>
    <t xml:space="preserve">Definition of the term appears by clicking on it. </t>
  </si>
  <si>
    <t>TERM</t>
  </si>
  <si>
    <t>DEFINITION</t>
  </si>
  <si>
    <t>iView</t>
  </si>
  <si>
    <t>Inputs: direct labour (medical)</t>
  </si>
  <si>
    <t xml:space="preserve">Depreciation </t>
  </si>
  <si>
    <t>Business rates</t>
  </si>
  <si>
    <t>Choice of the deflators</t>
  </si>
  <si>
    <t>Inputs index</t>
  </si>
  <si>
    <t>Calculation of inputs index</t>
  </si>
  <si>
    <t>DH Administration</t>
  </si>
  <si>
    <t>Select the source for the Intermediates:</t>
  </si>
  <si>
    <t xml:space="preserve">Select </t>
  </si>
  <si>
    <t>Select the deflator you would like to change:</t>
  </si>
  <si>
    <t>Change the procentage value of the deflator:</t>
  </si>
  <si>
    <t>Z - Non-funded staff*</t>
  </si>
  <si>
    <t xml:space="preserve">Breakdown by major staff groups*, current prices </t>
  </si>
  <si>
    <t>Data source: Electronic staff record (iView*)</t>
  </si>
  <si>
    <t>Select the view*:</t>
  </si>
  <si>
    <t>Click on the cell with a * sign; additional information appears</t>
  </si>
  <si>
    <t>Example of use:</t>
  </si>
  <si>
    <t>Breakdown by medical group*, current prices</t>
  </si>
  <si>
    <t>Total Capital without impairments</t>
  </si>
  <si>
    <t xml:space="preserve">Centre for Health Economics, University of York. </t>
  </si>
  <si>
    <t>The report is available from the following address:</t>
  </si>
  <si>
    <t>Select the source for the intermediates:</t>
  </si>
  <si>
    <t>Current</t>
  </si>
  <si>
    <t>Constant expenditure*</t>
  </si>
  <si>
    <t>Current expenditure*</t>
  </si>
  <si>
    <t>Total NHS inputs</t>
  </si>
  <si>
    <t>1. Inputs</t>
  </si>
  <si>
    <t>Qt*</t>
  </si>
  <si>
    <t>QtPt*</t>
  </si>
  <si>
    <t>Prices, deflated with an appropriate deflator</t>
  </si>
  <si>
    <t>Prices in current values, without deflation</t>
  </si>
  <si>
    <t xml:space="preserve">In the worksheet, words marked with* provide additional explainaton. </t>
  </si>
  <si>
    <t>Data source: Quality and Outcomes Framework</t>
  </si>
  <si>
    <t>Prevalence of certain conditions and the respective CHD achievement</t>
  </si>
  <si>
    <t>Select the value of QA:</t>
  </si>
  <si>
    <t>Proportion with low blood pressure</t>
  </si>
  <si>
    <t>Number of GP Practices*</t>
  </si>
  <si>
    <t>GP registered patients* (millions)</t>
  </si>
  <si>
    <t>Average number of patients per practice*</t>
  </si>
  <si>
    <t>Volumeof consultations:</t>
  </si>
  <si>
    <t>2. Outputs</t>
  </si>
  <si>
    <t>1.1 Reference costs output</t>
  </si>
  <si>
    <t>1.4 Prescribing</t>
  </si>
  <si>
    <t>1.5 Primary care output</t>
  </si>
  <si>
    <t>1.6 Primary care - quality adjusted</t>
  </si>
  <si>
    <t>4. Publications</t>
  </si>
  <si>
    <t>4.1 Publications</t>
  </si>
  <si>
    <t>This spreadsheet allows the user to vary which data and assumptions are used to calculating the national productivity figures produced by the</t>
  </si>
  <si>
    <t>The spreadsheet should be used together with the National Productivity Report 2004/05 - 2010/11.</t>
  </si>
  <si>
    <t xml:space="preserve">The spreadsheet is dynamic and provides several possiblities to vary which data are used and which assumptions are applied. </t>
  </si>
  <si>
    <t>Boxes with the Information Sign provide additional information on the topic of the worksheet and refer the reader to the appropriate page of the report</t>
  </si>
  <si>
    <t>Electronic staff record, provided by NHS Information Centre. iView can be found on the following link: http://www.ic.nhs.uk/iview</t>
  </si>
  <si>
    <t>Cost at time t</t>
  </si>
  <si>
    <t>Cost-weighted output at time t</t>
  </si>
  <si>
    <t>Output at time t</t>
  </si>
  <si>
    <t>have made some revisions to text</t>
  </si>
  <si>
    <t>Primary Care Trust</t>
  </si>
  <si>
    <t>Strategic Health Authority</t>
  </si>
  <si>
    <t>Data source: NHS and Foundation Trust, SHA and PCT Financial returns</t>
  </si>
  <si>
    <t>Inputs: Capital</t>
  </si>
  <si>
    <t>TOTAL CAPITAL</t>
  </si>
  <si>
    <t>Data source: HES dataset</t>
  </si>
  <si>
    <t>Data source: QResearch, General Patient Survey</t>
  </si>
  <si>
    <t>Select basis for calculating labour input</t>
  </si>
  <si>
    <t>Select data about purchases from non-NHS bodies</t>
  </si>
  <si>
    <t>Graph - Current*</t>
  </si>
  <si>
    <t>The spreadsheet provides some explanations and a glossary, but the user should refer to the report for more detail.</t>
  </si>
  <si>
    <t>n/a</t>
  </si>
  <si>
    <t>Constant</t>
  </si>
  <si>
    <t>Inputs: indirect labour</t>
  </si>
  <si>
    <t>Inputs: indirect intermediates</t>
  </si>
  <si>
    <t>Intermediate Figures - Current Expenditure (£'000)</t>
  </si>
  <si>
    <t>NHS Hospitals, foundation trusts and ambulance trusts</t>
  </si>
  <si>
    <t>Drugs &amp; gases</t>
  </si>
  <si>
    <t>Clinical supplies &amp; services</t>
  </si>
  <si>
    <t>General supplies &amp; services</t>
  </si>
  <si>
    <t>Establishment</t>
  </si>
  <si>
    <t>Energy &amp; premises</t>
  </si>
  <si>
    <t>External purchasing</t>
  </si>
  <si>
    <t>Miscellaneous</t>
  </si>
  <si>
    <t>Total intermediate costs - SHAs</t>
  </si>
  <si>
    <t xml:space="preserve">Total intermediate costs - NHS </t>
  </si>
  <si>
    <t>Total Intermediates:</t>
  </si>
  <si>
    <t>Select the setting</t>
  </si>
  <si>
    <t>Total intermediates</t>
  </si>
  <si>
    <t>Data source: Financial Returns from Trusts, PCTs and SHAs</t>
  </si>
  <si>
    <t>Direct (FTEs)</t>
  </si>
  <si>
    <t>Indirect (Expenditure)</t>
  </si>
  <si>
    <t xml:space="preserve">                     BaseYear=1997/98</t>
  </si>
  <si>
    <t>Graph - Constant*</t>
  </si>
  <si>
    <t>Breakdown by groups (in 1000£):</t>
  </si>
  <si>
    <t xml:space="preserve">Data source: NHS and Foundation Trust, </t>
  </si>
  <si>
    <t>SHA and PCT Financial returns</t>
  </si>
  <si>
    <t>Select data about purchase of services from non-NHS bodies:</t>
  </si>
  <si>
    <t>External purchasing*</t>
  </si>
  <si>
    <t>80th percentile waiting time*</t>
  </si>
  <si>
    <t>Growth Index</t>
  </si>
  <si>
    <t>HES output - HSCI Index w/o Mental Health CIPS</t>
  </si>
  <si>
    <t>Qt Pt</t>
  </si>
  <si>
    <t>Qt-1 Pt</t>
  </si>
  <si>
    <t>Qt Pt-1</t>
  </si>
  <si>
    <t>Qt-1 Pt-1</t>
  </si>
  <si>
    <t>HES output - Quality-Adjusted HSCI Index w/o Mental Health CIPS</t>
  </si>
  <si>
    <t>QA Qt Pt-1</t>
  </si>
  <si>
    <t>HES output - HSCI Elective Index w/o Mental Health CIPS</t>
  </si>
  <si>
    <t>HES output - Quality-Adjusted HSCI Elective Index w/o Mental Health CIPS</t>
  </si>
  <si>
    <t>HES output - HSCI Non-Elective Index w/o Mental Health CIPS</t>
  </si>
  <si>
    <t>HES output - Quality-Adjusted HSCI Non-Elective Index w/o Mental Health CIPS</t>
  </si>
  <si>
    <t>Inpatient Mental Health CIPS HSCI Index</t>
  </si>
  <si>
    <t>HES output - Quality-Adjusted HSCI Index Mental Health CIPS</t>
  </si>
  <si>
    <t>HES elective</t>
  </si>
  <si>
    <t>QA QtPt-1</t>
  </si>
  <si>
    <t>Mental Health</t>
  </si>
  <si>
    <t>Output Index</t>
  </si>
  <si>
    <t>`</t>
  </si>
  <si>
    <t>Quality adjusted outputs</t>
  </si>
  <si>
    <t>Quality adjusted Output Index</t>
  </si>
  <si>
    <t>1.3 Capital inputs</t>
  </si>
  <si>
    <t>1.4 Indirect Intermediates</t>
  </si>
  <si>
    <t>1.5 Total Indirect Inputs</t>
  </si>
  <si>
    <t>1.2 HES output</t>
  </si>
  <si>
    <t>1.3 Quality Adjusted Output</t>
  </si>
  <si>
    <t>Medical and Dental Staff</t>
  </si>
  <si>
    <t>Medical &amp; Dental</t>
  </si>
  <si>
    <t>Practice Staff</t>
  </si>
  <si>
    <t>GPs</t>
  </si>
  <si>
    <t>Non Medical Staff</t>
  </si>
  <si>
    <t>Professionally qualified clinical staff</t>
  </si>
  <si>
    <t>Support to clinical staff</t>
  </si>
  <si>
    <t>NHS infrastructure support staff</t>
  </si>
  <si>
    <t>Graph (BaseYear=2004/05)</t>
  </si>
  <si>
    <t>N/A</t>
  </si>
  <si>
    <t> 203,494</t>
  </si>
  <si>
    <t>             237,688</t>
  </si>
  <si>
    <t>             223,873 </t>
  </si>
  <si>
    <t>3.1 Productivity</t>
  </si>
  <si>
    <t>Data sources: FTEs: Electronic staff record (iView*) and Workforce Census</t>
  </si>
  <si>
    <t>2004/05*</t>
  </si>
  <si>
    <t>Data source: HES dataset for inpatients and day cases, Reference costs for Outpatients</t>
  </si>
  <si>
    <t>Breakdown of intermediate costs [$]</t>
  </si>
  <si>
    <t>Breakdown by volume (in 1000s of consultations) and spend</t>
  </si>
  <si>
    <t>Average Cost [£]</t>
  </si>
  <si>
    <t>Total Spend [£]</t>
  </si>
  <si>
    <t xml:space="preserve"> "PtQt0304renal_values" "377545326.726885"    </t>
  </si>
  <si>
    <t xml:space="preserve">[1] "PtQt0405renal_values" "425844410.655381"    </t>
  </si>
  <si>
    <t xml:space="preserve">[1] "PtQt0506renal_values" "435433343.947271"    </t>
  </si>
  <si>
    <t xml:space="preserve">[1] "PtQt0607renal_values" "438326125.398514"    </t>
  </si>
  <si>
    <t xml:space="preserve">[1] "Pt_1Qt_a_e0405renal_values" "411622952.186612"          </t>
  </si>
  <si>
    <t xml:space="preserve">[1] "Pt_1Qt_a_e0506renal_values" "0"                         </t>
  </si>
  <si>
    <t xml:space="preserve">[1] "Pt_1Qt_a_e0607renal_values" "0"                         </t>
  </si>
  <si>
    <t xml:space="preserve">[1] "PtQt_1_a_e0405renal_values" "388148888.372741"          </t>
  </si>
  <si>
    <t xml:space="preserve">[1] "PtQt_1_a_e0506renal_values" "432678123.400107"          </t>
  </si>
  <si>
    <t xml:space="preserve">[1] "PtQt_1_a_e0607renal_values" "442420934.526261" </t>
  </si>
  <si>
    <t>(other_costs$act_0506*other_costs$cost_0506,na.rm = TRUE)</t>
  </si>
  <si>
    <t>[1] 10239082145</t>
  </si>
  <si>
    <t>&gt; sum(other_costs$act_0405*other_costs$cost_0405,na.rm = TRUE)</t>
  </si>
  <si>
    <t>[1] 9236600997</t>
  </si>
  <si>
    <t>&gt; sum(other_costs$act_0607*other_costs$cost_0607,na.rm = TRUE)</t>
  </si>
  <si>
    <t>[1] 12811252823</t>
  </si>
  <si>
    <t>BaseYear: 2004/05</t>
  </si>
  <si>
    <t>Reference Costs Activities</t>
  </si>
  <si>
    <t>NHS Productivity from 2004/5 to 2010/11</t>
  </si>
  <si>
    <t>1.1 Direct Labour Inputs</t>
  </si>
  <si>
    <t>1.2 Indirect labour inputs</t>
  </si>
  <si>
    <t>http://www.york.ac.uk/media/che/documents/papers/researchpapers/CHERP87_NHS_productivity.pdf</t>
  </si>
  <si>
    <t>Date: 3.7.2013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</si>
</sst>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quot;£&quot;#,##0"/>
    <numFmt numFmtId="6" formatCode="&quot;£&quot;#,##0;[Red]\-&quot;£&quot;#,##0"/>
    <numFmt numFmtId="8" formatCode="&quot;£&quot;#,##0.00;[Red]\-&quot;£&quot;#,##0.00"/>
    <numFmt numFmtId="44" formatCode="_-&quot;£&quot;* #,##0.00_-;\-&quot;£&quot;* #,##0.00_-;_-&quot;£&quot;* &quot;-&quot;??_-;_-@_-"/>
    <numFmt numFmtId="43" formatCode="_-* #,##0.00_-;\-* #,##0.00_-;_-* &quot;-&quot;??_-;_-@_-"/>
    <numFmt numFmtId="164" formatCode="_-* #,##0_-;\-* #,##0_-;_-* &quot;-&quot;??_-;_-@_-"/>
    <numFmt numFmtId="165" formatCode="0;\-0;;@"/>
    <numFmt numFmtId="166" formatCode="#,##0_ ;\-#,##0\ "/>
    <numFmt numFmtId="167" formatCode="&quot;£&quot;#,##0"/>
    <numFmt numFmtId="168" formatCode="0.0000%"/>
    <numFmt numFmtId="169" formatCode="#,##0_ ;[Red]\-#,##0\ "/>
  </numFmts>
  <fonts count="86" x14ac:knownFonts="1">
    <font>
      <sz val="11"/>
      <color theme="1"/>
      <name val="Calibri"/>
      <family val="2"/>
      <scheme val="minor"/>
    </font>
    <font>
      <sz val="26"/>
      <color theme="1"/>
      <name val="Arial Rounded MT Bold"/>
      <family val="2"/>
    </font>
    <font>
      <sz val="24"/>
      <color theme="1"/>
      <name val="Arial Rounded MT Bold"/>
      <family val="2"/>
    </font>
    <font>
      <sz val="36"/>
      <color theme="1"/>
      <name val="Arial Rounded MT Bold"/>
      <family val="2"/>
    </font>
    <font>
      <sz val="48"/>
      <color theme="1"/>
      <name val="Arial Rounded MT Bold"/>
      <family val="2"/>
    </font>
    <font>
      <b/>
      <sz val="8"/>
      <color indexed="81"/>
      <name val="Tahoma"/>
      <family val="2"/>
    </font>
    <font>
      <sz val="8"/>
      <color indexed="81"/>
      <name val="Tahoma"/>
      <family val="2"/>
    </font>
    <font>
      <sz val="11"/>
      <color theme="1"/>
      <name val="Calibri"/>
      <family val="2"/>
      <scheme val="minor"/>
    </font>
    <font>
      <sz val="11"/>
      <color theme="1"/>
      <name val="Arial Rounded MT Bold"/>
      <family val="2"/>
    </font>
    <font>
      <sz val="14"/>
      <color theme="1"/>
      <name val="Calibri"/>
      <family val="2"/>
      <scheme val="minor"/>
    </font>
    <font>
      <sz val="18"/>
      <color theme="1"/>
      <name val="Calibri"/>
      <family val="2"/>
      <scheme val="minor"/>
    </font>
    <font>
      <sz val="18"/>
      <color theme="1"/>
      <name val="Arial Rounded MT Bold"/>
      <family val="2"/>
    </font>
    <font>
      <b/>
      <sz val="18"/>
      <color theme="1"/>
      <name val="Arial Rounded MT Bold"/>
      <family val="2"/>
    </font>
    <font>
      <sz val="11"/>
      <color theme="1"/>
      <name val="Arial"/>
      <family val="2"/>
    </font>
    <font>
      <sz val="18"/>
      <color theme="1"/>
      <name val="Arial"/>
      <family val="2"/>
    </font>
    <font>
      <b/>
      <sz val="10"/>
      <color rgb="FFFFFFFF"/>
      <name val="Arial Rounded MT Bold"/>
      <family val="2"/>
    </font>
    <font>
      <sz val="10"/>
      <color rgb="FF000000"/>
      <name val="Arial Rounded MT Bold"/>
      <family val="2"/>
    </font>
    <font>
      <b/>
      <sz val="18"/>
      <color rgb="FF003399"/>
      <name val="Arial Rounded MT Bold"/>
      <family val="2"/>
    </font>
    <font>
      <b/>
      <sz val="18"/>
      <color rgb="FFFFFFFF"/>
      <name val="Arial Rounded MT Bold"/>
      <family val="2"/>
    </font>
    <font>
      <sz val="18"/>
      <color rgb="FF000000"/>
      <name val="Arial Rounded MT Bold"/>
      <family val="2"/>
    </font>
    <font>
      <b/>
      <sz val="18"/>
      <color theme="1"/>
      <name val="Arial"/>
      <family val="2"/>
    </font>
    <font>
      <sz val="18"/>
      <color rgb="FF003399"/>
      <name val="Arial Rounded MT Bold"/>
      <family val="2"/>
    </font>
    <font>
      <sz val="10"/>
      <name val="Arial"/>
      <family val="2"/>
    </font>
    <font>
      <sz val="18"/>
      <name val="Arial Rounded MT Bold"/>
      <family val="2"/>
    </font>
    <font>
      <b/>
      <sz val="18"/>
      <name val="Arial"/>
      <family val="2"/>
    </font>
    <font>
      <sz val="18"/>
      <name val="Arial"/>
      <family val="2"/>
    </font>
    <font>
      <sz val="12"/>
      <color theme="1"/>
      <name val="Calibri"/>
      <family val="2"/>
      <scheme val="minor"/>
    </font>
    <font>
      <sz val="12"/>
      <name val="Calibri"/>
      <family val="2"/>
      <scheme val="minor"/>
    </font>
    <font>
      <b/>
      <sz val="12"/>
      <color theme="1"/>
      <name val="Calibri"/>
      <family val="2"/>
      <scheme val="minor"/>
    </font>
    <font>
      <b/>
      <sz val="18"/>
      <name val="Arial Rounded MT Bold"/>
      <family val="2"/>
    </font>
    <font>
      <b/>
      <sz val="10"/>
      <color rgb="FF003399"/>
      <name val="Arial Rounded MT Bold"/>
      <family val="2"/>
    </font>
    <font>
      <sz val="10"/>
      <color rgb="FF003399"/>
      <name val="Arial Rounded MT Bold"/>
      <family val="2"/>
    </font>
    <font>
      <sz val="11"/>
      <color theme="0"/>
      <name val="Calibri"/>
      <family val="2"/>
      <scheme val="minor"/>
    </font>
    <font>
      <u/>
      <sz val="11"/>
      <color theme="10"/>
      <name val="Calibri"/>
      <family val="2"/>
    </font>
    <font>
      <sz val="14"/>
      <color theme="1"/>
      <name val="Arial Rounded MT Bold"/>
      <family val="2"/>
    </font>
    <font>
      <sz val="12"/>
      <color theme="1"/>
      <name val="Arial Rounded MT Bold"/>
      <family val="2"/>
    </font>
    <font>
      <sz val="19"/>
      <color theme="1"/>
      <name val="Arial Rounded MT Bold"/>
      <family val="2"/>
    </font>
    <font>
      <sz val="10"/>
      <color theme="1"/>
      <name val="Calibri"/>
      <family val="2"/>
      <scheme val="minor"/>
    </font>
    <font>
      <sz val="11"/>
      <color theme="0"/>
      <name val="Arial Rounded MT Bold"/>
      <family val="2"/>
    </font>
    <font>
      <sz val="18"/>
      <color theme="0"/>
      <name val="Arial Rounded MT Bold"/>
      <family val="2"/>
    </font>
    <font>
      <sz val="20"/>
      <color theme="1"/>
      <name val="Arial"/>
      <family val="2"/>
    </font>
    <font>
      <sz val="28"/>
      <color theme="1"/>
      <name val="Arial Rounded MT Bold"/>
      <family val="2"/>
    </font>
    <font>
      <u/>
      <sz val="11"/>
      <color theme="10"/>
      <name val="Arial Rounded MT Bold"/>
      <family val="2"/>
    </font>
    <font>
      <sz val="10"/>
      <color theme="1"/>
      <name val="Arial Rounded MT Bold"/>
      <family val="2"/>
    </font>
    <font>
      <b/>
      <sz val="10"/>
      <color theme="1"/>
      <name val="Arial Rounded MT Bold"/>
      <family val="2"/>
    </font>
    <font>
      <sz val="10"/>
      <name val="Arial Rounded MT Bold"/>
      <family val="2"/>
    </font>
    <font>
      <sz val="10"/>
      <name val="Calibri"/>
      <family val="2"/>
      <scheme val="minor"/>
    </font>
    <font>
      <sz val="10"/>
      <color theme="1"/>
      <name val="Arial"/>
      <family val="2"/>
    </font>
    <font>
      <b/>
      <sz val="10"/>
      <name val="Arial"/>
      <family val="2"/>
    </font>
    <font>
      <b/>
      <sz val="10"/>
      <color theme="1"/>
      <name val="Arial"/>
      <family val="2"/>
    </font>
    <font>
      <b/>
      <sz val="10"/>
      <name val="Arial Rounded MT Bold"/>
      <family val="2"/>
    </font>
    <font>
      <sz val="9"/>
      <color theme="1"/>
      <name val="Arial Rounded MT Bold"/>
      <family val="2"/>
    </font>
    <font>
      <sz val="7"/>
      <color theme="1"/>
      <name val="Arial Rounded MT Bold"/>
      <family val="2"/>
    </font>
    <font>
      <sz val="11"/>
      <color theme="5" tint="-0.249977111117893"/>
      <name val="Calibri"/>
      <family val="2"/>
      <scheme val="minor"/>
    </font>
    <font>
      <b/>
      <sz val="11"/>
      <color theme="0"/>
      <name val="Calibri"/>
      <family val="2"/>
      <scheme val="minor"/>
    </font>
    <font>
      <b/>
      <sz val="11"/>
      <color theme="1"/>
      <name val="Calibri"/>
      <family val="2"/>
      <scheme val="minor"/>
    </font>
    <font>
      <sz val="10"/>
      <color theme="0"/>
      <name val="Arial Rounded MT Bold"/>
      <family val="2"/>
    </font>
    <font>
      <sz val="11"/>
      <name val="Calibri"/>
      <family val="2"/>
      <scheme val="minor"/>
    </font>
    <font>
      <sz val="8"/>
      <color theme="1"/>
      <name val="Calibri"/>
      <family val="2"/>
      <scheme val="minor"/>
    </font>
    <font>
      <sz val="8"/>
      <color theme="0"/>
      <name val="Calibri"/>
      <family val="2"/>
      <scheme val="minor"/>
    </font>
    <font>
      <b/>
      <sz val="11"/>
      <color theme="1"/>
      <name val="Arial Rounded MT Bold"/>
      <family val="2"/>
    </font>
    <font>
      <sz val="11"/>
      <name val="Arial Rounded MT Bold"/>
      <family val="2"/>
    </font>
    <font>
      <sz val="10"/>
      <color theme="4" tint="0.59999389629810485"/>
      <name val="Arial Rounded MT Bold"/>
      <family val="2"/>
    </font>
    <font>
      <sz val="14"/>
      <name val="Arial Rounded MT Bold"/>
      <family val="2"/>
    </font>
    <font>
      <sz val="26"/>
      <name val="Arial Rounded MT Bold"/>
      <family val="2"/>
    </font>
    <font>
      <sz val="19"/>
      <name val="Arial Rounded MT Bold"/>
      <family val="2"/>
    </font>
    <font>
      <sz val="10"/>
      <color theme="0"/>
      <name val="Calibri"/>
      <family val="2"/>
      <scheme val="minor"/>
    </font>
    <font>
      <sz val="19"/>
      <color theme="0"/>
      <name val="Arial Rounded MT Bold"/>
      <family val="2"/>
    </font>
    <font>
      <sz val="10"/>
      <color rgb="FF000000"/>
      <name val="Arial"/>
      <family val="2"/>
    </font>
    <font>
      <b/>
      <sz val="14"/>
      <color rgb="FF003399"/>
      <name val="Arial"/>
      <family val="2"/>
    </font>
    <font>
      <b/>
      <sz val="10"/>
      <color rgb="FFFFFFFF"/>
      <name val="Arial"/>
      <family val="2"/>
    </font>
    <font>
      <sz val="10"/>
      <color rgb="FF003399"/>
      <name val="Arial"/>
      <family val="2"/>
    </font>
    <font>
      <sz val="6"/>
      <color theme="1"/>
      <name val="Calibri"/>
      <family val="2"/>
      <scheme val="minor"/>
    </font>
    <font>
      <sz val="6"/>
      <color rgb="FF000000"/>
      <name val="Calibri"/>
      <family val="2"/>
      <scheme val="minor"/>
    </font>
    <font>
      <sz val="18"/>
      <color rgb="FF000000"/>
      <name val="Calibri"/>
      <family val="2"/>
      <scheme val="minor"/>
    </font>
    <font>
      <sz val="12"/>
      <color rgb="FF000000"/>
      <name val="Calibri"/>
      <family val="2"/>
      <scheme val="minor"/>
    </font>
    <font>
      <sz val="16"/>
      <color theme="1"/>
      <name val="Calibri"/>
      <family val="2"/>
      <scheme val="minor"/>
    </font>
    <font>
      <sz val="16"/>
      <color rgb="FF000000"/>
      <name val="Calibri"/>
      <family val="2"/>
      <scheme val="minor"/>
    </font>
    <font>
      <sz val="12"/>
      <color rgb="FF000000"/>
      <name val="Arial Rounded MT Bold"/>
      <family val="2"/>
    </font>
    <font>
      <sz val="12"/>
      <color rgb="FF000000"/>
      <name val="Arial"/>
      <family val="2"/>
    </font>
    <font>
      <b/>
      <sz val="16"/>
      <color rgb="FFFFFFFF"/>
      <name val="Arial Rounded MT Bold"/>
      <family val="2"/>
    </font>
    <font>
      <sz val="16"/>
      <color rgb="FF000000"/>
      <name val="Arial Rounded MT Bold"/>
      <family val="2"/>
    </font>
    <font>
      <b/>
      <sz val="10"/>
      <color theme="0"/>
      <name val="Arial Rounded MT Bold"/>
      <family val="2"/>
    </font>
    <font>
      <sz val="12"/>
      <color theme="1"/>
      <name val="Arial"/>
      <family val="2"/>
      <charset val="238"/>
    </font>
    <font>
      <sz val="8"/>
      <name val="Tahoma"/>
      <family val="2"/>
    </font>
    <font>
      <sz val="9"/>
      <color rgb="FF000000"/>
      <name val="Arial Rounded MT Bold"/>
      <family val="2"/>
    </font>
  </fonts>
  <fills count="10">
    <fill>
      <patternFill patternType="none"/>
    </fill>
    <fill>
      <patternFill patternType="gray125"/>
    </fill>
    <fill>
      <patternFill patternType="solid">
        <fgColor rgb="FF6495ED"/>
        <bgColor indexed="64"/>
      </patternFill>
    </fill>
    <fill>
      <patternFill patternType="solid">
        <fgColor rgb="FFFFFFFF"/>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indexed="51"/>
        <bgColor indexed="64"/>
      </patternFill>
    </fill>
  </fills>
  <borders count="4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rgb="FF000000"/>
      </left>
      <right/>
      <top/>
      <bottom style="medium">
        <color indexed="64"/>
      </bottom>
      <diagonal/>
    </border>
    <border>
      <left style="medium">
        <color indexed="64"/>
      </left>
      <right style="thin">
        <color theme="0"/>
      </right>
      <top style="medium">
        <color indexed="64"/>
      </top>
      <bottom style="thick">
        <color theme="0"/>
      </bottom>
      <diagonal/>
    </border>
    <border>
      <left/>
      <right style="thin">
        <color theme="0"/>
      </right>
      <top style="medium">
        <color indexed="64"/>
      </top>
      <bottom style="thick">
        <color theme="0"/>
      </bottom>
      <diagonal/>
    </border>
    <border>
      <left/>
      <right style="medium">
        <color indexed="64"/>
      </right>
      <top style="medium">
        <color indexed="64"/>
      </top>
      <bottom style="thick">
        <color theme="0"/>
      </bottom>
      <diagonal/>
    </border>
    <border>
      <left style="medium">
        <color indexed="64"/>
      </left>
      <right style="thin">
        <color theme="0"/>
      </right>
      <top/>
      <bottom style="thin">
        <color theme="0"/>
      </bottom>
      <diagonal/>
    </border>
    <border>
      <left/>
      <right style="thin">
        <color theme="0"/>
      </right>
      <top/>
      <bottom style="thin">
        <color theme="0"/>
      </bottom>
      <diagonal/>
    </border>
    <border>
      <left/>
      <right style="medium">
        <color indexed="64"/>
      </right>
      <top/>
      <bottom style="thin">
        <color theme="0"/>
      </bottom>
      <diagonal/>
    </border>
    <border>
      <left style="medium">
        <color indexed="64"/>
      </left>
      <right style="thin">
        <color theme="0"/>
      </right>
      <top/>
      <bottom style="medium">
        <color indexed="64"/>
      </bottom>
      <diagonal/>
    </border>
    <border>
      <left/>
      <right style="thin">
        <color theme="0"/>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9">
    <xf numFmtId="0" fontId="0" fillId="0" borderId="0"/>
    <xf numFmtId="43" fontId="7"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22" fillId="0" borderId="0"/>
    <xf numFmtId="43" fontId="22" fillId="0" borderId="0" applyFont="0" applyFill="0" applyBorder="0" applyAlignment="0" applyProtection="0"/>
    <xf numFmtId="0" fontId="22" fillId="0" borderId="0"/>
    <xf numFmtId="0" fontId="33" fillId="0" borderId="0" applyNumberFormat="0" applyFill="0" applyBorder="0" applyAlignment="0" applyProtection="0">
      <alignment vertical="top"/>
      <protection locked="0"/>
    </xf>
    <xf numFmtId="9" fontId="7" fillId="0" borderId="0" applyFont="0" applyFill="0" applyBorder="0" applyAlignment="0" applyProtection="0"/>
  </cellStyleXfs>
  <cellXfs count="697">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0" fillId="0" borderId="0" xfId="0" applyBorder="1"/>
    <xf numFmtId="0" fontId="0" fillId="0" borderId="0" xfId="0" applyBorder="1" applyAlignment="1">
      <alignment horizontal="center" vertical="center"/>
    </xf>
    <xf numFmtId="0" fontId="0" fillId="0" borderId="14" xfId="0" applyBorder="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4" fillId="0" borderId="0" xfId="0" applyFont="1"/>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9" fillId="3" borderId="4" xfId="0" applyFont="1" applyFill="1" applyBorder="1" applyAlignment="1">
      <alignment horizontal="center" vertical="center"/>
    </xf>
    <xf numFmtId="0" fontId="19" fillId="3" borderId="6" xfId="0" applyFont="1" applyFill="1" applyBorder="1" applyAlignment="1">
      <alignment horizontal="center" vertical="center"/>
    </xf>
    <xf numFmtId="0" fontId="11" fillId="0" borderId="0" xfId="0" applyFont="1" applyAlignment="1">
      <alignment horizontal="center" vertical="center"/>
    </xf>
    <xf numFmtId="0" fontId="10" fillId="0" borderId="0" xfId="0" applyFont="1" applyBorder="1"/>
    <xf numFmtId="0" fontId="18" fillId="2" borderId="1" xfId="0" applyFont="1" applyFill="1" applyBorder="1" applyAlignment="1">
      <alignment horizontal="center" wrapText="1"/>
    </xf>
    <xf numFmtId="0" fontId="18" fillId="2" borderId="2" xfId="0" applyFont="1" applyFill="1" applyBorder="1" applyAlignment="1">
      <alignment horizontal="center" wrapText="1"/>
    </xf>
    <xf numFmtId="0" fontId="18" fillId="2" borderId="3" xfId="0" applyFont="1" applyFill="1" applyBorder="1" applyAlignment="1">
      <alignment horizontal="center" wrapText="1"/>
    </xf>
    <xf numFmtId="0" fontId="19" fillId="3" borderId="4" xfId="0" applyFont="1" applyFill="1" applyBorder="1" applyAlignment="1">
      <alignment horizontal="center" vertical="top"/>
    </xf>
    <xf numFmtId="0" fontId="19" fillId="3" borderId="0" xfId="0" applyFont="1" applyFill="1" applyAlignment="1">
      <alignment horizontal="center" vertical="top"/>
    </xf>
    <xf numFmtId="6" fontId="19" fillId="3" borderId="0" xfId="0" applyNumberFormat="1" applyFont="1" applyFill="1" applyAlignment="1">
      <alignment horizontal="center" vertical="top"/>
    </xf>
    <xf numFmtId="10" fontId="19" fillId="3" borderId="0" xfId="0" applyNumberFormat="1" applyFont="1" applyFill="1" applyAlignment="1">
      <alignment horizontal="center" vertical="top"/>
    </xf>
    <xf numFmtId="10" fontId="19" fillId="3" borderId="5" xfId="0" applyNumberFormat="1" applyFont="1" applyFill="1" applyBorder="1" applyAlignment="1">
      <alignment horizontal="center" vertical="top"/>
    </xf>
    <xf numFmtId="0" fontId="19" fillId="3" borderId="6" xfId="0" applyFont="1" applyFill="1" applyBorder="1" applyAlignment="1">
      <alignment horizontal="center" vertical="top"/>
    </xf>
    <xf numFmtId="0" fontId="19" fillId="3" borderId="7" xfId="0" applyFont="1" applyFill="1" applyBorder="1" applyAlignment="1">
      <alignment horizontal="center" vertical="top"/>
    </xf>
    <xf numFmtId="6" fontId="19" fillId="3" borderId="7" xfId="0" applyNumberFormat="1" applyFont="1" applyFill="1" applyBorder="1" applyAlignment="1">
      <alignment horizontal="center" vertical="top"/>
    </xf>
    <xf numFmtId="10" fontId="19" fillId="3" borderId="7" xfId="0" applyNumberFormat="1" applyFont="1" applyFill="1" applyBorder="1" applyAlignment="1">
      <alignment horizontal="center" vertical="top"/>
    </xf>
    <xf numFmtId="10" fontId="19" fillId="3" borderId="8" xfId="0" applyNumberFormat="1" applyFont="1" applyFill="1" applyBorder="1" applyAlignment="1">
      <alignment horizontal="center" vertical="top"/>
    </xf>
    <xf numFmtId="0" fontId="17" fillId="0" borderId="0" xfId="0" applyFont="1" applyBorder="1" applyAlignment="1">
      <alignment wrapText="1"/>
    </xf>
    <xf numFmtId="0" fontId="17" fillId="0" borderId="0" xfId="0" applyFont="1" applyBorder="1" applyAlignment="1">
      <alignment horizontal="center" wrapText="1"/>
    </xf>
    <xf numFmtId="0" fontId="18" fillId="2" borderId="11" xfId="0" applyFont="1" applyFill="1" applyBorder="1" applyAlignment="1">
      <alignment horizontal="center" wrapText="1"/>
    </xf>
    <xf numFmtId="6" fontId="19" fillId="3" borderId="0" xfId="0" applyNumberFormat="1" applyFont="1" applyFill="1" applyBorder="1" applyAlignment="1">
      <alignment horizontal="center" vertical="top"/>
    </xf>
    <xf numFmtId="6" fontId="11" fillId="0" borderId="13" xfId="0" applyNumberFormat="1" applyFont="1" applyBorder="1"/>
    <xf numFmtId="6" fontId="19" fillId="3" borderId="15" xfId="0" applyNumberFormat="1" applyFont="1" applyFill="1" applyBorder="1" applyAlignment="1">
      <alignment horizontal="center" vertical="top"/>
    </xf>
    <xf numFmtId="6" fontId="11" fillId="0" borderId="16" xfId="0" applyNumberFormat="1" applyFont="1" applyBorder="1"/>
    <xf numFmtId="6" fontId="11" fillId="0" borderId="0" xfId="0" applyNumberFormat="1" applyFont="1"/>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6" fontId="19" fillId="3" borderId="0" xfId="0" applyNumberFormat="1" applyFont="1" applyFill="1" applyAlignment="1">
      <alignment horizontal="center" vertical="center"/>
    </xf>
    <xf numFmtId="10" fontId="19" fillId="3" borderId="0" xfId="0" applyNumberFormat="1" applyFont="1" applyFill="1" applyAlignment="1">
      <alignment horizontal="center" vertical="center"/>
    </xf>
    <xf numFmtId="10" fontId="19" fillId="3" borderId="5" xfId="0" applyNumberFormat="1" applyFont="1" applyFill="1" applyBorder="1" applyAlignment="1">
      <alignment horizontal="center" vertical="center"/>
    </xf>
    <xf numFmtId="6" fontId="19" fillId="3" borderId="7" xfId="0" applyNumberFormat="1" applyFont="1" applyFill="1" applyBorder="1" applyAlignment="1">
      <alignment horizontal="center" vertical="center"/>
    </xf>
    <xf numFmtId="10" fontId="19" fillId="3" borderId="7" xfId="0" applyNumberFormat="1" applyFont="1" applyFill="1" applyBorder="1" applyAlignment="1">
      <alignment horizontal="center" vertical="center"/>
    </xf>
    <xf numFmtId="10" fontId="19" fillId="3" borderId="8" xfId="0" applyNumberFormat="1" applyFont="1" applyFill="1" applyBorder="1" applyAlignment="1">
      <alignment horizontal="center" vertical="center"/>
    </xf>
    <xf numFmtId="0" fontId="18" fillId="2" borderId="1" xfId="0" applyFont="1" applyFill="1" applyBorder="1" applyAlignment="1">
      <alignment horizontal="center" wrapText="1"/>
    </xf>
    <xf numFmtId="0" fontId="18" fillId="2" borderId="2" xfId="0" applyFont="1" applyFill="1" applyBorder="1" applyAlignment="1">
      <alignment horizontal="center" wrapText="1"/>
    </xf>
    <xf numFmtId="0" fontId="8" fillId="0" borderId="0" xfId="0" applyFont="1" applyBorder="1"/>
    <xf numFmtId="0" fontId="18" fillId="2" borderId="1" xfId="0" applyNumberFormat="1" applyFont="1" applyFill="1" applyBorder="1" applyAlignment="1" applyProtection="1">
      <alignment horizontal="center" vertical="top" wrapText="1"/>
    </xf>
    <xf numFmtId="0" fontId="18" fillId="2" borderId="2" xfId="0" applyNumberFormat="1" applyFont="1" applyFill="1" applyBorder="1" applyAlignment="1" applyProtection="1">
      <alignment horizontal="center" vertical="top" wrapText="1"/>
    </xf>
    <xf numFmtId="0" fontId="18" fillId="2" borderId="3" xfId="0" applyNumberFormat="1" applyFont="1" applyFill="1" applyBorder="1" applyAlignment="1" applyProtection="1">
      <alignment horizontal="center" vertical="top" wrapText="1"/>
    </xf>
    <xf numFmtId="0" fontId="19" fillId="3" borderId="4" xfId="0" applyNumberFormat="1" applyFont="1" applyFill="1" applyBorder="1" applyAlignment="1" applyProtection="1">
      <alignment horizontal="center" vertical="top"/>
    </xf>
    <xf numFmtId="3" fontId="19" fillId="3" borderId="0" xfId="0" applyNumberFormat="1" applyFont="1" applyFill="1" applyAlignment="1" applyProtection="1">
      <alignment horizontal="center" vertical="top"/>
    </xf>
    <xf numFmtId="44" fontId="19" fillId="3" borderId="5" xfId="0" applyNumberFormat="1" applyFont="1" applyFill="1" applyBorder="1" applyAlignment="1" applyProtection="1">
      <alignment horizontal="center" vertical="top"/>
    </xf>
    <xf numFmtId="0" fontId="19" fillId="3" borderId="6" xfId="0" applyNumberFormat="1" applyFont="1" applyFill="1" applyBorder="1" applyAlignment="1" applyProtection="1">
      <alignment horizontal="center" vertical="top"/>
    </xf>
    <xf numFmtId="3" fontId="19" fillId="3" borderId="7" xfId="0" applyNumberFormat="1" applyFont="1" applyFill="1" applyBorder="1" applyAlignment="1" applyProtection="1">
      <alignment horizontal="center" vertical="top"/>
    </xf>
    <xf numFmtId="44" fontId="19" fillId="3" borderId="8" xfId="0" applyNumberFormat="1" applyFont="1" applyFill="1" applyBorder="1" applyAlignment="1" applyProtection="1">
      <alignment horizontal="center" vertical="top"/>
    </xf>
    <xf numFmtId="0" fontId="19" fillId="3" borderId="0" xfId="0" applyFont="1" applyFill="1" applyAlignment="1">
      <alignment horizontal="center" vertical="center"/>
    </xf>
    <xf numFmtId="0" fontId="19" fillId="3" borderId="5"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0" xfId="0" applyFont="1" applyFill="1" applyBorder="1" applyAlignment="1">
      <alignment horizontal="center" vertical="center"/>
    </xf>
    <xf numFmtId="10" fontId="19" fillId="3" borderId="0" xfId="0" applyNumberFormat="1" applyFont="1" applyFill="1" applyBorder="1" applyAlignment="1">
      <alignment horizontal="center" vertical="center"/>
    </xf>
    <xf numFmtId="0" fontId="11" fillId="0" borderId="0" xfId="0" applyFont="1" applyBorder="1"/>
    <xf numFmtId="0" fontId="18" fillId="2" borderId="19" xfId="0" applyFont="1" applyFill="1" applyBorder="1" applyAlignment="1">
      <alignment horizontal="center" wrapText="1"/>
    </xf>
    <xf numFmtId="0" fontId="18" fillId="2" borderId="20" xfId="0" applyFont="1" applyFill="1" applyBorder="1" applyAlignment="1">
      <alignment horizontal="center" wrapText="1"/>
    </xf>
    <xf numFmtId="0" fontId="18" fillId="2" borderId="21" xfId="0" applyFont="1" applyFill="1" applyBorder="1" applyAlignment="1">
      <alignment horizontal="center" wrapText="1"/>
    </xf>
    <xf numFmtId="0" fontId="19" fillId="3" borderId="22" xfId="0" applyFont="1" applyFill="1" applyBorder="1" applyAlignment="1">
      <alignment horizontal="center" vertical="center"/>
    </xf>
    <xf numFmtId="0" fontId="19" fillId="3" borderId="23" xfId="0" applyFont="1" applyFill="1" applyBorder="1" applyAlignment="1">
      <alignment horizontal="center" vertical="center"/>
    </xf>
    <xf numFmtId="3" fontId="19" fillId="3" borderId="23" xfId="0" applyNumberFormat="1" applyFont="1" applyFill="1" applyBorder="1" applyAlignment="1">
      <alignment horizontal="center" vertical="center"/>
    </xf>
    <xf numFmtId="6" fontId="19" fillId="3" borderId="24" xfId="0" applyNumberFormat="1" applyFont="1" applyFill="1" applyBorder="1" applyAlignment="1">
      <alignment horizontal="right"/>
    </xf>
    <xf numFmtId="0" fontId="11" fillId="0" borderId="0" xfId="0" applyFont="1" applyAlignment="1">
      <alignment horizontal="left"/>
    </xf>
    <xf numFmtId="0" fontId="21" fillId="3" borderId="22" xfId="0" applyFont="1" applyFill="1" applyBorder="1" applyAlignment="1">
      <alignment vertical="center"/>
    </xf>
    <xf numFmtId="0" fontId="21" fillId="3" borderId="23" xfId="0" applyFont="1" applyFill="1" applyBorder="1" applyAlignment="1">
      <alignment vertical="center"/>
    </xf>
    <xf numFmtId="0" fontId="21" fillId="3" borderId="23" xfId="0" applyFont="1" applyFill="1" applyBorder="1" applyAlignment="1">
      <alignment horizontal="center" vertical="center"/>
    </xf>
    <xf numFmtId="0" fontId="21" fillId="3" borderId="24" xfId="0" applyFont="1" applyFill="1" applyBorder="1" applyAlignment="1">
      <alignment horizontal="right"/>
    </xf>
    <xf numFmtId="0" fontId="19" fillId="3" borderId="25" xfId="0" applyFont="1" applyFill="1" applyBorder="1" applyAlignment="1">
      <alignment horizontal="center" vertical="center"/>
    </xf>
    <xf numFmtId="0" fontId="19" fillId="3" borderId="26" xfId="0" applyFont="1" applyFill="1" applyBorder="1" applyAlignment="1">
      <alignment horizontal="center" vertical="center"/>
    </xf>
    <xf numFmtId="3" fontId="19" fillId="3" borderId="26" xfId="0" applyNumberFormat="1" applyFont="1" applyFill="1" applyBorder="1" applyAlignment="1">
      <alignment horizontal="center" vertical="center"/>
    </xf>
    <xf numFmtId="6" fontId="19" fillId="3" borderId="16" xfId="0" applyNumberFormat="1" applyFont="1" applyFill="1" applyBorder="1" applyAlignment="1">
      <alignment horizontal="right"/>
    </xf>
    <xf numFmtId="0" fontId="19" fillId="3" borderId="4" xfId="0" applyFont="1" applyFill="1" applyBorder="1" applyAlignment="1">
      <alignment horizontal="right" vertical="top"/>
    </xf>
    <xf numFmtId="3" fontId="19" fillId="3" borderId="0" xfId="0" applyNumberFormat="1" applyFont="1" applyFill="1" applyAlignment="1">
      <alignment horizontal="right" vertical="top"/>
    </xf>
    <xf numFmtId="6" fontId="19" fillId="3" borderId="5" xfId="0" applyNumberFormat="1" applyFont="1" applyFill="1" applyBorder="1" applyAlignment="1">
      <alignment horizontal="right" vertical="top"/>
    </xf>
    <xf numFmtId="0" fontId="19" fillId="3" borderId="6" xfId="0" applyFont="1" applyFill="1" applyBorder="1" applyAlignment="1">
      <alignment horizontal="right" vertical="top"/>
    </xf>
    <xf numFmtId="3" fontId="19" fillId="3" borderId="7" xfId="0" applyNumberFormat="1" applyFont="1" applyFill="1" applyBorder="1" applyAlignment="1">
      <alignment horizontal="right" vertical="top"/>
    </xf>
    <xf numFmtId="6" fontId="19" fillId="3" borderId="8" xfId="0" applyNumberFormat="1" applyFont="1" applyFill="1" applyBorder="1" applyAlignment="1">
      <alignment horizontal="right" vertical="top"/>
    </xf>
    <xf numFmtId="0" fontId="19" fillId="3" borderId="4" xfId="0" applyFont="1" applyFill="1" applyBorder="1" applyAlignment="1">
      <alignment horizontal="right" vertical="center"/>
    </xf>
    <xf numFmtId="0" fontId="19" fillId="3" borderId="5" xfId="0" applyFont="1" applyFill="1" applyBorder="1" applyAlignment="1">
      <alignment horizontal="center" vertical="top"/>
    </xf>
    <xf numFmtId="0" fontId="19" fillId="3" borderId="18" xfId="0" applyFont="1" applyFill="1" applyBorder="1" applyAlignment="1">
      <alignment horizontal="right" vertical="top"/>
    </xf>
    <xf numFmtId="0" fontId="19" fillId="3" borderId="8" xfId="0" applyFont="1" applyFill="1" applyBorder="1" applyAlignment="1">
      <alignment horizontal="center" vertical="top"/>
    </xf>
    <xf numFmtId="0" fontId="17" fillId="3" borderId="0"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9" fillId="3" borderId="12" xfId="0" applyFont="1" applyFill="1" applyBorder="1" applyAlignment="1">
      <alignment horizontal="center" vertical="top"/>
    </xf>
    <xf numFmtId="10" fontId="19" fillId="3" borderId="0" xfId="0" applyNumberFormat="1" applyFont="1" applyFill="1" applyBorder="1" applyAlignment="1">
      <alignment horizontal="center" vertical="top"/>
    </xf>
    <xf numFmtId="10" fontId="19" fillId="3" borderId="13" xfId="0" applyNumberFormat="1" applyFont="1" applyFill="1" applyBorder="1" applyAlignment="1">
      <alignment horizontal="center" vertical="top"/>
    </xf>
    <xf numFmtId="0" fontId="19" fillId="3" borderId="14" xfId="0" applyFont="1" applyFill="1" applyBorder="1" applyAlignment="1">
      <alignment horizontal="center" vertical="top"/>
    </xf>
    <xf numFmtId="10" fontId="19" fillId="3" borderId="15" xfId="0" applyNumberFormat="1" applyFont="1" applyFill="1" applyBorder="1" applyAlignment="1">
      <alignment horizontal="center" vertical="top"/>
    </xf>
    <xf numFmtId="10" fontId="19" fillId="3" borderId="16" xfId="0" applyNumberFormat="1" applyFont="1" applyFill="1" applyBorder="1" applyAlignment="1">
      <alignment horizontal="center" vertical="top"/>
    </xf>
    <xf numFmtId="0" fontId="19" fillId="3" borderId="4" xfId="0" applyFont="1" applyFill="1" applyBorder="1" applyAlignment="1">
      <alignment horizontal="left" vertical="top"/>
    </xf>
    <xf numFmtId="0" fontId="19" fillId="3" borderId="6" xfId="0" applyFont="1" applyFill="1" applyBorder="1" applyAlignment="1">
      <alignment horizontal="left" vertical="top"/>
    </xf>
    <xf numFmtId="0" fontId="11" fillId="0" borderId="0" xfId="0" applyFont="1" applyAlignment="1">
      <alignment horizontal="center"/>
    </xf>
    <xf numFmtId="3" fontId="19" fillId="3" borderId="0" xfId="0" applyNumberFormat="1" applyFont="1" applyFill="1" applyAlignment="1">
      <alignment horizontal="center" vertical="top"/>
    </xf>
    <xf numFmtId="6" fontId="19" fillId="3" borderId="0" xfId="0" applyNumberFormat="1" applyFont="1" applyFill="1" applyAlignment="1">
      <alignment horizontal="right" vertical="top"/>
    </xf>
    <xf numFmtId="3" fontId="19" fillId="3" borderId="7" xfId="0" applyNumberFormat="1" applyFont="1" applyFill="1" applyBorder="1" applyAlignment="1">
      <alignment horizontal="center" vertical="top"/>
    </xf>
    <xf numFmtId="6" fontId="19" fillId="3" borderId="7" xfId="0" applyNumberFormat="1" applyFont="1" applyFill="1" applyBorder="1" applyAlignment="1">
      <alignment horizontal="right" vertical="top"/>
    </xf>
    <xf numFmtId="0" fontId="21" fillId="3" borderId="0" xfId="0" applyFont="1" applyFill="1"/>
    <xf numFmtId="0" fontId="19" fillId="3" borderId="0" xfId="0" applyFont="1" applyFill="1" applyAlignment="1">
      <alignment horizontal="right" vertical="top"/>
    </xf>
    <xf numFmtId="0" fontId="19" fillId="3" borderId="7" xfId="0" applyFont="1" applyFill="1" applyBorder="1" applyAlignment="1">
      <alignment horizontal="right" vertical="top"/>
    </xf>
    <xf numFmtId="0" fontId="19" fillId="3" borderId="5" xfId="0" applyFont="1" applyFill="1" applyBorder="1" applyAlignment="1">
      <alignment horizontal="right" vertical="top"/>
    </xf>
    <xf numFmtId="0" fontId="0" fillId="0" borderId="0" xfId="0" applyFill="1"/>
    <xf numFmtId="0" fontId="11" fillId="0" borderId="0" xfId="0" applyFont="1" applyFill="1" applyBorder="1"/>
    <xf numFmtId="0" fontId="23" fillId="0" borderId="0" xfId="0" applyFont="1" applyFill="1" applyBorder="1"/>
    <xf numFmtId="2" fontId="23" fillId="0" borderId="0" xfId="0" applyNumberFormat="1" applyFont="1" applyFill="1" applyBorder="1"/>
    <xf numFmtId="0" fontId="11" fillId="0" borderId="0" xfId="0" applyFont="1" applyFill="1"/>
    <xf numFmtId="0" fontId="23" fillId="0" borderId="0" xfId="0" applyFont="1" applyBorder="1"/>
    <xf numFmtId="10" fontId="11" fillId="0" borderId="0" xfId="0" applyNumberFormat="1" applyFont="1" applyFill="1" applyBorder="1"/>
    <xf numFmtId="0" fontId="11" fillId="0" borderId="9" xfId="0" applyFont="1" applyBorder="1"/>
    <xf numFmtId="0" fontId="11" fillId="0" borderId="10" xfId="0" applyFont="1" applyFill="1" applyBorder="1"/>
    <xf numFmtId="0" fontId="23" fillId="0" borderId="12" xfId="0" applyFont="1" applyBorder="1"/>
    <xf numFmtId="10" fontId="23" fillId="0" borderId="13" xfId="3" applyNumberFormat="1" applyFont="1" applyFill="1" applyBorder="1"/>
    <xf numFmtId="10" fontId="11" fillId="0" borderId="15" xfId="0" applyNumberFormat="1" applyFont="1" applyFill="1" applyBorder="1"/>
    <xf numFmtId="10" fontId="11" fillId="0" borderId="10" xfId="0" applyNumberFormat="1" applyFont="1" applyFill="1" applyBorder="1"/>
    <xf numFmtId="10" fontId="23" fillId="0" borderId="0" xfId="0" applyNumberFormat="1" applyFont="1" applyFill="1" applyBorder="1"/>
    <xf numFmtId="164" fontId="11" fillId="0" borderId="10" xfId="0" applyNumberFormat="1" applyFont="1" applyFill="1" applyBorder="1"/>
    <xf numFmtId="164" fontId="11" fillId="0" borderId="11" xfId="0" applyNumberFormat="1" applyFont="1" applyFill="1" applyBorder="1"/>
    <xf numFmtId="0" fontId="23" fillId="0" borderId="12" xfId="0" applyFont="1" applyFill="1" applyBorder="1"/>
    <xf numFmtId="0" fontId="11" fillId="0" borderId="14" xfId="0" applyFont="1" applyBorder="1"/>
    <xf numFmtId="10" fontId="11" fillId="0" borderId="12" xfId="2" applyNumberFormat="1" applyFont="1" applyBorder="1"/>
    <xf numFmtId="0" fontId="11" fillId="0" borderId="28" xfId="0" applyFont="1" applyBorder="1"/>
    <xf numFmtId="0" fontId="11" fillId="0" borderId="17" xfId="0" applyFont="1" applyFill="1" applyBorder="1"/>
    <xf numFmtId="164" fontId="11" fillId="0" borderId="17" xfId="0" applyNumberFormat="1" applyFont="1" applyFill="1" applyBorder="1"/>
    <xf numFmtId="164" fontId="11" fillId="0" borderId="29" xfId="0" applyNumberFormat="1" applyFont="1" applyFill="1" applyBorder="1"/>
    <xf numFmtId="0" fontId="23" fillId="0" borderId="9" xfId="0" applyFont="1" applyBorder="1"/>
    <xf numFmtId="2" fontId="23" fillId="0" borderId="10" xfId="0" applyNumberFormat="1" applyFont="1" applyFill="1" applyBorder="1"/>
    <xf numFmtId="10" fontId="23" fillId="0" borderId="11" xfId="3" applyNumberFormat="1" applyFont="1" applyFill="1" applyBorder="1"/>
    <xf numFmtId="10" fontId="11" fillId="0" borderId="9" xfId="2" applyNumberFormat="1" applyFont="1" applyBorder="1"/>
    <xf numFmtId="10" fontId="23" fillId="0" borderId="10" xfId="0" applyNumberFormat="1" applyFont="1" applyFill="1" applyBorder="1"/>
    <xf numFmtId="10" fontId="23" fillId="0" borderId="9" xfId="2" applyNumberFormat="1" applyFont="1" applyBorder="1"/>
    <xf numFmtId="10" fontId="23" fillId="0" borderId="12" xfId="2" applyNumberFormat="1" applyFont="1" applyBorder="1"/>
    <xf numFmtId="10" fontId="23" fillId="0" borderId="12" xfId="0" applyNumberFormat="1" applyFont="1" applyBorder="1"/>
    <xf numFmtId="2" fontId="11" fillId="0" borderId="15" xfId="0" applyNumberFormat="1" applyFont="1" applyBorder="1"/>
    <xf numFmtId="10" fontId="11" fillId="0" borderId="16" xfId="0" applyNumberFormat="1" applyFont="1" applyBorder="1"/>
    <xf numFmtId="10" fontId="11" fillId="0" borderId="15" xfId="0" applyNumberFormat="1" applyFont="1" applyBorder="1"/>
    <xf numFmtId="10" fontId="11" fillId="0" borderId="14" xfId="0" applyNumberFormat="1" applyFont="1" applyBorder="1"/>
    <xf numFmtId="2" fontId="11" fillId="0" borderId="15" xfId="0" applyNumberFormat="1" applyFont="1" applyFill="1" applyBorder="1"/>
    <xf numFmtId="10" fontId="11" fillId="0" borderId="16" xfId="0" applyNumberFormat="1" applyFont="1" applyFill="1" applyBorder="1"/>
    <xf numFmtId="4" fontId="11" fillId="0" borderId="0" xfId="0" applyNumberFormat="1" applyFont="1"/>
    <xf numFmtId="4" fontId="0" fillId="0" borderId="0" xfId="0" applyNumberFormat="1"/>
    <xf numFmtId="0" fontId="24" fillId="0" borderId="0" xfId="4" applyFont="1"/>
    <xf numFmtId="0" fontId="25" fillId="0" borderId="0" xfId="4" applyFont="1"/>
    <xf numFmtId="0" fontId="24" fillId="0" borderId="31" xfId="4" applyFont="1" applyBorder="1"/>
    <xf numFmtId="0" fontId="24" fillId="0" borderId="32" xfId="4" applyFont="1" applyBorder="1"/>
    <xf numFmtId="0" fontId="24" fillId="0" borderId="0" xfId="4" applyFont="1" applyFill="1" applyBorder="1"/>
    <xf numFmtId="0" fontId="24" fillId="0" borderId="33" xfId="4" applyFont="1" applyFill="1" applyBorder="1"/>
    <xf numFmtId="0" fontId="25" fillId="0" borderId="27" xfId="4" applyFont="1" applyBorder="1"/>
    <xf numFmtId="0" fontId="25" fillId="0" borderId="0" xfId="4" applyFont="1" applyBorder="1"/>
    <xf numFmtId="0" fontId="14" fillId="0" borderId="34" xfId="0" applyFont="1" applyBorder="1"/>
    <xf numFmtId="0" fontId="24" fillId="0" borderId="27" xfId="4" applyFont="1" applyBorder="1"/>
    <xf numFmtId="164" fontId="25" fillId="0" borderId="0" xfId="5" applyNumberFormat="1" applyFont="1" applyBorder="1"/>
    <xf numFmtId="164" fontId="25" fillId="0" borderId="0" xfId="4" applyNumberFormat="1" applyFont="1" applyBorder="1"/>
    <xf numFmtId="164" fontId="14" fillId="0" borderId="34" xfId="1" applyNumberFormat="1" applyFont="1" applyBorder="1"/>
    <xf numFmtId="164" fontId="25" fillId="0" borderId="34" xfId="5" applyNumberFormat="1" applyFont="1" applyBorder="1"/>
    <xf numFmtId="0" fontId="24" fillId="0" borderId="35" xfId="4" applyFont="1" applyBorder="1"/>
    <xf numFmtId="164" fontId="24" fillId="0" borderId="30" xfId="4" applyNumberFormat="1" applyFont="1" applyBorder="1"/>
    <xf numFmtId="164" fontId="20" fillId="0" borderId="36" xfId="1" applyNumberFormat="1" applyFont="1" applyBorder="1"/>
    <xf numFmtId="0" fontId="24" fillId="0" borderId="31" xfId="6" applyFont="1" applyBorder="1"/>
    <xf numFmtId="0" fontId="25" fillId="0" borderId="32" xfId="6" applyFont="1" applyBorder="1"/>
    <xf numFmtId="0" fontId="25" fillId="0" borderId="32" xfId="6" applyFont="1" applyFill="1" applyBorder="1"/>
    <xf numFmtId="0" fontId="14" fillId="0" borderId="33" xfId="0" applyFont="1" applyBorder="1"/>
    <xf numFmtId="0" fontId="24" fillId="0" borderId="27" xfId="6" applyFont="1" applyBorder="1"/>
    <xf numFmtId="0" fontId="25" fillId="0" borderId="0" xfId="6" applyFont="1" applyBorder="1"/>
    <xf numFmtId="0" fontId="25" fillId="0" borderId="27" xfId="6" applyFont="1" applyBorder="1"/>
    <xf numFmtId="164" fontId="25" fillId="0" borderId="0" xfId="6" applyNumberFormat="1" applyFont="1" applyBorder="1"/>
    <xf numFmtId="164" fontId="25" fillId="0" borderId="0" xfId="6" applyNumberFormat="1" applyFont="1" applyFill="1" applyBorder="1"/>
    <xf numFmtId="164" fontId="24" fillId="0" borderId="0" xfId="5" applyNumberFormat="1" applyFont="1" applyBorder="1"/>
    <xf numFmtId="164" fontId="24" fillId="0" borderId="0" xfId="6" applyNumberFormat="1" applyFont="1" applyBorder="1"/>
    <xf numFmtId="164" fontId="20" fillId="0" borderId="34" xfId="1" applyNumberFormat="1" applyFont="1" applyBorder="1"/>
    <xf numFmtId="164" fontId="24" fillId="0" borderId="0" xfId="6" applyNumberFormat="1" applyFont="1" applyFill="1" applyBorder="1"/>
    <xf numFmtId="0" fontId="24" fillId="0" borderId="35" xfId="6" applyFont="1" applyBorder="1"/>
    <xf numFmtId="164" fontId="24" fillId="0" borderId="30" xfId="5" applyNumberFormat="1" applyFont="1" applyBorder="1"/>
    <xf numFmtId="164" fontId="24" fillId="0" borderId="30" xfId="6" applyNumberFormat="1" applyFont="1" applyBorder="1"/>
    <xf numFmtId="164" fontId="20" fillId="0" borderId="36" xfId="0" applyNumberFormat="1" applyFont="1" applyBorder="1"/>
    <xf numFmtId="4" fontId="10" fillId="0" borderId="0" xfId="0" applyNumberFormat="1" applyFont="1"/>
    <xf numFmtId="0" fontId="26" fillId="0" borderId="31" xfId="0" applyFont="1" applyBorder="1"/>
    <xf numFmtId="0" fontId="27" fillId="0" borderId="32" xfId="4" applyFont="1" applyBorder="1" applyAlignment="1">
      <alignment horizontal="right"/>
    </xf>
    <xf numFmtId="0" fontId="27" fillId="0" borderId="32" xfId="4" applyFont="1" applyFill="1" applyBorder="1" applyAlignment="1">
      <alignment horizontal="right"/>
    </xf>
    <xf numFmtId="0" fontId="27" fillId="0" borderId="33" xfId="4" applyFont="1" applyFill="1" applyBorder="1" applyAlignment="1">
      <alignment horizontal="right"/>
    </xf>
    <xf numFmtId="0" fontId="26" fillId="0" borderId="27" xfId="0" applyFont="1" applyBorder="1"/>
    <xf numFmtId="0" fontId="0" fillId="0" borderId="34" xfId="0" applyBorder="1"/>
    <xf numFmtId="164" fontId="26" fillId="0" borderId="0" xfId="1" applyNumberFormat="1" applyFont="1" applyBorder="1"/>
    <xf numFmtId="164" fontId="26" fillId="0" borderId="34" xfId="1" applyNumberFormat="1" applyFont="1" applyBorder="1"/>
    <xf numFmtId="0" fontId="28" fillId="0" borderId="27" xfId="0" applyFont="1" applyBorder="1"/>
    <xf numFmtId="164" fontId="28" fillId="0" borderId="0" xfId="0" applyNumberFormat="1" applyFont="1" applyBorder="1"/>
    <xf numFmtId="164" fontId="28" fillId="0" borderId="34" xfId="0" applyNumberFormat="1" applyFont="1" applyBorder="1"/>
    <xf numFmtId="0" fontId="26" fillId="0" borderId="0" xfId="0" applyFont="1" applyBorder="1"/>
    <xf numFmtId="0" fontId="26" fillId="0" borderId="34" xfId="0" applyFont="1" applyBorder="1"/>
    <xf numFmtId="0" fontId="28" fillId="0" borderId="35" xfId="0" applyFont="1" applyBorder="1"/>
    <xf numFmtId="164" fontId="28" fillId="0" borderId="30" xfId="0" applyNumberFormat="1" applyFont="1" applyBorder="1"/>
    <xf numFmtId="164" fontId="28" fillId="0" borderId="36" xfId="0" applyNumberFormat="1" applyFont="1" applyBorder="1"/>
    <xf numFmtId="0" fontId="28" fillId="0" borderId="0" xfId="0" applyFont="1" applyBorder="1"/>
    <xf numFmtId="0" fontId="12" fillId="0" borderId="0" xfId="0" applyFont="1" applyBorder="1"/>
    <xf numFmtId="164" fontId="11" fillId="0" borderId="0" xfId="1" applyNumberFormat="1" applyFont="1" applyBorder="1"/>
    <xf numFmtId="164" fontId="12" fillId="0" borderId="0" xfId="0" applyNumberFormat="1" applyFont="1" applyBorder="1"/>
    <xf numFmtId="0" fontId="29" fillId="0" borderId="0" xfId="4" applyFont="1" applyBorder="1" applyAlignment="1">
      <alignment horizontal="right"/>
    </xf>
    <xf numFmtId="0" fontId="29" fillId="0" borderId="0" xfId="4" applyFont="1" applyFill="1" applyBorder="1" applyAlignment="1">
      <alignment horizontal="right"/>
    </xf>
    <xf numFmtId="0" fontId="15" fillId="2" borderId="19" xfId="0" applyFont="1" applyFill="1" applyBorder="1" applyAlignment="1">
      <alignment horizontal="center" wrapText="1"/>
    </xf>
    <xf numFmtId="0" fontId="15" fillId="2" borderId="20" xfId="0" applyFont="1" applyFill="1" applyBorder="1" applyAlignment="1">
      <alignment horizontal="center" wrapText="1"/>
    </xf>
    <xf numFmtId="0" fontId="15" fillId="2" borderId="21" xfId="0" applyFont="1" applyFill="1" applyBorder="1" applyAlignment="1">
      <alignment horizontal="center" wrapText="1"/>
    </xf>
    <xf numFmtId="0" fontId="16" fillId="3" borderId="22" xfId="0" applyFont="1" applyFill="1" applyBorder="1" applyAlignment="1">
      <alignment horizontal="center" vertical="center"/>
    </xf>
    <xf numFmtId="0" fontId="16" fillId="3" borderId="23" xfId="0" applyFont="1" applyFill="1" applyBorder="1" applyAlignment="1">
      <alignment horizontal="center" vertical="center"/>
    </xf>
    <xf numFmtId="3" fontId="16" fillId="3" borderId="23" xfId="0" applyNumberFormat="1" applyFont="1" applyFill="1" applyBorder="1" applyAlignment="1">
      <alignment horizontal="center" vertical="center"/>
    </xf>
    <xf numFmtId="6" fontId="16" fillId="3" borderId="24" xfId="0" applyNumberFormat="1" applyFont="1" applyFill="1" applyBorder="1" applyAlignment="1">
      <alignment horizontal="right"/>
    </xf>
    <xf numFmtId="0" fontId="31" fillId="3" borderId="22" xfId="0" applyFont="1" applyFill="1" applyBorder="1" applyAlignment="1">
      <alignment vertical="center"/>
    </xf>
    <xf numFmtId="0" fontId="31" fillId="3" borderId="23" xfId="0" applyFont="1" applyFill="1" applyBorder="1" applyAlignment="1">
      <alignment vertical="center"/>
    </xf>
    <xf numFmtId="0" fontId="31" fillId="3" borderId="23" xfId="0" applyFont="1" applyFill="1" applyBorder="1" applyAlignment="1">
      <alignment horizontal="center" vertical="center"/>
    </xf>
    <xf numFmtId="0" fontId="31" fillId="3" borderId="24" xfId="0" applyFont="1" applyFill="1" applyBorder="1" applyAlignment="1">
      <alignment horizontal="right"/>
    </xf>
    <xf numFmtId="0" fontId="16" fillId="3" borderId="25" xfId="0" applyFont="1" applyFill="1" applyBorder="1" applyAlignment="1">
      <alignment horizontal="center" vertical="center"/>
    </xf>
    <xf numFmtId="0" fontId="16" fillId="3" borderId="26" xfId="0" applyFont="1" applyFill="1" applyBorder="1" applyAlignment="1">
      <alignment horizontal="center" vertical="center"/>
    </xf>
    <xf numFmtId="3" fontId="0" fillId="0" borderId="0" xfId="0" applyNumberFormat="1"/>
    <xf numFmtId="0" fontId="11" fillId="4" borderId="0" xfId="0" applyFont="1" applyFill="1"/>
    <xf numFmtId="0" fontId="13" fillId="0" borderId="0" xfId="0" applyFont="1" applyFill="1" applyBorder="1" applyAlignment="1">
      <alignment horizontal="left"/>
    </xf>
    <xf numFmtId="0" fontId="19" fillId="3" borderId="0" xfId="0" applyFont="1" applyFill="1" applyBorder="1" applyAlignment="1">
      <alignment horizontal="center" vertical="top"/>
    </xf>
    <xf numFmtId="0" fontId="12" fillId="5" borderId="0" xfId="0" applyFont="1" applyFill="1" applyBorder="1" applyAlignment="1">
      <alignment horizontal="center" vertical="center" wrapText="1"/>
    </xf>
    <xf numFmtId="3" fontId="11" fillId="0" borderId="0" xfId="0" applyNumberFormat="1" applyFont="1" applyBorder="1" applyAlignment="1">
      <alignment horizontal="center"/>
    </xf>
    <xf numFmtId="0" fontId="0" fillId="5" borderId="0" xfId="0" applyFill="1"/>
    <xf numFmtId="0" fontId="11" fillId="5" borderId="0" xfId="0" applyFont="1" applyFill="1" applyAlignment="1">
      <alignment horizontal="center"/>
    </xf>
    <xf numFmtId="0" fontId="34" fillId="0" borderId="0" xfId="0" applyFont="1"/>
    <xf numFmtId="0" fontId="35" fillId="0" borderId="0" xfId="0" applyFont="1"/>
    <xf numFmtId="0" fontId="36" fillId="0" borderId="0" xfId="0" applyFont="1" applyBorder="1"/>
    <xf numFmtId="0" fontId="0" fillId="0" borderId="0" xfId="0" applyFont="1"/>
    <xf numFmtId="0" fontId="14" fillId="0" borderId="0" xfId="0" applyFont="1" applyBorder="1"/>
    <xf numFmtId="164" fontId="14" fillId="0" borderId="0" xfId="1" applyNumberFormat="1" applyFont="1" applyBorder="1"/>
    <xf numFmtId="164" fontId="20" fillId="0" borderId="0" xfId="1" applyNumberFormat="1" applyFont="1" applyBorder="1"/>
    <xf numFmtId="0" fontId="24" fillId="0" borderId="0" xfId="6" applyFont="1" applyBorder="1"/>
    <xf numFmtId="164" fontId="20" fillId="0" borderId="0" xfId="0" applyNumberFormat="1" applyFont="1" applyBorder="1"/>
    <xf numFmtId="165" fontId="23" fillId="0" borderId="0" xfId="4" applyNumberFormat="1" applyFont="1" applyBorder="1"/>
    <xf numFmtId="165" fontId="23" fillId="0" borderId="0" xfId="5" applyNumberFormat="1" applyFont="1" applyBorder="1"/>
    <xf numFmtId="165" fontId="23" fillId="0" borderId="0" xfId="6" applyNumberFormat="1" applyFont="1" applyBorder="1"/>
    <xf numFmtId="165" fontId="11" fillId="0" borderId="0" xfId="1" applyNumberFormat="1" applyFont="1" applyBorder="1"/>
    <xf numFmtId="165" fontId="11" fillId="0" borderId="0" xfId="0" applyNumberFormat="1" applyFont="1"/>
    <xf numFmtId="165" fontId="11" fillId="0" borderId="0" xfId="0" applyNumberFormat="1" applyFont="1" applyBorder="1"/>
    <xf numFmtId="165" fontId="11" fillId="0" borderId="0" xfId="0" applyNumberFormat="1" applyFont="1" applyAlignment="1">
      <alignment horizontal="center"/>
    </xf>
    <xf numFmtId="2" fontId="11" fillId="0" borderId="0" xfId="0" applyNumberFormat="1" applyFont="1" applyAlignment="1">
      <alignment horizontal="center"/>
    </xf>
    <xf numFmtId="0" fontId="37" fillId="0" borderId="37" xfId="0" applyFont="1" applyBorder="1" applyAlignment="1">
      <alignment vertical="top" wrapText="1"/>
    </xf>
    <xf numFmtId="0" fontId="37" fillId="0" borderId="29" xfId="0" applyFont="1" applyBorder="1" applyAlignment="1">
      <alignment vertical="top" wrapText="1"/>
    </xf>
    <xf numFmtId="0" fontId="37" fillId="0" borderId="38" xfId="0" applyFont="1" applyBorder="1" applyAlignment="1">
      <alignment vertical="top" wrapText="1"/>
    </xf>
    <xf numFmtId="0" fontId="37" fillId="0" borderId="16" xfId="0" applyFont="1" applyBorder="1" applyAlignment="1">
      <alignment vertical="top" wrapText="1"/>
    </xf>
    <xf numFmtId="0" fontId="37" fillId="0" borderId="13" xfId="0" applyFont="1" applyBorder="1" applyAlignment="1">
      <alignment vertical="top" wrapText="1"/>
    </xf>
    <xf numFmtId="0" fontId="0" fillId="0" borderId="0" xfId="0" applyBorder="1" applyAlignment="1">
      <alignment horizontal="center"/>
    </xf>
    <xf numFmtId="165" fontId="11" fillId="0" borderId="0" xfId="0" applyNumberFormat="1" applyFont="1" applyBorder="1" applyAlignment="1">
      <alignment horizontal="center"/>
    </xf>
    <xf numFmtId="165" fontId="23" fillId="0" borderId="0" xfId="4" applyNumberFormat="1" applyFont="1" applyBorder="1" applyAlignment="1">
      <alignment horizontal="center"/>
    </xf>
    <xf numFmtId="165" fontId="23" fillId="0" borderId="0" xfId="5" applyNumberFormat="1" applyFont="1" applyBorder="1" applyAlignment="1">
      <alignment horizontal="center"/>
    </xf>
    <xf numFmtId="165" fontId="23" fillId="0" borderId="0" xfId="6" applyNumberFormat="1" applyFont="1" applyBorder="1" applyAlignment="1">
      <alignment horizontal="center"/>
    </xf>
    <xf numFmtId="165" fontId="11" fillId="0" borderId="0" xfId="1" applyNumberFormat="1" applyFont="1" applyBorder="1" applyAlignment="1">
      <alignment horizontal="center"/>
    </xf>
    <xf numFmtId="166" fontId="11" fillId="0" borderId="0" xfId="0" applyNumberFormat="1" applyFont="1" applyBorder="1" applyAlignment="1">
      <alignment horizontal="center"/>
    </xf>
    <xf numFmtId="0" fontId="32" fillId="0" borderId="0" xfId="0" applyFont="1"/>
    <xf numFmtId="0" fontId="38" fillId="0" borderId="0" xfId="0" applyFont="1"/>
    <xf numFmtId="0" fontId="32" fillId="0" borderId="0" xfId="0" applyFont="1" applyProtection="1">
      <protection hidden="1"/>
    </xf>
    <xf numFmtId="0" fontId="38" fillId="0" borderId="0" xfId="0" applyFont="1" applyProtection="1">
      <protection hidden="1"/>
    </xf>
    <xf numFmtId="0" fontId="39" fillId="3" borderId="0" xfId="0" applyFont="1" applyFill="1" applyBorder="1" applyAlignment="1" applyProtection="1">
      <alignment horizontal="center" vertical="top"/>
      <protection hidden="1"/>
    </xf>
    <xf numFmtId="0" fontId="40" fillId="0" borderId="0" xfId="0" applyFont="1" applyFill="1" applyBorder="1" applyAlignment="1">
      <alignment horizontal="left"/>
    </xf>
    <xf numFmtId="0" fontId="40" fillId="0" borderId="0" xfId="0" applyFont="1" applyFill="1" applyBorder="1" applyAlignment="1">
      <alignment horizontal="left" vertical="center" wrapText="1"/>
    </xf>
    <xf numFmtId="0" fontId="40" fillId="0" borderId="0" xfId="0" applyFont="1" applyFill="1" applyBorder="1" applyAlignment="1">
      <alignment horizontal="left" vertical="top"/>
    </xf>
    <xf numFmtId="0" fontId="41" fillId="0" borderId="0" xfId="0" applyFont="1"/>
    <xf numFmtId="0" fontId="0" fillId="0" borderId="0" xfId="0" applyFont="1" applyBorder="1"/>
    <xf numFmtId="0" fontId="8" fillId="0" borderId="0" xfId="0" applyFont="1" applyAlignment="1"/>
    <xf numFmtId="0" fontId="42" fillId="0" borderId="0" xfId="7" applyFont="1" applyAlignment="1" applyProtection="1"/>
    <xf numFmtId="0" fontId="43" fillId="4" borderId="0" xfId="0" applyFont="1" applyFill="1"/>
    <xf numFmtId="0" fontId="44" fillId="4" borderId="0" xfId="0" applyFont="1" applyFill="1" applyAlignment="1">
      <alignment horizontal="center"/>
    </xf>
    <xf numFmtId="3" fontId="43" fillId="0" borderId="0" xfId="0" applyNumberFormat="1" applyFont="1" applyAlignment="1">
      <alignment horizontal="center"/>
    </xf>
    <xf numFmtId="0" fontId="44" fillId="4" borderId="0" xfId="0" applyFont="1" applyFill="1"/>
    <xf numFmtId="3" fontId="44" fillId="0" borderId="0" xfId="0" applyNumberFormat="1" applyFont="1" applyAlignment="1">
      <alignment horizontal="center"/>
    </xf>
    <xf numFmtId="0" fontId="43" fillId="0" borderId="0" xfId="0" applyFont="1"/>
    <xf numFmtId="0" fontId="44" fillId="0" borderId="0" xfId="0" applyFont="1"/>
    <xf numFmtId="0" fontId="37" fillId="0" borderId="0" xfId="0" applyFont="1"/>
    <xf numFmtId="0" fontId="43" fillId="4" borderId="0" xfId="0" applyFont="1" applyFill="1" applyAlignment="1">
      <alignment horizontal="left"/>
    </xf>
    <xf numFmtId="0" fontId="44" fillId="6" borderId="0" xfId="0" applyFont="1" applyFill="1"/>
    <xf numFmtId="0" fontId="43" fillId="5" borderId="0" xfId="0" applyFont="1" applyFill="1"/>
    <xf numFmtId="0" fontId="37" fillId="5" borderId="0" xfId="0" applyFont="1" applyFill="1"/>
    <xf numFmtId="0" fontId="43" fillId="4" borderId="0" xfId="0" applyFont="1" applyFill="1" applyAlignment="1">
      <alignment horizontal="center"/>
    </xf>
    <xf numFmtId="3" fontId="43" fillId="5" borderId="0" xfId="0" applyNumberFormat="1" applyFont="1" applyFill="1" applyAlignment="1">
      <alignment horizontal="center"/>
    </xf>
    <xf numFmtId="0" fontId="43" fillId="0" borderId="0" xfId="0" applyFont="1" applyAlignment="1">
      <alignment horizontal="center"/>
    </xf>
    <xf numFmtId="0" fontId="22" fillId="0" borderId="0" xfId="4" applyFont="1" applyBorder="1"/>
    <xf numFmtId="164" fontId="22" fillId="0" borderId="0" xfId="5" applyNumberFormat="1" applyFont="1" applyBorder="1"/>
    <xf numFmtId="0" fontId="47" fillId="0" borderId="0" xfId="0" applyFont="1" applyBorder="1"/>
    <xf numFmtId="164" fontId="22" fillId="0" borderId="0" xfId="4" applyNumberFormat="1" applyFont="1" applyBorder="1"/>
    <xf numFmtId="164" fontId="47" fillId="0" borderId="0" xfId="1" applyNumberFormat="1" applyFont="1" applyBorder="1"/>
    <xf numFmtId="0" fontId="45" fillId="0" borderId="0" xfId="4" applyFont="1" applyBorder="1" applyAlignment="1">
      <alignment horizontal="center"/>
    </xf>
    <xf numFmtId="164" fontId="22" fillId="0" borderId="0" xfId="5" applyNumberFormat="1" applyFont="1" applyBorder="1" applyAlignment="1">
      <alignment horizontal="center"/>
    </xf>
    <xf numFmtId="164" fontId="22" fillId="0" borderId="0" xfId="4" applyNumberFormat="1" applyFont="1" applyBorder="1" applyAlignment="1">
      <alignment horizontal="center"/>
    </xf>
    <xf numFmtId="164" fontId="47" fillId="0" borderId="0" xfId="1" applyNumberFormat="1" applyFont="1" applyBorder="1" applyAlignment="1">
      <alignment horizontal="center"/>
    </xf>
    <xf numFmtId="0" fontId="45" fillId="4" borderId="0" xfId="4" applyFont="1" applyFill="1" applyBorder="1" applyAlignment="1">
      <alignment horizontal="center"/>
    </xf>
    <xf numFmtId="164" fontId="45" fillId="4" borderId="0" xfId="5" applyNumberFormat="1" applyFont="1" applyFill="1" applyBorder="1" applyAlignment="1">
      <alignment horizontal="center"/>
    </xf>
    <xf numFmtId="0" fontId="48" fillId="0" borderId="0" xfId="4" applyFont="1" applyFill="1" applyBorder="1" applyAlignment="1">
      <alignment horizontal="center"/>
    </xf>
    <xf numFmtId="0" fontId="22" fillId="0" borderId="0" xfId="4" applyFont="1" applyBorder="1" applyAlignment="1">
      <alignment horizontal="center"/>
    </xf>
    <xf numFmtId="164" fontId="49" fillId="0" borderId="0" xfId="1" applyNumberFormat="1" applyFont="1" applyBorder="1" applyAlignment="1">
      <alignment horizontal="center"/>
    </xf>
    <xf numFmtId="164" fontId="49" fillId="0" borderId="0" xfId="0" applyNumberFormat="1" applyFont="1" applyBorder="1" applyAlignment="1">
      <alignment horizontal="center"/>
    </xf>
    <xf numFmtId="0" fontId="48" fillId="4" borderId="0" xfId="4" applyFont="1" applyFill="1" applyBorder="1" applyAlignment="1">
      <alignment horizontal="center"/>
    </xf>
    <xf numFmtId="164" fontId="48" fillId="4" borderId="0" xfId="4" applyNumberFormat="1" applyFont="1" applyFill="1" applyBorder="1" applyAlignment="1">
      <alignment horizontal="center"/>
    </xf>
    <xf numFmtId="0" fontId="48" fillId="6" borderId="0" xfId="4" applyFont="1" applyFill="1" applyBorder="1" applyAlignment="1">
      <alignment horizontal="center"/>
    </xf>
    <xf numFmtId="164" fontId="48" fillId="6" borderId="0" xfId="5" applyNumberFormat="1" applyFont="1" applyFill="1" applyBorder="1" applyAlignment="1">
      <alignment horizontal="center"/>
    </xf>
    <xf numFmtId="165" fontId="22" fillId="0" borderId="0" xfId="4" applyNumberFormat="1" applyFont="1" applyBorder="1" applyAlignment="1">
      <alignment horizontal="center"/>
    </xf>
    <xf numFmtId="165" fontId="43" fillId="0" borderId="0" xfId="0" applyNumberFormat="1" applyFont="1" applyAlignment="1">
      <alignment horizontal="center"/>
    </xf>
    <xf numFmtId="165" fontId="50" fillId="4" borderId="0" xfId="4" applyNumberFormat="1" applyFont="1" applyFill="1" applyBorder="1" applyAlignment="1">
      <alignment horizontal="center"/>
    </xf>
    <xf numFmtId="164" fontId="22" fillId="5" borderId="0" xfId="5" applyNumberFormat="1" applyFont="1" applyFill="1" applyBorder="1" applyAlignment="1">
      <alignment horizontal="center"/>
    </xf>
    <xf numFmtId="0" fontId="50" fillId="0" borderId="0" xfId="4" applyFont="1" applyBorder="1"/>
    <xf numFmtId="0" fontId="50" fillId="0" borderId="0" xfId="4" applyFont="1" applyBorder="1" applyAlignment="1">
      <alignment horizontal="left"/>
    </xf>
    <xf numFmtId="165" fontId="51" fillId="0" borderId="0" xfId="0" applyNumberFormat="1" applyFont="1" applyAlignment="1">
      <alignment horizontal="center"/>
    </xf>
    <xf numFmtId="0" fontId="43" fillId="0" borderId="0" xfId="0" applyFont="1" applyBorder="1"/>
    <xf numFmtId="0" fontId="37" fillId="0" borderId="0" xfId="0" applyFont="1" applyBorder="1"/>
    <xf numFmtId="0" fontId="45" fillId="4" borderId="0" xfId="0" applyFont="1" applyFill="1" applyBorder="1" applyAlignment="1">
      <alignment horizontal="center" vertical="center" wrapText="1"/>
    </xf>
    <xf numFmtId="0" fontId="16" fillId="4" borderId="0" xfId="0" applyFont="1" applyFill="1" applyBorder="1" applyAlignment="1">
      <alignment horizontal="center" vertical="top"/>
    </xf>
    <xf numFmtId="3" fontId="43" fillId="0" borderId="0" xfId="0" applyNumberFormat="1" applyFont="1" applyBorder="1" applyAlignment="1">
      <alignment horizontal="center"/>
    </xf>
    <xf numFmtId="0" fontId="45" fillId="4" borderId="0" xfId="0" applyFont="1" applyFill="1" applyBorder="1" applyAlignment="1">
      <alignment horizontal="center" vertical="top"/>
    </xf>
    <xf numFmtId="3" fontId="45" fillId="5" borderId="0" xfId="0" applyNumberFormat="1" applyFont="1" applyFill="1" applyBorder="1" applyAlignment="1">
      <alignment horizontal="center" vertical="top"/>
    </xf>
    <xf numFmtId="6" fontId="45" fillId="5" borderId="0" xfId="0" applyNumberFormat="1" applyFont="1" applyFill="1" applyBorder="1" applyAlignment="1">
      <alignment horizontal="center" vertical="top"/>
    </xf>
    <xf numFmtId="0" fontId="43" fillId="4" borderId="0" xfId="0" applyFont="1" applyFill="1" applyBorder="1" applyAlignment="1">
      <alignment horizontal="center"/>
    </xf>
    <xf numFmtId="0" fontId="43" fillId="0" borderId="0" xfId="0" applyFont="1" applyBorder="1" applyAlignment="1">
      <alignment horizontal="center"/>
    </xf>
    <xf numFmtId="2" fontId="43" fillId="0" borderId="0" xfId="0" applyNumberFormat="1" applyFont="1" applyAlignment="1">
      <alignment horizontal="center"/>
    </xf>
    <xf numFmtId="0" fontId="37" fillId="0" borderId="0" xfId="0" applyFont="1" applyAlignment="1"/>
    <xf numFmtId="0" fontId="43" fillId="5" borderId="0" xfId="0" applyFont="1" applyFill="1" applyAlignment="1">
      <alignment horizontal="center"/>
    </xf>
    <xf numFmtId="167" fontId="43" fillId="5" borderId="0" xfId="0" applyNumberFormat="1" applyFont="1" applyFill="1" applyAlignment="1">
      <alignment horizontal="center"/>
    </xf>
    <xf numFmtId="10" fontId="43" fillId="5" borderId="0" xfId="0" applyNumberFormat="1" applyFont="1" applyFill="1" applyAlignment="1">
      <alignment horizontal="center"/>
    </xf>
    <xf numFmtId="0" fontId="43" fillId="6" borderId="0" xfId="0" applyFont="1" applyFill="1"/>
    <xf numFmtId="0" fontId="43" fillId="4" borderId="0" xfId="0" applyFont="1" applyFill="1" applyBorder="1"/>
    <xf numFmtId="164" fontId="43" fillId="4" borderId="0" xfId="0" applyNumberFormat="1" applyFont="1" applyFill="1" applyBorder="1"/>
    <xf numFmtId="0" fontId="45" fillId="4" borderId="0" xfId="0" applyFont="1" applyFill="1" applyBorder="1" applyAlignment="1">
      <alignment horizontal="center"/>
    </xf>
    <xf numFmtId="10" fontId="43" fillId="0" borderId="0" xfId="0" applyNumberFormat="1" applyFont="1" applyBorder="1"/>
    <xf numFmtId="2" fontId="43" fillId="0" borderId="0" xfId="0" applyNumberFormat="1" applyFont="1" applyBorder="1"/>
    <xf numFmtId="0" fontId="44" fillId="0" borderId="0" xfId="0" applyFont="1" applyAlignment="1"/>
    <xf numFmtId="0" fontId="43" fillId="0" borderId="0" xfId="0" applyFont="1" applyAlignment="1"/>
    <xf numFmtId="0" fontId="52" fillId="0" borderId="0" xfId="0" applyFont="1"/>
    <xf numFmtId="167" fontId="43" fillId="0" borderId="0" xfId="0" applyNumberFormat="1" applyFont="1" applyBorder="1" applyAlignment="1">
      <alignment horizontal="center"/>
    </xf>
    <xf numFmtId="0" fontId="33" fillId="0" borderId="0" xfId="7" applyAlignment="1" applyProtection="1"/>
    <xf numFmtId="0" fontId="33" fillId="0" borderId="0" xfId="7" applyAlignment="1" applyProtection="1">
      <alignment wrapText="1"/>
    </xf>
    <xf numFmtId="0" fontId="33" fillId="0" borderId="0" xfId="7" applyAlignment="1" applyProtection="1">
      <alignment horizontal="left" wrapText="1"/>
    </xf>
    <xf numFmtId="0" fontId="53" fillId="0" borderId="0" xfId="0" applyFont="1"/>
    <xf numFmtId="0" fontId="43" fillId="0" borderId="0" xfId="0" applyFont="1" applyProtection="1">
      <protection hidden="1"/>
    </xf>
    <xf numFmtId="0" fontId="56" fillId="0" borderId="0" xfId="0" applyFont="1" applyProtection="1">
      <protection hidden="1"/>
    </xf>
    <xf numFmtId="0" fontId="54" fillId="7" borderId="0" xfId="0" applyFont="1" applyFill="1" applyBorder="1" applyAlignment="1">
      <alignment horizontal="center" wrapText="1"/>
    </xf>
    <xf numFmtId="0" fontId="0" fillId="0" borderId="9" xfId="0" applyBorder="1"/>
    <xf numFmtId="3" fontId="0" fillId="0" borderId="9" xfId="0" applyNumberFormat="1" applyBorder="1" applyAlignment="1">
      <alignment horizontal="center" wrapText="1"/>
    </xf>
    <xf numFmtId="3" fontId="0" fillId="0" borderId="10" xfId="0" applyNumberFormat="1" applyBorder="1" applyAlignment="1">
      <alignment horizontal="center" wrapText="1"/>
    </xf>
    <xf numFmtId="3" fontId="0" fillId="0" borderId="10" xfId="5" applyNumberFormat="1" applyFont="1" applyBorder="1" applyAlignment="1">
      <alignment horizontal="center" wrapText="1"/>
    </xf>
    <xf numFmtId="3" fontId="57" fillId="0" borderId="10" xfId="4" applyNumberFormat="1" applyFont="1" applyBorder="1" applyAlignment="1">
      <alignment horizontal="center" wrapText="1"/>
    </xf>
    <xf numFmtId="3" fontId="0" fillId="0" borderId="11" xfId="0" applyNumberFormat="1" applyBorder="1" applyAlignment="1">
      <alignment horizontal="center" wrapText="1"/>
    </xf>
    <xf numFmtId="0" fontId="0" fillId="0" borderId="12" xfId="0" applyBorder="1"/>
    <xf numFmtId="3" fontId="0" fillId="0" borderId="12" xfId="0" applyNumberFormat="1" applyBorder="1" applyAlignment="1">
      <alignment horizontal="center" wrapText="1"/>
    </xf>
    <xf numFmtId="3" fontId="0" fillId="0" borderId="0" xfId="0" applyNumberFormat="1" applyBorder="1" applyAlignment="1">
      <alignment horizontal="center" wrapText="1"/>
    </xf>
    <xf numFmtId="3" fontId="0" fillId="0" borderId="0" xfId="5" applyNumberFormat="1" applyFont="1" applyBorder="1" applyAlignment="1">
      <alignment horizontal="center" wrapText="1"/>
    </xf>
    <xf numFmtId="3" fontId="57" fillId="0" borderId="0" xfId="4" applyNumberFormat="1" applyFont="1" applyBorder="1" applyAlignment="1">
      <alignment horizontal="center" wrapText="1"/>
    </xf>
    <xf numFmtId="3" fontId="0" fillId="0" borderId="13" xfId="0" applyNumberFormat="1" applyBorder="1" applyAlignment="1">
      <alignment horizontal="center" wrapText="1"/>
    </xf>
    <xf numFmtId="0" fontId="55" fillId="0" borderId="28" xfId="0" applyFont="1" applyBorder="1"/>
    <xf numFmtId="3" fontId="55" fillId="0" borderId="28" xfId="0" applyNumberFormat="1" applyFont="1" applyBorder="1" applyAlignment="1">
      <alignment horizontal="center" wrapText="1"/>
    </xf>
    <xf numFmtId="4" fontId="55" fillId="0" borderId="17" xfId="0" applyNumberFormat="1" applyFont="1" applyBorder="1" applyAlignment="1">
      <alignment horizontal="center" wrapText="1"/>
    </xf>
    <xf numFmtId="3" fontId="55" fillId="0" borderId="17" xfId="0" applyNumberFormat="1" applyFont="1" applyBorder="1" applyAlignment="1">
      <alignment horizontal="center" wrapText="1"/>
    </xf>
    <xf numFmtId="4" fontId="55" fillId="0" borderId="29" xfId="0" applyNumberFormat="1" applyFont="1" applyBorder="1" applyAlignment="1">
      <alignment horizontal="center" wrapText="1"/>
    </xf>
    <xf numFmtId="0" fontId="0" fillId="0" borderId="0" xfId="0" applyAlignment="1"/>
    <xf numFmtId="1" fontId="0" fillId="0" borderId="0" xfId="0" applyNumberFormat="1"/>
    <xf numFmtId="0" fontId="0" fillId="0" borderId="0" xfId="0" applyAlignment="1">
      <alignment horizontal="center"/>
    </xf>
    <xf numFmtId="0" fontId="58" fillId="0" borderId="0" xfId="0" applyFont="1" applyAlignment="1">
      <alignment horizontal="center"/>
    </xf>
    <xf numFmtId="1" fontId="58" fillId="0" borderId="0" xfId="0" applyNumberFormat="1" applyFont="1" applyAlignment="1">
      <alignment horizontal="center"/>
    </xf>
    <xf numFmtId="0" fontId="59" fillId="7" borderId="0" xfId="0" applyFont="1" applyFill="1" applyBorder="1" applyAlignment="1">
      <alignment horizontal="center" wrapText="1"/>
    </xf>
    <xf numFmtId="3" fontId="43" fillId="0" borderId="0" xfId="0" applyNumberFormat="1" applyFont="1" applyBorder="1"/>
    <xf numFmtId="0" fontId="44" fillId="4" borderId="0" xfId="0" applyFont="1" applyFill="1" applyBorder="1"/>
    <xf numFmtId="0" fontId="43" fillId="4" borderId="0" xfId="0" applyFont="1" applyFill="1" applyBorder="1" applyAlignment="1">
      <alignment horizontal="center" wrapText="1"/>
    </xf>
    <xf numFmtId="3" fontId="44" fillId="0" borderId="0" xfId="0" applyNumberFormat="1" applyFont="1" applyBorder="1"/>
    <xf numFmtId="3" fontId="0" fillId="0" borderId="0" xfId="0" applyNumberFormat="1" applyBorder="1"/>
    <xf numFmtId="3" fontId="43" fillId="0" borderId="0" xfId="0" applyNumberFormat="1" applyFont="1" applyFill="1" applyBorder="1" applyAlignment="1">
      <alignment horizontal="center"/>
    </xf>
    <xf numFmtId="0" fontId="43" fillId="4" borderId="0" xfId="0" applyFont="1" applyFill="1" applyBorder="1" applyAlignment="1">
      <alignment horizontal="center" wrapText="1" shrinkToFit="1"/>
    </xf>
    <xf numFmtId="0" fontId="43" fillId="5" borderId="0" xfId="0" applyFont="1" applyFill="1" applyBorder="1" applyAlignment="1">
      <alignment horizontal="center"/>
    </xf>
    <xf numFmtId="0" fontId="43" fillId="5" borderId="0" xfId="0" applyFont="1" applyFill="1" applyBorder="1" applyAlignment="1">
      <alignment horizontal="center" wrapText="1" shrinkToFit="1"/>
    </xf>
    <xf numFmtId="3" fontId="43" fillId="5" borderId="0" xfId="0" applyNumberFormat="1" applyFont="1" applyFill="1" applyBorder="1" applyAlignment="1">
      <alignment horizontal="center"/>
    </xf>
    <xf numFmtId="0" fontId="0" fillId="5" borderId="0" xfId="0" applyFill="1" applyBorder="1" applyAlignment="1">
      <alignment horizontal="center" vertical="center"/>
    </xf>
    <xf numFmtId="0" fontId="0" fillId="5" borderId="0" xfId="0" applyFill="1" applyBorder="1"/>
    <xf numFmtId="3" fontId="43" fillId="5" borderId="0" xfId="0" applyNumberFormat="1" applyFont="1" applyFill="1" applyBorder="1"/>
    <xf numFmtId="3" fontId="44" fillId="5" borderId="0" xfId="0" applyNumberFormat="1" applyFont="1" applyFill="1" applyBorder="1"/>
    <xf numFmtId="0" fontId="0" fillId="4" borderId="0" xfId="0" applyFill="1" applyBorder="1"/>
    <xf numFmtId="0" fontId="43" fillId="5" borderId="0" xfId="0" applyFont="1" applyFill="1" applyBorder="1" applyAlignment="1"/>
    <xf numFmtId="3" fontId="43" fillId="5" borderId="0" xfId="0" applyNumberFormat="1" applyFont="1" applyFill="1" applyBorder="1" applyAlignment="1"/>
    <xf numFmtId="3" fontId="44" fillId="5" borderId="0" xfId="0" applyNumberFormat="1" applyFont="1" applyFill="1" applyBorder="1" applyAlignment="1"/>
    <xf numFmtId="0" fontId="43" fillId="0" borderId="0" xfId="0" applyFont="1" applyBorder="1" applyAlignment="1"/>
    <xf numFmtId="0" fontId="45" fillId="4" borderId="0" xfId="0" applyFont="1" applyFill="1" applyBorder="1" applyAlignment="1">
      <alignment horizontal="center" wrapText="1"/>
    </xf>
    <xf numFmtId="0" fontId="45" fillId="4" borderId="0" xfId="0" applyFont="1" applyFill="1" applyBorder="1" applyAlignment="1">
      <alignment shrinkToFit="1"/>
    </xf>
    <xf numFmtId="0" fontId="62" fillId="4" borderId="0" xfId="0" applyFont="1" applyFill="1" applyBorder="1" applyAlignment="1">
      <alignment shrinkToFit="1"/>
    </xf>
    <xf numFmtId="2" fontId="43" fillId="0" borderId="0" xfId="0" applyNumberFormat="1" applyFont="1" applyBorder="1" applyAlignment="1">
      <alignment horizontal="center" wrapText="1"/>
    </xf>
    <xf numFmtId="2" fontId="43" fillId="0" borderId="0" xfId="0" applyNumberFormat="1" applyFont="1" applyBorder="1" applyAlignment="1">
      <alignment horizontal="right" wrapText="1"/>
    </xf>
    <xf numFmtId="2" fontId="62" fillId="0" borderId="0" xfId="0" applyNumberFormat="1" applyFont="1" applyBorder="1" applyAlignment="1">
      <alignment horizontal="right" wrapText="1"/>
    </xf>
    <xf numFmtId="0" fontId="43" fillId="0" borderId="0" xfId="0" applyFont="1" applyBorder="1" applyAlignment="1">
      <alignment horizontal="left"/>
    </xf>
    <xf numFmtId="0" fontId="60" fillId="0" borderId="0" xfId="0" applyFont="1"/>
    <xf numFmtId="0" fontId="43" fillId="5" borderId="0" xfId="0" applyFont="1" applyFill="1" applyBorder="1" applyAlignment="1">
      <alignment horizontal="left"/>
    </xf>
    <xf numFmtId="0" fontId="45" fillId="4" borderId="0" xfId="0" applyFont="1" applyFill="1" applyBorder="1" applyAlignment="1">
      <alignment horizontal="center" shrinkToFit="1"/>
    </xf>
    <xf numFmtId="0" fontId="43" fillId="4" borderId="0" xfId="0" applyFont="1" applyFill="1" applyBorder="1" applyAlignment="1">
      <alignment horizontal="left"/>
    </xf>
    <xf numFmtId="165" fontId="45" fillId="5" borderId="0" xfId="4" applyNumberFormat="1" applyFont="1" applyFill="1" applyBorder="1" applyAlignment="1">
      <alignment horizontal="left"/>
    </xf>
    <xf numFmtId="0" fontId="43" fillId="5" borderId="27" xfId="0" applyFont="1" applyFill="1" applyBorder="1" applyAlignment="1">
      <alignment horizontal="left"/>
    </xf>
    <xf numFmtId="165" fontId="45" fillId="5" borderId="27" xfId="4" applyNumberFormat="1" applyFont="1" applyFill="1" applyBorder="1" applyAlignment="1">
      <alignment horizontal="left"/>
    </xf>
    <xf numFmtId="0" fontId="43" fillId="5" borderId="35" xfId="0" applyFont="1" applyFill="1" applyBorder="1" applyAlignment="1">
      <alignment horizontal="left"/>
    </xf>
    <xf numFmtId="0" fontId="43" fillId="4" borderId="31" xfId="0" applyFont="1" applyFill="1" applyBorder="1" applyAlignment="1">
      <alignment horizontal="center"/>
    </xf>
    <xf numFmtId="0" fontId="0" fillId="0" borderId="34" xfId="0" applyBorder="1" applyAlignment="1"/>
    <xf numFmtId="0" fontId="0" fillId="0" borderId="30" xfId="0" applyBorder="1" applyAlignment="1"/>
    <xf numFmtId="0" fontId="0" fillId="0" borderId="36" xfId="0" applyBorder="1" applyAlignment="1"/>
    <xf numFmtId="3" fontId="45" fillId="0" borderId="0" xfId="5" applyNumberFormat="1" applyFont="1" applyBorder="1"/>
    <xf numFmtId="3" fontId="50" fillId="0" borderId="0" xfId="5" applyNumberFormat="1" applyFont="1" applyBorder="1"/>
    <xf numFmtId="3" fontId="45" fillId="0" borderId="0" xfId="6" applyNumberFormat="1" applyFont="1" applyBorder="1"/>
    <xf numFmtId="3" fontId="43" fillId="0" borderId="0" xfId="0" applyNumberFormat="1" applyFont="1"/>
    <xf numFmtId="0" fontId="26" fillId="0" borderId="0" xfId="0" applyFont="1"/>
    <xf numFmtId="164" fontId="0" fillId="0" borderId="0" xfId="1" applyNumberFormat="1" applyFont="1"/>
    <xf numFmtId="9" fontId="43" fillId="0" borderId="0" xfId="0" applyNumberFormat="1" applyFont="1"/>
    <xf numFmtId="0" fontId="45" fillId="4" borderId="0" xfId="6" applyFont="1" applyFill="1" applyBorder="1" applyAlignment="1">
      <alignment horizontal="center"/>
    </xf>
    <xf numFmtId="164" fontId="45" fillId="4" borderId="0" xfId="6" applyNumberFormat="1" applyFont="1" applyFill="1" applyBorder="1" applyAlignment="1">
      <alignment horizontal="center"/>
    </xf>
    <xf numFmtId="164" fontId="43" fillId="4" borderId="0" xfId="1" applyNumberFormat="1" applyFont="1" applyFill="1" applyBorder="1" applyAlignment="1">
      <alignment horizontal="center"/>
    </xf>
    <xf numFmtId="0" fontId="45" fillId="4" borderId="0" xfId="6" applyFont="1" applyFill="1" applyBorder="1"/>
    <xf numFmtId="0" fontId="50" fillId="4" borderId="0" xfId="6" applyFont="1" applyFill="1" applyBorder="1"/>
    <xf numFmtId="0" fontId="0" fillId="4" borderId="32" xfId="0" applyFill="1" applyBorder="1" applyAlignment="1">
      <alignment horizontal="center"/>
    </xf>
    <xf numFmtId="0" fontId="0" fillId="4" borderId="33" xfId="0" applyFill="1" applyBorder="1" applyAlignment="1">
      <alignment horizontal="center"/>
    </xf>
    <xf numFmtId="3" fontId="43" fillId="0" borderId="0" xfId="1" applyNumberFormat="1" applyFont="1" applyBorder="1"/>
    <xf numFmtId="3" fontId="45" fillId="0" borderId="0" xfId="6" applyNumberFormat="1" applyFont="1" applyFill="1" applyBorder="1"/>
    <xf numFmtId="4" fontId="43" fillId="4" borderId="0" xfId="0" applyNumberFormat="1" applyFont="1" applyFill="1"/>
    <xf numFmtId="3" fontId="44" fillId="0" borderId="0" xfId="0" applyNumberFormat="1" applyFont="1"/>
    <xf numFmtId="0" fontId="43" fillId="5" borderId="27" xfId="0" applyFont="1" applyFill="1" applyBorder="1" applyAlignment="1">
      <alignment horizontal="center"/>
    </xf>
    <xf numFmtId="0" fontId="0" fillId="5" borderId="0" xfId="0" applyFill="1" applyBorder="1" applyAlignment="1">
      <alignment horizontal="center"/>
    </xf>
    <xf numFmtId="0" fontId="0" fillId="5" borderId="34" xfId="0" applyFill="1" applyBorder="1" applyAlignment="1">
      <alignment horizontal="center"/>
    </xf>
    <xf numFmtId="164" fontId="45" fillId="5" borderId="0" xfId="5" applyNumberFormat="1" applyFont="1" applyFill="1" applyBorder="1" applyAlignment="1">
      <alignment horizontal="center"/>
    </xf>
    <xf numFmtId="164" fontId="45" fillId="5" borderId="0" xfId="6" applyNumberFormat="1" applyFont="1" applyFill="1" applyBorder="1" applyAlignment="1">
      <alignment horizontal="center"/>
    </xf>
    <xf numFmtId="164" fontId="43" fillId="5" borderId="0" xfId="1" applyNumberFormat="1" applyFont="1" applyFill="1" applyBorder="1" applyAlignment="1">
      <alignment horizontal="center"/>
    </xf>
    <xf numFmtId="0" fontId="50" fillId="4" borderId="0" xfId="6" applyFont="1" applyFill="1" applyBorder="1" applyAlignment="1">
      <alignment horizontal="left"/>
    </xf>
    <xf numFmtId="0" fontId="57" fillId="5" borderId="0" xfId="0" applyFont="1" applyFill="1" applyBorder="1"/>
    <xf numFmtId="0" fontId="11" fillId="5" borderId="0" xfId="0" applyFont="1" applyFill="1" applyBorder="1"/>
    <xf numFmtId="0" fontId="57" fillId="0" borderId="0" xfId="0" applyFont="1"/>
    <xf numFmtId="0" fontId="0" fillId="5" borderId="0" xfId="0" applyFont="1" applyFill="1" applyBorder="1"/>
    <xf numFmtId="0" fontId="55" fillId="0" borderId="0" xfId="0" applyFont="1"/>
    <xf numFmtId="0" fontId="0" fillId="5" borderId="0" xfId="0" applyFill="1" applyBorder="1" applyAlignment="1"/>
    <xf numFmtId="165" fontId="11" fillId="5" borderId="0" xfId="0" applyNumberFormat="1" applyFont="1" applyFill="1" applyBorder="1"/>
    <xf numFmtId="0" fontId="63" fillId="0" borderId="0" xfId="0" applyFont="1"/>
    <xf numFmtId="0" fontId="61" fillId="0" borderId="0" xfId="0" applyFont="1"/>
    <xf numFmtId="0" fontId="64" fillId="0" borderId="0" xfId="0" applyFont="1"/>
    <xf numFmtId="0" fontId="61" fillId="0" borderId="0" xfId="0" applyFont="1" applyAlignment="1"/>
    <xf numFmtId="0" fontId="23" fillId="0" borderId="0" xfId="0" applyFont="1"/>
    <xf numFmtId="0" fontId="61" fillId="0" borderId="0" xfId="7" applyFont="1" applyAlignment="1" applyProtection="1"/>
    <xf numFmtId="3" fontId="0" fillId="5" borderId="0" xfId="0" applyNumberFormat="1" applyFill="1" applyBorder="1"/>
    <xf numFmtId="0" fontId="45" fillId="5" borderId="0" xfId="0" applyFont="1" applyFill="1" applyBorder="1" applyAlignment="1">
      <alignment horizontal="center"/>
    </xf>
    <xf numFmtId="0" fontId="45" fillId="6" borderId="0" xfId="0" applyFont="1" applyFill="1" applyBorder="1" applyAlignment="1">
      <alignment horizontal="left"/>
    </xf>
    <xf numFmtId="0" fontId="45" fillId="6" borderId="0" xfId="0" applyFont="1" applyFill="1" applyBorder="1" applyAlignment="1">
      <alignment horizontal="center"/>
    </xf>
    <xf numFmtId="3" fontId="57" fillId="0" borderId="0" xfId="0" applyNumberFormat="1" applyFont="1" applyBorder="1"/>
    <xf numFmtId="3" fontId="45" fillId="5" borderId="0" xfId="0" applyNumberFormat="1" applyFont="1" applyFill="1" applyBorder="1" applyAlignment="1">
      <alignment horizontal="center"/>
    </xf>
    <xf numFmtId="0" fontId="57" fillId="5" borderId="0" xfId="0" applyFont="1" applyFill="1"/>
    <xf numFmtId="0" fontId="57" fillId="4" borderId="0" xfId="0" applyFont="1" applyFill="1" applyBorder="1"/>
    <xf numFmtId="3" fontId="57" fillId="0" borderId="0" xfId="0" applyNumberFormat="1" applyFont="1"/>
    <xf numFmtId="3" fontId="57" fillId="5" borderId="0" xfId="0" applyNumberFormat="1" applyFont="1" applyFill="1" applyBorder="1"/>
    <xf numFmtId="0" fontId="57" fillId="5" borderId="0" xfId="0" applyFont="1" applyFill="1" applyBorder="1" applyAlignment="1">
      <alignment horizontal="center" vertical="center"/>
    </xf>
    <xf numFmtId="0" fontId="57" fillId="0" borderId="0" xfId="0" applyFont="1" applyBorder="1"/>
    <xf numFmtId="0" fontId="46" fillId="5" borderId="0" xfId="0" applyFont="1" applyFill="1"/>
    <xf numFmtId="0" fontId="46" fillId="0" borderId="0" xfId="0" applyFont="1"/>
    <xf numFmtId="0" fontId="65" fillId="0" borderId="0" xfId="0" applyFont="1" applyBorder="1"/>
    <xf numFmtId="3" fontId="32" fillId="5" borderId="0" xfId="0" applyNumberFormat="1" applyFont="1" applyFill="1" applyBorder="1" applyProtection="1">
      <protection hidden="1"/>
    </xf>
    <xf numFmtId="3" fontId="56" fillId="5" borderId="0" xfId="0" applyNumberFormat="1" applyFont="1" applyFill="1" applyBorder="1" applyAlignment="1" applyProtection="1">
      <alignment horizontal="center"/>
      <protection hidden="1"/>
    </xf>
    <xf numFmtId="3" fontId="32" fillId="0" borderId="0" xfId="0" applyNumberFormat="1" applyFont="1" applyBorder="1" applyProtection="1">
      <protection hidden="1"/>
    </xf>
    <xf numFmtId="0" fontId="44" fillId="0" borderId="0" xfId="0" applyFont="1" applyAlignment="1"/>
    <xf numFmtId="0" fontId="0" fillId="8" borderId="0" xfId="0" applyFill="1"/>
    <xf numFmtId="0" fontId="44" fillId="5" borderId="0" xfId="0" applyFont="1" applyFill="1"/>
    <xf numFmtId="0" fontId="37" fillId="4" borderId="0" xfId="0" applyFont="1" applyFill="1"/>
    <xf numFmtId="165" fontId="43" fillId="5" borderId="0" xfId="0" applyNumberFormat="1" applyFont="1" applyFill="1" applyAlignment="1">
      <alignment horizontal="center"/>
    </xf>
    <xf numFmtId="0" fontId="56" fillId="0" borderId="0" xfId="0" applyFont="1"/>
    <xf numFmtId="0" fontId="66" fillId="0" borderId="0" xfId="0" applyFont="1"/>
    <xf numFmtId="0" fontId="32" fillId="0" borderId="0" xfId="0" applyFont="1" applyBorder="1"/>
    <xf numFmtId="0" fontId="43" fillId="5" borderId="0" xfId="0" applyFont="1" applyFill="1" applyAlignment="1"/>
    <xf numFmtId="0" fontId="37" fillId="5" borderId="0" xfId="0" applyFont="1" applyFill="1" applyAlignment="1"/>
    <xf numFmtId="0" fontId="0" fillId="0" borderId="0" xfId="0" applyFont="1" applyAlignment="1">
      <alignment horizontal="left"/>
    </xf>
    <xf numFmtId="0" fontId="0" fillId="0" borderId="31" xfId="0" applyBorder="1"/>
    <xf numFmtId="0" fontId="55" fillId="0" borderId="32" xfId="0" applyFont="1" applyBorder="1"/>
    <xf numFmtId="0" fontId="55" fillId="0" borderId="33" xfId="0" applyFont="1" applyFill="1" applyBorder="1"/>
    <xf numFmtId="0" fontId="55" fillId="0" borderId="27" xfId="0" applyFont="1" applyBorder="1"/>
    <xf numFmtId="0" fontId="0" fillId="0" borderId="27" xfId="0" applyBorder="1"/>
    <xf numFmtId="164" fontId="0" fillId="0" borderId="34" xfId="1" applyNumberFormat="1" applyFont="1" applyBorder="1"/>
    <xf numFmtId="3" fontId="55" fillId="0" borderId="0" xfId="0" applyNumberFormat="1" applyFont="1" applyBorder="1"/>
    <xf numFmtId="164" fontId="55" fillId="0" borderId="34" xfId="1" applyNumberFormat="1" applyFont="1" applyBorder="1"/>
    <xf numFmtId="0" fontId="55" fillId="0" borderId="35" xfId="0" applyFont="1" applyBorder="1"/>
    <xf numFmtId="3" fontId="55" fillId="0" borderId="30" xfId="0" applyNumberFormat="1" applyFont="1" applyBorder="1"/>
    <xf numFmtId="3" fontId="43" fillId="0" borderId="0" xfId="0" applyNumberFormat="1" applyFont="1" applyBorder="1" applyAlignment="1">
      <alignment horizontal="left"/>
    </xf>
    <xf numFmtId="164" fontId="43" fillId="0" borderId="0" xfId="1" applyNumberFormat="1" applyFont="1" applyBorder="1" applyAlignment="1">
      <alignment horizontal="left"/>
    </xf>
    <xf numFmtId="0" fontId="44" fillId="4" borderId="0" xfId="0" applyFont="1" applyFill="1" applyBorder="1" applyAlignment="1">
      <alignment horizontal="left"/>
    </xf>
    <xf numFmtId="0" fontId="44" fillId="0" borderId="0" xfId="0" applyFont="1" applyAlignment="1">
      <alignment wrapText="1"/>
    </xf>
    <xf numFmtId="0" fontId="66" fillId="0" borderId="0" xfId="0" applyFont="1" applyAlignment="1">
      <alignment horizontal="center"/>
    </xf>
    <xf numFmtId="8" fontId="56" fillId="0" borderId="0" xfId="0" applyNumberFormat="1" applyFont="1"/>
    <xf numFmtId="0" fontId="32" fillId="5" borderId="0" xfId="0" applyFont="1" applyFill="1" applyBorder="1"/>
    <xf numFmtId="0" fontId="32" fillId="5" borderId="0" xfId="0" applyFont="1" applyFill="1"/>
    <xf numFmtId="0" fontId="67" fillId="0" borderId="0" xfId="0" applyFont="1" applyBorder="1"/>
    <xf numFmtId="0" fontId="37" fillId="6" borderId="0" xfId="0" applyFont="1" applyFill="1"/>
    <xf numFmtId="0" fontId="43" fillId="0" borderId="0" xfId="0" applyFont="1" applyAlignment="1">
      <alignment vertical="center" wrapText="1"/>
    </xf>
    <xf numFmtId="3" fontId="58" fillId="0" borderId="37" xfId="0" applyNumberFormat="1" applyFont="1" applyBorder="1" applyAlignment="1">
      <alignment horizontal="right" vertical="top" wrapText="1"/>
    </xf>
    <xf numFmtId="3" fontId="58" fillId="0" borderId="29" xfId="0" applyNumberFormat="1" applyFont="1" applyBorder="1" applyAlignment="1">
      <alignment horizontal="right" vertical="top" wrapText="1"/>
    </xf>
    <xf numFmtId="3" fontId="58" fillId="0" borderId="38" xfId="0" applyNumberFormat="1" applyFont="1" applyBorder="1" applyAlignment="1">
      <alignment horizontal="right" vertical="top" wrapText="1"/>
    </xf>
    <xf numFmtId="3" fontId="58" fillId="0" borderId="16" xfId="0" applyNumberFormat="1" applyFont="1" applyBorder="1" applyAlignment="1">
      <alignment horizontal="right" vertical="top" wrapText="1"/>
    </xf>
    <xf numFmtId="0" fontId="68" fillId="3" borderId="7" xfId="0" applyFont="1" applyFill="1" applyBorder="1" applyAlignment="1">
      <alignment horizontal="center" vertical="top"/>
    </xf>
    <xf numFmtId="0" fontId="43" fillId="4" borderId="0" xfId="0" applyFont="1" applyFill="1" applyAlignment="1">
      <alignment horizontal="center" vertical="center"/>
    </xf>
    <xf numFmtId="0" fontId="43" fillId="4" borderId="0" xfId="0" applyFont="1" applyFill="1" applyAlignment="1">
      <alignment horizontal="center" vertical="center" wrapText="1"/>
    </xf>
    <xf numFmtId="0" fontId="33" fillId="0" borderId="0" xfId="7" applyAlignment="1" applyProtection="1"/>
    <xf numFmtId="10" fontId="0" fillId="0" borderId="0" xfId="0" applyNumberFormat="1"/>
    <xf numFmtId="10" fontId="43" fillId="0" borderId="0" xfId="0" applyNumberFormat="1" applyFont="1" applyBorder="1" applyAlignment="1">
      <alignment horizontal="center"/>
    </xf>
    <xf numFmtId="10" fontId="56" fillId="0" borderId="0" xfId="0" applyNumberFormat="1" applyFont="1" applyBorder="1" applyAlignment="1" applyProtection="1">
      <alignment horizontal="center"/>
      <protection hidden="1"/>
    </xf>
    <xf numFmtId="0" fontId="70" fillId="2" borderId="4" xfId="0" applyFont="1" applyFill="1" applyBorder="1" applyAlignment="1">
      <alignment horizontal="center" wrapText="1"/>
    </xf>
    <xf numFmtId="0" fontId="70" fillId="2" borderId="0" xfId="0" applyFont="1" applyFill="1" applyBorder="1" applyAlignment="1">
      <alignment horizontal="center" wrapText="1"/>
    </xf>
    <xf numFmtId="0" fontId="70" fillId="2" borderId="5" xfId="0" applyFont="1" applyFill="1" applyBorder="1" applyAlignment="1">
      <alignment horizontal="center" wrapText="1"/>
    </xf>
    <xf numFmtId="0" fontId="68" fillId="3" borderId="4" xfId="0" applyFont="1" applyFill="1" applyBorder="1" applyAlignment="1">
      <alignment horizontal="center"/>
    </xf>
    <xf numFmtId="3" fontId="68" fillId="3" borderId="0" xfId="0" applyNumberFormat="1" applyFont="1" applyFill="1" applyAlignment="1">
      <alignment horizontal="center"/>
    </xf>
    <xf numFmtId="8" fontId="68" fillId="3" borderId="0" xfId="0" applyNumberFormat="1" applyFont="1" applyFill="1" applyAlignment="1">
      <alignment horizontal="center"/>
    </xf>
    <xf numFmtId="0" fontId="68" fillId="3" borderId="0" xfId="0" applyFont="1" applyFill="1" applyAlignment="1">
      <alignment horizontal="center"/>
    </xf>
    <xf numFmtId="0" fontId="68" fillId="3" borderId="5" xfId="0" applyFont="1" applyFill="1" applyBorder="1" applyAlignment="1">
      <alignment horizontal="center"/>
    </xf>
    <xf numFmtId="8" fontId="68" fillId="3" borderId="5" xfId="0" applyNumberFormat="1" applyFont="1" applyFill="1" applyBorder="1" applyAlignment="1">
      <alignment horizontal="center"/>
    </xf>
    <xf numFmtId="0" fontId="68" fillId="3" borderId="6" xfId="0" applyFont="1" applyFill="1" applyBorder="1" applyAlignment="1">
      <alignment horizontal="center"/>
    </xf>
    <xf numFmtId="3" fontId="68" fillId="3" borderId="7" xfId="0" applyNumberFormat="1" applyFont="1" applyFill="1" applyBorder="1" applyAlignment="1">
      <alignment horizontal="center"/>
    </xf>
    <xf numFmtId="8" fontId="68" fillId="3" borderId="7" xfId="0" applyNumberFormat="1" applyFont="1" applyFill="1" applyBorder="1" applyAlignment="1">
      <alignment horizontal="center"/>
    </xf>
    <xf numFmtId="8" fontId="68" fillId="3" borderId="8" xfId="0" applyNumberFormat="1" applyFont="1" applyFill="1" applyBorder="1" applyAlignment="1">
      <alignment horizontal="center"/>
    </xf>
    <xf numFmtId="0" fontId="71" fillId="3" borderId="0" xfId="0" applyFont="1" applyFill="1" applyAlignment="1">
      <alignment horizontal="center"/>
    </xf>
    <xf numFmtId="0" fontId="70" fillId="2" borderId="1" xfId="0" applyFont="1" applyFill="1" applyBorder="1" applyAlignment="1">
      <alignment horizontal="center" vertical="center" wrapText="1"/>
    </xf>
    <xf numFmtId="0" fontId="70" fillId="2" borderId="2" xfId="0" applyFont="1" applyFill="1" applyBorder="1" applyAlignment="1">
      <alignment horizontal="center" vertical="center" wrapText="1"/>
    </xf>
    <xf numFmtId="0" fontId="70" fillId="2" borderId="3" xfId="0" applyFont="1" applyFill="1" applyBorder="1" applyAlignment="1">
      <alignment horizontal="center" vertical="center" wrapText="1"/>
    </xf>
    <xf numFmtId="0" fontId="71" fillId="3" borderId="0" xfId="0" applyFont="1" applyFill="1"/>
    <xf numFmtId="0" fontId="68" fillId="3" borderId="4" xfId="0" applyFont="1" applyFill="1" applyBorder="1" applyAlignment="1">
      <alignment horizontal="right" vertical="top"/>
    </xf>
    <xf numFmtId="3" fontId="68" fillId="3" borderId="0" xfId="0" applyNumberFormat="1" applyFont="1" applyFill="1" applyAlignment="1">
      <alignment horizontal="right" vertical="top"/>
    </xf>
    <xf numFmtId="6" fontId="68" fillId="3" borderId="0" xfId="0" applyNumberFormat="1" applyFont="1" applyFill="1" applyAlignment="1">
      <alignment horizontal="right" vertical="top"/>
    </xf>
    <xf numFmtId="0" fontId="68" fillId="3" borderId="0" xfId="0" applyFont="1" applyFill="1" applyAlignment="1">
      <alignment horizontal="right" vertical="top"/>
    </xf>
    <xf numFmtId="0" fontId="68" fillId="3" borderId="5" xfId="0" applyFont="1" applyFill="1" applyBorder="1" applyAlignment="1">
      <alignment horizontal="right" vertical="top"/>
    </xf>
    <xf numFmtId="8" fontId="71" fillId="3" borderId="0" xfId="0" applyNumberFormat="1" applyFont="1" applyFill="1"/>
    <xf numFmtId="6" fontId="68" fillId="3" borderId="5" xfId="0" applyNumberFormat="1" applyFont="1" applyFill="1" applyBorder="1" applyAlignment="1">
      <alignment horizontal="right" vertical="top"/>
    </xf>
    <xf numFmtId="10" fontId="71" fillId="3" borderId="0" xfId="8" applyNumberFormat="1" applyFont="1" applyFill="1"/>
    <xf numFmtId="0" fontId="68" fillId="3" borderId="6" xfId="0" applyFont="1" applyFill="1" applyBorder="1" applyAlignment="1">
      <alignment horizontal="right" vertical="top"/>
    </xf>
    <xf numFmtId="3" fontId="68" fillId="3" borderId="7" xfId="0" applyNumberFormat="1" applyFont="1" applyFill="1" applyBorder="1" applyAlignment="1">
      <alignment horizontal="right" vertical="top"/>
    </xf>
    <xf numFmtId="6" fontId="68" fillId="3" borderId="7" xfId="0" applyNumberFormat="1" applyFont="1" applyFill="1" applyBorder="1" applyAlignment="1">
      <alignment horizontal="right" vertical="top"/>
    </xf>
    <xf numFmtId="6" fontId="68" fillId="3" borderId="8" xfId="0" applyNumberFormat="1" applyFont="1" applyFill="1" applyBorder="1" applyAlignment="1">
      <alignment horizontal="right" vertical="top"/>
    </xf>
    <xf numFmtId="0" fontId="45" fillId="0" borderId="0" xfId="0" applyFont="1" applyAlignment="1">
      <alignment horizontal="center"/>
    </xf>
    <xf numFmtId="0" fontId="45" fillId="0" borderId="0" xfId="0" applyFont="1" applyProtection="1">
      <protection hidden="1"/>
    </xf>
    <xf numFmtId="0" fontId="45" fillId="0" borderId="0" xfId="0" applyFont="1"/>
    <xf numFmtId="10" fontId="68" fillId="3" borderId="0" xfId="0" applyNumberFormat="1" applyFont="1" applyFill="1" applyAlignment="1">
      <alignment horizontal="center"/>
    </xf>
    <xf numFmtId="3" fontId="32" fillId="5" borderId="0" xfId="0" applyNumberFormat="1" applyFont="1" applyFill="1"/>
    <xf numFmtId="3" fontId="0" fillId="0" borderId="0" xfId="0" applyNumberFormat="1" applyAlignment="1">
      <alignment horizontal="center"/>
    </xf>
    <xf numFmtId="10" fontId="0" fillId="0" borderId="0" xfId="0" applyNumberFormat="1" applyAlignment="1">
      <alignment horizontal="center"/>
    </xf>
    <xf numFmtId="6" fontId="0" fillId="0" borderId="0" xfId="0" applyNumberFormat="1"/>
    <xf numFmtId="0" fontId="18" fillId="2" borderId="4"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5" xfId="0" applyFont="1" applyFill="1" applyBorder="1" applyAlignment="1">
      <alignment horizontal="center" vertical="center" wrapText="1"/>
    </xf>
    <xf numFmtId="3" fontId="72" fillId="0" borderId="12" xfId="0" applyNumberFormat="1" applyFont="1" applyBorder="1" applyAlignment="1">
      <alignment horizontal="right" wrapText="1"/>
    </xf>
    <xf numFmtId="3" fontId="73" fillId="0" borderId="0" xfId="0" applyNumberFormat="1" applyFont="1" applyAlignment="1">
      <alignment horizontal="right" wrapText="1"/>
    </xf>
    <xf numFmtId="10" fontId="72" fillId="0" borderId="12" xfId="0" applyNumberFormat="1" applyFont="1" applyBorder="1" applyAlignment="1">
      <alignment horizontal="right" wrapText="1"/>
    </xf>
    <xf numFmtId="10" fontId="73" fillId="0" borderId="0" xfId="0" applyNumberFormat="1" applyFont="1" applyAlignment="1">
      <alignment horizontal="right" wrapText="1"/>
    </xf>
    <xf numFmtId="0" fontId="72" fillId="0" borderId="12" xfId="0" applyFont="1" applyBorder="1" applyAlignment="1">
      <alignment horizontal="right" wrapText="1"/>
    </xf>
    <xf numFmtId="0" fontId="73" fillId="0" borderId="0" xfId="0" applyFont="1" applyAlignment="1">
      <alignment horizontal="right" wrapText="1"/>
    </xf>
    <xf numFmtId="0" fontId="10" fillId="0" borderId="12" xfId="0" applyFont="1" applyBorder="1" applyAlignment="1">
      <alignment horizontal="right" wrapText="1"/>
    </xf>
    <xf numFmtId="0" fontId="74" fillId="0" borderId="0" xfId="0" applyFont="1" applyAlignment="1">
      <alignment horizontal="right" wrapText="1"/>
    </xf>
    <xf numFmtId="10" fontId="26" fillId="0" borderId="12" xfId="0" applyNumberFormat="1" applyFont="1" applyBorder="1" applyAlignment="1">
      <alignment horizontal="right" wrapText="1"/>
    </xf>
    <xf numFmtId="0" fontId="26" fillId="0" borderId="12" xfId="0" applyFont="1" applyBorder="1" applyAlignment="1">
      <alignment horizontal="right" wrapText="1"/>
    </xf>
    <xf numFmtId="10" fontId="75" fillId="0" borderId="0" xfId="0" applyNumberFormat="1" applyFont="1" applyAlignment="1">
      <alignment horizontal="right" wrapText="1"/>
    </xf>
    <xf numFmtId="0" fontId="75" fillId="0" borderId="0" xfId="0" applyFont="1" applyAlignment="1">
      <alignment horizontal="right" wrapText="1"/>
    </xf>
    <xf numFmtId="0" fontId="76" fillId="0" borderId="12" xfId="0" applyFont="1" applyBorder="1" applyAlignment="1">
      <alignment horizontal="right" wrapText="1"/>
    </xf>
    <xf numFmtId="10" fontId="76" fillId="0" borderId="12" xfId="0" applyNumberFormat="1" applyFont="1" applyBorder="1" applyAlignment="1">
      <alignment horizontal="right" wrapText="1"/>
    </xf>
    <xf numFmtId="3" fontId="77" fillId="0" borderId="0" xfId="0" applyNumberFormat="1" applyFont="1" applyAlignment="1">
      <alignment horizontal="right" wrapText="1"/>
    </xf>
    <xf numFmtId="10" fontId="77" fillId="0" borderId="0" xfId="0" applyNumberFormat="1" applyFont="1" applyAlignment="1">
      <alignment horizontal="right" wrapText="1"/>
    </xf>
    <xf numFmtId="0" fontId="77" fillId="0" borderId="0" xfId="0" applyFont="1" applyAlignment="1">
      <alignment horizontal="right" wrapText="1"/>
    </xf>
    <xf numFmtId="0" fontId="78" fillId="3" borderId="4" xfId="0" applyFont="1" applyFill="1" applyBorder="1" applyAlignment="1">
      <alignment horizontal="center" vertical="top"/>
    </xf>
    <xf numFmtId="3" fontId="26" fillId="0" borderId="12" xfId="0" applyNumberFormat="1" applyFont="1" applyBorder="1" applyAlignment="1">
      <alignment horizontal="right" wrapText="1"/>
    </xf>
    <xf numFmtId="0" fontId="78" fillId="3" borderId="0" xfId="0" applyFont="1" applyFill="1" applyAlignment="1">
      <alignment horizontal="center" vertical="top"/>
    </xf>
    <xf numFmtId="3" fontId="75" fillId="0" borderId="0" xfId="0" applyNumberFormat="1" applyFont="1" applyAlignment="1">
      <alignment horizontal="right" wrapText="1"/>
    </xf>
    <xf numFmtId="3" fontId="78" fillId="3" borderId="0" xfId="0" applyNumberFormat="1" applyFont="1" applyFill="1" applyAlignment="1">
      <alignment horizontal="center" vertical="top"/>
    </xf>
    <xf numFmtId="6" fontId="78" fillId="3" borderId="0" xfId="0" applyNumberFormat="1" applyFont="1" applyFill="1" applyAlignment="1">
      <alignment horizontal="center" vertical="top"/>
    </xf>
    <xf numFmtId="6" fontId="78" fillId="3" borderId="0" xfId="0" applyNumberFormat="1" applyFont="1" applyFill="1" applyAlignment="1">
      <alignment horizontal="right" vertical="top"/>
    </xf>
    <xf numFmtId="10" fontId="78" fillId="3" borderId="0" xfId="0" applyNumberFormat="1" applyFont="1" applyFill="1" applyAlignment="1">
      <alignment horizontal="center" vertical="top"/>
    </xf>
    <xf numFmtId="0" fontId="79" fillId="3" borderId="0" xfId="0" applyFont="1" applyFill="1" applyAlignment="1">
      <alignment horizontal="center" vertical="top"/>
    </xf>
    <xf numFmtId="0" fontId="72" fillId="0" borderId="14" xfId="0" applyFont="1" applyBorder="1" applyAlignment="1">
      <alignment horizontal="right" wrapText="1"/>
    </xf>
    <xf numFmtId="0" fontId="73" fillId="0" borderId="15" xfId="0" applyFont="1" applyBorder="1" applyAlignment="1">
      <alignment horizontal="right" wrapText="1"/>
    </xf>
    <xf numFmtId="0" fontId="80" fillId="2" borderId="1" xfId="0" applyFont="1" applyFill="1" applyBorder="1" applyAlignment="1">
      <alignment horizontal="center" vertical="center" wrapText="1"/>
    </xf>
    <xf numFmtId="0" fontId="80" fillId="2" borderId="2" xfId="0" applyFont="1" applyFill="1" applyBorder="1" applyAlignment="1">
      <alignment horizontal="center" vertical="center" wrapText="1"/>
    </xf>
    <xf numFmtId="0" fontId="81" fillId="3" borderId="4" xfId="0" applyFont="1" applyFill="1" applyBorder="1" applyAlignment="1">
      <alignment horizontal="center" vertical="top"/>
    </xf>
    <xf numFmtId="3" fontId="76" fillId="0" borderId="12" xfId="0" applyNumberFormat="1" applyFont="1" applyBorder="1" applyAlignment="1">
      <alignment horizontal="right" wrapText="1"/>
    </xf>
    <xf numFmtId="0" fontId="76" fillId="0" borderId="14" xfId="0" applyFont="1" applyBorder="1" applyAlignment="1">
      <alignment horizontal="right" wrapText="1"/>
    </xf>
    <xf numFmtId="10" fontId="81" fillId="3" borderId="0" xfId="0" applyNumberFormat="1" applyFont="1" applyFill="1" applyAlignment="1">
      <alignment horizontal="center" vertical="top"/>
    </xf>
    <xf numFmtId="0" fontId="77" fillId="0" borderId="15" xfId="0" applyFont="1" applyBorder="1" applyAlignment="1">
      <alignment horizontal="right" wrapText="1"/>
    </xf>
    <xf numFmtId="3" fontId="81" fillId="3" borderId="0" xfId="0" applyNumberFormat="1" applyFont="1" applyFill="1" applyAlignment="1">
      <alignment horizontal="center" vertical="top"/>
    </xf>
    <xf numFmtId="6" fontId="81" fillId="3" borderId="0" xfId="0" applyNumberFormat="1" applyFont="1" applyFill="1" applyAlignment="1">
      <alignment horizontal="center" vertical="top"/>
    </xf>
    <xf numFmtId="6" fontId="81" fillId="3" borderId="0" xfId="0" applyNumberFormat="1" applyFont="1" applyFill="1" applyAlignment="1">
      <alignment horizontal="right" vertical="top"/>
    </xf>
    <xf numFmtId="4" fontId="43" fillId="5" borderId="0" xfId="0" applyNumberFormat="1" applyFont="1" applyFill="1" applyAlignment="1">
      <alignment horizontal="center"/>
    </xf>
    <xf numFmtId="164" fontId="0" fillId="0" borderId="0" xfId="5" applyNumberFormat="1" applyFont="1"/>
    <xf numFmtId="164" fontId="0" fillId="9" borderId="0" xfId="0" applyNumberFormat="1" applyFill="1"/>
    <xf numFmtId="164" fontId="0" fillId="0" borderId="0" xfId="0" applyNumberFormat="1"/>
    <xf numFmtId="164" fontId="19" fillId="3" borderId="0" xfId="0" applyNumberFormat="1" applyFont="1" applyFill="1" applyAlignment="1">
      <alignment horizontal="center" vertical="top"/>
    </xf>
    <xf numFmtId="164" fontId="48" fillId="0" borderId="0" xfId="4" applyNumberFormat="1" applyFont="1" applyFill="1" applyBorder="1"/>
    <xf numFmtId="164" fontId="49" fillId="0" borderId="34" xfId="0" applyNumberFormat="1" applyFont="1" applyBorder="1"/>
    <xf numFmtId="164" fontId="22" fillId="0" borderId="0" xfId="4" applyNumberFormat="1" applyBorder="1"/>
    <xf numFmtId="164" fontId="48" fillId="0" borderId="0" xfId="6" applyNumberFormat="1" applyFont="1" applyBorder="1"/>
    <xf numFmtId="164" fontId="48" fillId="0" borderId="0" xfId="5" applyNumberFormat="1" applyFont="1" applyBorder="1"/>
    <xf numFmtId="3" fontId="48" fillId="0" borderId="0" xfId="6" applyNumberFormat="1" applyFont="1" applyBorder="1"/>
    <xf numFmtId="164" fontId="49" fillId="0" borderId="34" xfId="1" applyNumberFormat="1" applyFont="1" applyBorder="1"/>
    <xf numFmtId="6" fontId="0" fillId="0" borderId="0" xfId="5" applyNumberFormat="1" applyFont="1"/>
    <xf numFmtId="3" fontId="21" fillId="3" borderId="0" xfId="0" applyNumberFormat="1" applyFont="1" applyFill="1"/>
    <xf numFmtId="6" fontId="21" fillId="3" borderId="0" xfId="0" applyNumberFormat="1" applyFont="1" applyFill="1"/>
    <xf numFmtId="8" fontId="0" fillId="0" borderId="0" xfId="0" applyNumberFormat="1"/>
    <xf numFmtId="0" fontId="0" fillId="4" borderId="0" xfId="0" applyFill="1"/>
    <xf numFmtId="164" fontId="57" fillId="0" borderId="0" xfId="0" applyNumberFormat="1" applyFont="1" applyFill="1" applyBorder="1" applyAlignment="1"/>
    <xf numFmtId="164" fontId="48" fillId="0" borderId="0" xfId="5" applyNumberFormat="1" applyFont="1" applyFill="1" applyBorder="1"/>
    <xf numFmtId="168" fontId="0" fillId="0" borderId="0" xfId="0" applyNumberFormat="1"/>
    <xf numFmtId="10" fontId="37" fillId="0" borderId="0" xfId="0" applyNumberFormat="1" applyFont="1"/>
    <xf numFmtId="10" fontId="66" fillId="0" borderId="0" xfId="0" applyNumberFormat="1" applyFont="1"/>
    <xf numFmtId="1" fontId="0" fillId="0" borderId="0" xfId="0" applyNumberFormat="1" applyAlignment="1">
      <alignment horizontal="center"/>
    </xf>
    <xf numFmtId="0" fontId="66" fillId="5" borderId="0" xfId="0" applyFont="1" applyFill="1"/>
    <xf numFmtId="0" fontId="82" fillId="5" borderId="0" xfId="0" applyFont="1" applyFill="1"/>
    <xf numFmtId="0" fontId="83" fillId="0" borderId="0" xfId="0" applyFont="1" applyAlignment="1">
      <alignment wrapText="1"/>
    </xf>
    <xf numFmtId="2" fontId="83" fillId="0" borderId="0" xfId="0" applyNumberFormat="1" applyFont="1" applyAlignment="1">
      <alignment wrapText="1"/>
    </xf>
    <xf numFmtId="0" fontId="43" fillId="4" borderId="0" xfId="0" applyFont="1" applyFill="1" applyAlignment="1">
      <alignment horizontal="center" wrapText="1"/>
    </xf>
    <xf numFmtId="0" fontId="44" fillId="4" borderId="0" xfId="0" applyFont="1" applyFill="1" applyAlignment="1">
      <alignment horizontal="center" wrapText="1"/>
    </xf>
    <xf numFmtId="0" fontId="44" fillId="4" borderId="0" xfId="0" applyFont="1" applyFill="1" applyAlignment="1">
      <alignment horizontal="left" wrapText="1"/>
    </xf>
    <xf numFmtId="0" fontId="43" fillId="0" borderId="0" xfId="0" applyFont="1" applyAlignment="1">
      <alignment horizontal="center" wrapText="1"/>
    </xf>
    <xf numFmtId="0" fontId="43" fillId="4" borderId="0" xfId="0" applyFont="1" applyFill="1" applyAlignment="1">
      <alignment horizontal="left" wrapText="1"/>
    </xf>
    <xf numFmtId="1" fontId="43" fillId="0" borderId="0" xfId="0" applyNumberFormat="1" applyFont="1" applyAlignment="1">
      <alignment horizontal="center" wrapText="1"/>
    </xf>
    <xf numFmtId="1" fontId="43" fillId="0" borderId="0" xfId="0" applyNumberFormat="1" applyFont="1" applyAlignment="1">
      <alignment horizontal="center"/>
    </xf>
    <xf numFmtId="0" fontId="44" fillId="4" borderId="0" xfId="0" applyFont="1" applyFill="1" applyAlignment="1">
      <alignment wrapText="1"/>
    </xf>
    <xf numFmtId="5" fontId="45" fillId="0" borderId="0" xfId="5" applyNumberFormat="1" applyFont="1" applyBorder="1" applyAlignment="1">
      <alignment horizontal="center"/>
    </xf>
    <xf numFmtId="5" fontId="45" fillId="0" borderId="0" xfId="4" applyNumberFormat="1" applyFont="1" applyBorder="1" applyAlignment="1">
      <alignment horizontal="center"/>
    </xf>
    <xf numFmtId="5" fontId="45" fillId="0" borderId="0" xfId="6" applyNumberFormat="1" applyFont="1" applyBorder="1" applyAlignment="1">
      <alignment horizontal="center"/>
    </xf>
    <xf numFmtId="5" fontId="45" fillId="0" borderId="0" xfId="6" applyNumberFormat="1" applyFont="1" applyFill="1" applyBorder="1" applyAlignment="1">
      <alignment horizontal="center"/>
    </xf>
    <xf numFmtId="5" fontId="43" fillId="0" borderId="0" xfId="1" applyNumberFormat="1" applyFont="1" applyBorder="1" applyAlignment="1">
      <alignment horizontal="center"/>
    </xf>
    <xf numFmtId="5" fontId="43" fillId="0" borderId="0" xfId="0" applyNumberFormat="1" applyFont="1" applyBorder="1" applyAlignment="1">
      <alignment horizontal="center"/>
    </xf>
    <xf numFmtId="167" fontId="43" fillId="5" borderId="0" xfId="0" applyNumberFormat="1" applyFont="1" applyFill="1" applyAlignment="1">
      <alignment horizontal="left"/>
    </xf>
    <xf numFmtId="167" fontId="43" fillId="5" borderId="0" xfId="0" applyNumberFormat="1" applyFont="1" applyFill="1" applyAlignment="1">
      <alignment horizontal="right"/>
    </xf>
    <xf numFmtId="3" fontId="43" fillId="0" borderId="0" xfId="0" applyNumberFormat="1" applyFont="1" applyAlignment="1">
      <alignment horizontal="center" wrapText="1"/>
    </xf>
    <xf numFmtId="167" fontId="45" fillId="0" borderId="0" xfId="5" applyNumberFormat="1" applyFont="1" applyBorder="1"/>
    <xf numFmtId="167" fontId="45" fillId="0" borderId="0" xfId="6" applyNumberFormat="1" applyFont="1" applyBorder="1"/>
    <xf numFmtId="167" fontId="43" fillId="0" borderId="0" xfId="1" applyNumberFormat="1" applyFont="1" applyBorder="1"/>
    <xf numFmtId="167" fontId="43" fillId="0" borderId="0" xfId="0" applyNumberFormat="1" applyFont="1" applyBorder="1"/>
    <xf numFmtId="167" fontId="45" fillId="5" borderId="0" xfId="6" applyNumberFormat="1" applyFont="1" applyFill="1" applyBorder="1"/>
    <xf numFmtId="167" fontId="50" fillId="0" borderId="0" xfId="5" applyNumberFormat="1" applyFont="1" applyBorder="1"/>
    <xf numFmtId="167" fontId="43" fillId="0" borderId="0" xfId="0" applyNumberFormat="1" applyFont="1"/>
    <xf numFmtId="167" fontId="44" fillId="0" borderId="0" xfId="0" applyNumberFormat="1" applyFont="1"/>
    <xf numFmtId="2" fontId="57" fillId="0" borderId="0" xfId="0" applyNumberFormat="1" applyFont="1" applyFill="1" applyBorder="1"/>
    <xf numFmtId="10" fontId="57" fillId="0" borderId="0" xfId="0" applyNumberFormat="1" applyFont="1" applyFill="1"/>
    <xf numFmtId="10" fontId="57" fillId="0" borderId="0" xfId="3" applyNumberFormat="1" applyFont="1" applyFill="1" applyBorder="1"/>
    <xf numFmtId="10" fontId="0" fillId="0" borderId="0" xfId="0" applyNumberFormat="1" applyFill="1"/>
    <xf numFmtId="167" fontId="0" fillId="0" borderId="0" xfId="0" applyNumberFormat="1" applyAlignment="1">
      <alignment horizontal="center"/>
    </xf>
    <xf numFmtId="167" fontId="43" fillId="0" borderId="0" xfId="0" applyNumberFormat="1" applyFont="1" applyBorder="1" applyAlignment="1">
      <alignment horizontal="left"/>
    </xf>
    <xf numFmtId="167" fontId="43" fillId="0" borderId="0" xfId="1" applyNumberFormat="1" applyFont="1" applyBorder="1" applyAlignment="1">
      <alignment horizontal="left"/>
    </xf>
    <xf numFmtId="3" fontId="43" fillId="0" borderId="0" xfId="0" applyNumberFormat="1" applyFont="1" applyAlignment="1">
      <alignment horizontal="left" vertical="center"/>
    </xf>
    <xf numFmtId="3" fontId="44" fillId="0" borderId="0" xfId="0" applyNumberFormat="1" applyFont="1" applyAlignment="1">
      <alignment horizontal="center" wrapText="1"/>
    </xf>
    <xf numFmtId="0" fontId="85" fillId="0" borderId="0" xfId="0" applyFont="1"/>
    <xf numFmtId="167" fontId="56" fillId="0" borderId="0" xfId="0" applyNumberFormat="1" applyFont="1" applyBorder="1" applyAlignment="1">
      <alignment horizontal="center"/>
    </xf>
    <xf numFmtId="0" fontId="13" fillId="0" borderId="0" xfId="0" applyNumberFormat="1" applyFont="1" applyFill="1" applyBorder="1" applyAlignment="1">
      <alignment horizontal="left"/>
    </xf>
    <xf numFmtId="8" fontId="19" fillId="3" borderId="0" xfId="0" applyNumberFormat="1" applyFont="1" applyFill="1" applyAlignment="1">
      <alignment horizontal="right" vertical="top"/>
    </xf>
    <xf numFmtId="3" fontId="37" fillId="0" borderId="0" xfId="0" applyNumberFormat="1" applyFont="1"/>
    <xf numFmtId="0" fontId="33" fillId="0" borderId="0" xfId="7" applyAlignment="1" applyProtection="1"/>
    <xf numFmtId="169" fontId="19" fillId="3" borderId="0" xfId="0" applyNumberFormat="1" applyFont="1" applyFill="1" applyAlignment="1">
      <alignment horizontal="right" vertical="top"/>
    </xf>
    <xf numFmtId="0" fontId="43" fillId="4" borderId="0" xfId="0" applyFont="1" applyFill="1" applyBorder="1" applyAlignment="1">
      <alignment horizontal="center" vertical="center" wrapText="1"/>
    </xf>
    <xf numFmtId="0" fontId="43" fillId="4" borderId="0" xfId="0" applyFont="1" applyFill="1" applyBorder="1" applyAlignment="1">
      <alignment horizontal="center" vertical="top"/>
    </xf>
    <xf numFmtId="0" fontId="33" fillId="0" borderId="0" xfId="7" applyAlignment="1" applyProtection="1"/>
    <xf numFmtId="0" fontId="33" fillId="0" borderId="0" xfId="7" applyAlignment="1" applyProtection="1"/>
    <xf numFmtId="0" fontId="25" fillId="0" borderId="30" xfId="4" applyFont="1" applyFill="1" applyBorder="1" applyAlignment="1">
      <alignment horizontal="center"/>
    </xf>
    <xf numFmtId="0" fontId="17" fillId="0" borderId="15" xfId="0" applyFont="1" applyBorder="1" applyAlignment="1">
      <alignment horizontal="center" vertical="center"/>
    </xf>
    <xf numFmtId="0" fontId="21" fillId="3" borderId="0" xfId="0" applyFont="1" applyFill="1" applyBorder="1" applyAlignment="1">
      <alignment horizontal="center" vertical="top"/>
    </xf>
    <xf numFmtId="0" fontId="17" fillId="0" borderId="0" xfId="0" applyFont="1" applyAlignment="1">
      <alignment horizontal="center" vertical="center" wrapText="1"/>
    </xf>
    <xf numFmtId="0" fontId="17" fillId="0" borderId="0" xfId="0" applyFont="1" applyBorder="1" applyAlignment="1">
      <alignment horizontal="center" vertical="center" wrapText="1"/>
    </xf>
    <xf numFmtId="0" fontId="30" fillId="0" borderId="15" xfId="0" applyFont="1" applyBorder="1" applyAlignment="1">
      <alignment horizontal="center" vertical="center"/>
    </xf>
    <xf numFmtId="0" fontId="17" fillId="0" borderId="0" xfId="0" applyFont="1" applyBorder="1" applyAlignment="1">
      <alignment horizontal="center" wrapText="1"/>
    </xf>
    <xf numFmtId="0" fontId="17" fillId="0" borderId="7" xfId="0" applyFont="1" applyBorder="1" applyAlignment="1">
      <alignment horizontal="center" wrapText="1"/>
    </xf>
    <xf numFmtId="0" fontId="43" fillId="6" borderId="0" xfId="0" applyFont="1" applyFill="1" applyAlignment="1"/>
    <xf numFmtId="0" fontId="37" fillId="6" borderId="0" xfId="0" applyFont="1" applyFill="1" applyAlignment="1"/>
    <xf numFmtId="0" fontId="44" fillId="0" borderId="0" xfId="0" applyFont="1" applyAlignment="1"/>
    <xf numFmtId="0" fontId="0" fillId="0" borderId="0" xfId="0" applyFont="1" applyAlignment="1"/>
    <xf numFmtId="0" fontId="43" fillId="5" borderId="0" xfId="0" applyFont="1" applyFill="1" applyBorder="1" applyAlignment="1">
      <alignment horizontal="center"/>
    </xf>
    <xf numFmtId="0" fontId="0" fillId="5" borderId="0" xfId="0" applyFill="1" applyBorder="1" applyAlignment="1">
      <alignment horizontal="center"/>
    </xf>
    <xf numFmtId="0" fontId="43" fillId="5" borderId="0" xfId="0" applyFont="1" applyFill="1" applyBorder="1" applyAlignment="1">
      <alignment horizontal="left"/>
    </xf>
    <xf numFmtId="0" fontId="0" fillId="5" borderId="0" xfId="0" applyFill="1" applyBorder="1" applyAlignment="1"/>
    <xf numFmtId="0" fontId="17" fillId="3" borderId="7"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0" fillId="0" borderId="7" xfId="0" applyBorder="1" applyAlignment="1"/>
    <xf numFmtId="0" fontId="43" fillId="6" borderId="0" xfId="0" applyFont="1" applyFill="1" applyAlignment="1">
      <alignment horizontal="center"/>
    </xf>
    <xf numFmtId="0" fontId="0" fillId="0" borderId="0" xfId="0" applyAlignment="1"/>
    <xf numFmtId="0" fontId="69" fillId="3" borderId="9" xfId="0" applyFont="1" applyFill="1" applyBorder="1" applyAlignment="1">
      <alignment horizontal="center" vertical="center" wrapText="1"/>
    </xf>
    <xf numFmtId="0" fontId="69" fillId="3" borderId="10" xfId="0" applyFont="1" applyFill="1" applyBorder="1" applyAlignment="1">
      <alignment horizontal="center" vertical="center" wrapText="1"/>
    </xf>
    <xf numFmtId="0" fontId="69" fillId="3" borderId="11" xfId="0" applyFont="1" applyFill="1" applyBorder="1" applyAlignment="1">
      <alignment horizontal="center" vertical="center" wrapText="1"/>
    </xf>
    <xf numFmtId="0" fontId="69" fillId="3" borderId="14" xfId="0" applyFont="1" applyFill="1" applyBorder="1" applyAlignment="1">
      <alignment horizontal="center" vertical="center" wrapText="1"/>
    </xf>
    <xf numFmtId="0" fontId="69" fillId="3" borderId="15" xfId="0" applyFont="1" applyFill="1" applyBorder="1" applyAlignment="1">
      <alignment horizontal="center" vertical="center" wrapText="1"/>
    </xf>
    <xf numFmtId="0" fontId="69" fillId="3" borderId="16" xfId="0" applyFont="1" applyFill="1" applyBorder="1" applyAlignment="1">
      <alignment horizontal="center" vertical="center" wrapText="1"/>
    </xf>
    <xf numFmtId="0" fontId="69" fillId="3" borderId="28" xfId="0" applyFont="1" applyFill="1" applyBorder="1" applyAlignment="1">
      <alignment horizontal="center" vertical="center" wrapText="1"/>
    </xf>
    <xf numFmtId="0" fontId="69" fillId="3" borderId="17" xfId="0" applyFont="1" applyFill="1" applyBorder="1" applyAlignment="1">
      <alignment horizontal="center" vertical="center" wrapText="1"/>
    </xf>
    <xf numFmtId="0" fontId="69" fillId="3" borderId="29" xfId="0" applyFont="1" applyFill="1" applyBorder="1" applyAlignment="1">
      <alignment horizontal="center" vertical="center" wrapText="1"/>
    </xf>
    <xf numFmtId="0" fontId="0" fillId="6" borderId="0" xfId="0" applyFill="1" applyAlignment="1"/>
    <xf numFmtId="0" fontId="54" fillId="7" borderId="0" xfId="0" applyFont="1" applyFill="1" applyBorder="1" applyAlignment="1">
      <alignment horizontal="center" wrapText="1"/>
    </xf>
    <xf numFmtId="0" fontId="50" fillId="4" borderId="0" xfId="0" applyFont="1" applyFill="1" applyBorder="1" applyAlignment="1">
      <alignment horizontal="center" vertical="center" wrapText="1"/>
    </xf>
    <xf numFmtId="0" fontId="50" fillId="4" borderId="0" xfId="0" applyFont="1" applyFill="1" applyBorder="1" applyAlignment="1">
      <alignment horizontal="center" wrapText="1"/>
    </xf>
    <xf numFmtId="0" fontId="50" fillId="5" borderId="0" xfId="0" applyFont="1" applyFill="1" applyAlignment="1"/>
    <xf numFmtId="0" fontId="0" fillId="5" borderId="0" xfId="0" applyFill="1" applyAlignment="1"/>
    <xf numFmtId="0" fontId="37" fillId="0" borderId="39" xfId="0" applyFont="1" applyBorder="1" applyAlignment="1">
      <alignment vertical="top" wrapText="1"/>
    </xf>
    <xf numFmtId="0" fontId="37" fillId="0" borderId="38" xfId="0" applyFont="1" applyBorder="1" applyAlignment="1">
      <alignment vertical="top" wrapText="1"/>
    </xf>
  </cellXfs>
  <cellStyles count="9">
    <cellStyle name="Comma" xfId="1" builtinId="3"/>
    <cellStyle name="Comma 2" xfId="5"/>
    <cellStyle name="Hyperlink" xfId="7" builtinId="8"/>
    <cellStyle name="Normal" xfId="0" builtinId="0"/>
    <cellStyle name="Normal 3" xfId="4"/>
    <cellStyle name="Normal 4" xfId="6"/>
    <cellStyle name="Percent" xfId="8" builtinId="5"/>
    <cellStyle name="Percent 10" xfId="3"/>
    <cellStyle name="Percent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65033537474481"/>
          <c:y val="0.14138593786887751"/>
          <c:w val="0.6822985595703086"/>
          <c:h val="0.63707116301979039"/>
        </c:manualLayout>
      </c:layout>
      <c:barChart>
        <c:barDir val="bar"/>
        <c:grouping val="stacked"/>
        <c:varyColors val="0"/>
        <c:ser>
          <c:idx val="0"/>
          <c:order val="0"/>
          <c:tx>
            <c:v>M</c:v>
          </c:tx>
          <c:invertIfNegative val="0"/>
          <c:cat>
            <c:strRef>
              <c:f>'Direct labour Inputs'!$H$12:$K$12</c:f>
              <c:strCache>
                <c:ptCount val="4"/>
                <c:pt idx="0">
                  <c:v>2007/08</c:v>
                </c:pt>
                <c:pt idx="1">
                  <c:v>2008/09</c:v>
                </c:pt>
                <c:pt idx="2">
                  <c:v>2009/10</c:v>
                </c:pt>
                <c:pt idx="3">
                  <c:v>2010/11</c:v>
                </c:pt>
              </c:strCache>
            </c:strRef>
          </c:cat>
          <c:val>
            <c:numRef>
              <c:f>'Direct labour Inputs'!$H$13:$K$13</c:f>
              <c:numCache>
                <c:formatCode>#,##0</c:formatCode>
                <c:ptCount val="4"/>
                <c:pt idx="0">
                  <c:v>6331278809</c:v>
                </c:pt>
                <c:pt idx="1">
                  <c:v>7004251844</c:v>
                </c:pt>
                <c:pt idx="2">
                  <c:v>7303800959</c:v>
                </c:pt>
                <c:pt idx="3">
                  <c:v>7531285686</c:v>
                </c:pt>
              </c:numCache>
            </c:numRef>
          </c:val>
        </c:ser>
        <c:ser>
          <c:idx val="1"/>
          <c:order val="1"/>
          <c:tx>
            <c:v>A</c:v>
          </c:tx>
          <c:invertIfNegative val="0"/>
          <c:cat>
            <c:strRef>
              <c:f>'Direct labour Inputs'!$H$12:$K$12</c:f>
              <c:strCache>
                <c:ptCount val="4"/>
                <c:pt idx="0">
                  <c:v>2007/08</c:v>
                </c:pt>
                <c:pt idx="1">
                  <c:v>2008/09</c:v>
                </c:pt>
                <c:pt idx="2">
                  <c:v>2009/10</c:v>
                </c:pt>
                <c:pt idx="3">
                  <c:v>2010/11</c:v>
                </c:pt>
              </c:strCache>
            </c:strRef>
          </c:cat>
          <c:val>
            <c:numRef>
              <c:f>'Direct labour Inputs'!$H$14:$K$14</c:f>
              <c:numCache>
                <c:formatCode>#,##0</c:formatCode>
                <c:ptCount val="4"/>
                <c:pt idx="0">
                  <c:v>661263250</c:v>
                </c:pt>
                <c:pt idx="1">
                  <c:v>758105594</c:v>
                </c:pt>
                <c:pt idx="2">
                  <c:v>807194125</c:v>
                </c:pt>
                <c:pt idx="3">
                  <c:v>827195906</c:v>
                </c:pt>
              </c:numCache>
            </c:numRef>
          </c:val>
        </c:ser>
        <c:ser>
          <c:idx val="2"/>
          <c:order val="2"/>
          <c:tx>
            <c:v>G</c:v>
          </c:tx>
          <c:invertIfNegative val="0"/>
          <c:cat>
            <c:strRef>
              <c:f>'Direct labour Inputs'!$H$12:$K$12</c:f>
              <c:strCache>
                <c:ptCount val="4"/>
                <c:pt idx="0">
                  <c:v>2007/08</c:v>
                </c:pt>
                <c:pt idx="1">
                  <c:v>2008/09</c:v>
                </c:pt>
                <c:pt idx="2">
                  <c:v>2009/10</c:v>
                </c:pt>
                <c:pt idx="3">
                  <c:v>2010/11</c:v>
                </c:pt>
              </c:strCache>
            </c:strRef>
          </c:cat>
          <c:val>
            <c:numRef>
              <c:f>'Direct labour Inputs'!$H$15:$K$15</c:f>
              <c:numCache>
                <c:formatCode>#,##0</c:formatCode>
                <c:ptCount val="4"/>
                <c:pt idx="0">
                  <c:v>5956031615</c:v>
                </c:pt>
                <c:pt idx="1">
                  <c:v>6421954063</c:v>
                </c:pt>
                <c:pt idx="2">
                  <c:v>7143000250</c:v>
                </c:pt>
                <c:pt idx="3">
                  <c:v>7469296000</c:v>
                </c:pt>
              </c:numCache>
            </c:numRef>
          </c:val>
        </c:ser>
        <c:ser>
          <c:idx val="3"/>
          <c:order val="3"/>
          <c:tx>
            <c:v>H</c:v>
          </c:tx>
          <c:invertIfNegative val="0"/>
          <c:cat>
            <c:strRef>
              <c:f>'Direct labour Inputs'!$H$12:$K$12</c:f>
              <c:strCache>
                <c:ptCount val="4"/>
                <c:pt idx="0">
                  <c:v>2007/08</c:v>
                </c:pt>
                <c:pt idx="1">
                  <c:v>2008/09</c:v>
                </c:pt>
                <c:pt idx="2">
                  <c:v>2009/10</c:v>
                </c:pt>
                <c:pt idx="3">
                  <c:v>2010/11</c:v>
                </c:pt>
              </c:strCache>
            </c:strRef>
          </c:cat>
          <c:val>
            <c:numRef>
              <c:f>'Direct labour Inputs'!$H$16:$K$16</c:f>
              <c:numCache>
                <c:formatCode>#,##0</c:formatCode>
                <c:ptCount val="4"/>
                <c:pt idx="0">
                  <c:v>1761360727</c:v>
                </c:pt>
                <c:pt idx="1">
                  <c:v>1948437219</c:v>
                </c:pt>
                <c:pt idx="2">
                  <c:v>2115180875</c:v>
                </c:pt>
                <c:pt idx="3">
                  <c:v>2216987813</c:v>
                </c:pt>
              </c:numCache>
            </c:numRef>
          </c:val>
        </c:ser>
        <c:ser>
          <c:idx val="4"/>
          <c:order val="4"/>
          <c:tx>
            <c:v>N</c:v>
          </c:tx>
          <c:invertIfNegative val="0"/>
          <c:cat>
            <c:strRef>
              <c:f>'Direct labour Inputs'!$H$12:$K$12</c:f>
              <c:strCache>
                <c:ptCount val="4"/>
                <c:pt idx="0">
                  <c:v>2007/08</c:v>
                </c:pt>
                <c:pt idx="1">
                  <c:v>2008/09</c:v>
                </c:pt>
                <c:pt idx="2">
                  <c:v>2009/10</c:v>
                </c:pt>
                <c:pt idx="3">
                  <c:v>2010/11</c:v>
                </c:pt>
              </c:strCache>
            </c:strRef>
          </c:cat>
          <c:val>
            <c:numRef>
              <c:f>'Direct labour Inputs'!$H$17:$K$17</c:f>
              <c:numCache>
                <c:formatCode>#,##0</c:formatCode>
                <c:ptCount val="4"/>
                <c:pt idx="0">
                  <c:v>10348164238</c:v>
                </c:pt>
                <c:pt idx="1">
                  <c:v>11020440530</c:v>
                </c:pt>
                <c:pt idx="2">
                  <c:v>11650604844</c:v>
                </c:pt>
                <c:pt idx="3">
                  <c:v>12010701373</c:v>
                </c:pt>
              </c:numCache>
            </c:numRef>
          </c:val>
        </c:ser>
        <c:ser>
          <c:idx val="5"/>
          <c:order val="5"/>
          <c:tx>
            <c:v>P</c:v>
          </c:tx>
          <c:invertIfNegative val="0"/>
          <c:cat>
            <c:strRef>
              <c:f>'Direct labour Inputs'!$H$12:$K$12</c:f>
              <c:strCache>
                <c:ptCount val="4"/>
                <c:pt idx="0">
                  <c:v>2007/08</c:v>
                </c:pt>
                <c:pt idx="1">
                  <c:v>2008/09</c:v>
                </c:pt>
                <c:pt idx="2">
                  <c:v>2009/10</c:v>
                </c:pt>
                <c:pt idx="3">
                  <c:v>2010/11</c:v>
                </c:pt>
              </c:strCache>
            </c:strRef>
          </c:cat>
          <c:val>
            <c:numRef>
              <c:f>'Direct labour Inputs'!$H$18:$K$18</c:f>
              <c:numCache>
                <c:formatCode>#,##0</c:formatCode>
                <c:ptCount val="4"/>
                <c:pt idx="0">
                  <c:v>55388343</c:v>
                </c:pt>
                <c:pt idx="1">
                  <c:v>49969610</c:v>
                </c:pt>
                <c:pt idx="2">
                  <c:v>50866790</c:v>
                </c:pt>
                <c:pt idx="3">
                  <c:v>53823700</c:v>
                </c:pt>
              </c:numCache>
            </c:numRef>
          </c:val>
        </c:ser>
        <c:ser>
          <c:idx val="6"/>
          <c:order val="6"/>
          <c:tx>
            <c:v>S</c:v>
          </c:tx>
          <c:invertIfNegative val="0"/>
          <c:cat>
            <c:strRef>
              <c:f>'Direct labour Inputs'!$H$12:$K$12</c:f>
              <c:strCache>
                <c:ptCount val="4"/>
                <c:pt idx="0">
                  <c:v>2007/08</c:v>
                </c:pt>
                <c:pt idx="1">
                  <c:v>2008/09</c:v>
                </c:pt>
                <c:pt idx="2">
                  <c:v>2009/10</c:v>
                </c:pt>
                <c:pt idx="3">
                  <c:v>2010/11</c:v>
                </c:pt>
              </c:strCache>
            </c:strRef>
          </c:cat>
          <c:val>
            <c:numRef>
              <c:f>'Direct labour Inputs'!$H$19:$K$19</c:f>
              <c:numCache>
                <c:formatCode>#,##0</c:formatCode>
                <c:ptCount val="4"/>
                <c:pt idx="0">
                  <c:v>3243362907</c:v>
                </c:pt>
                <c:pt idx="1">
                  <c:v>3495137805</c:v>
                </c:pt>
                <c:pt idx="2">
                  <c:v>3802187699</c:v>
                </c:pt>
                <c:pt idx="3">
                  <c:v>4055609924</c:v>
                </c:pt>
              </c:numCache>
            </c:numRef>
          </c:val>
        </c:ser>
        <c:ser>
          <c:idx val="7"/>
          <c:order val="7"/>
          <c:tx>
            <c:v>T</c:v>
          </c:tx>
          <c:invertIfNegative val="0"/>
          <c:cat>
            <c:strRef>
              <c:f>'Direct labour Inputs'!$H$12:$K$12</c:f>
              <c:strCache>
                <c:ptCount val="4"/>
                <c:pt idx="0">
                  <c:v>2007/08</c:v>
                </c:pt>
                <c:pt idx="1">
                  <c:v>2008/09</c:v>
                </c:pt>
                <c:pt idx="2">
                  <c:v>2009/10</c:v>
                </c:pt>
                <c:pt idx="3">
                  <c:v>2010/11</c:v>
                </c:pt>
              </c:strCache>
            </c:strRef>
          </c:cat>
          <c:val>
            <c:numRef>
              <c:f>'Direct labour Inputs'!$H$20:$K$20</c:f>
              <c:numCache>
                <c:formatCode>#,##0</c:formatCode>
                <c:ptCount val="4"/>
                <c:pt idx="0">
                  <c:v>1121776209</c:v>
                </c:pt>
                <c:pt idx="1">
                  <c:v>1195263582</c:v>
                </c:pt>
                <c:pt idx="2">
                  <c:v>1283066566</c:v>
                </c:pt>
                <c:pt idx="3">
                  <c:v>1346591230</c:v>
                </c:pt>
              </c:numCache>
            </c:numRef>
          </c:val>
        </c:ser>
        <c:ser>
          <c:idx val="8"/>
          <c:order val="8"/>
          <c:tx>
            <c:v>U</c:v>
          </c:tx>
          <c:invertIfNegative val="0"/>
          <c:cat>
            <c:strRef>
              <c:f>'Direct labour Inputs'!$H$12:$K$12</c:f>
              <c:strCache>
                <c:ptCount val="4"/>
                <c:pt idx="0">
                  <c:v>2007/08</c:v>
                </c:pt>
                <c:pt idx="1">
                  <c:v>2008/09</c:v>
                </c:pt>
                <c:pt idx="2">
                  <c:v>2009/10</c:v>
                </c:pt>
                <c:pt idx="3">
                  <c:v>2010/11</c:v>
                </c:pt>
              </c:strCache>
            </c:strRef>
          </c:cat>
          <c:val>
            <c:numRef>
              <c:f>'Direct labour Inputs'!$H$21:$K$21</c:f>
              <c:numCache>
                <c:formatCode>#,##0</c:formatCode>
                <c:ptCount val="4"/>
                <c:pt idx="0">
                  <c:v>35393429</c:v>
                </c:pt>
                <c:pt idx="1">
                  <c:v>21076125</c:v>
                </c:pt>
                <c:pt idx="2">
                  <c:v>17228250</c:v>
                </c:pt>
                <c:pt idx="3">
                  <c:v>2313281</c:v>
                </c:pt>
              </c:numCache>
            </c:numRef>
          </c:val>
        </c:ser>
        <c:ser>
          <c:idx val="9"/>
          <c:order val="9"/>
          <c:tx>
            <c:v>Z</c:v>
          </c:tx>
          <c:invertIfNegative val="0"/>
          <c:cat>
            <c:strRef>
              <c:f>'Direct labour Inputs'!$H$12:$K$12</c:f>
              <c:strCache>
                <c:ptCount val="4"/>
                <c:pt idx="0">
                  <c:v>2007/08</c:v>
                </c:pt>
                <c:pt idx="1">
                  <c:v>2008/09</c:v>
                </c:pt>
                <c:pt idx="2">
                  <c:v>2009/10</c:v>
                </c:pt>
                <c:pt idx="3">
                  <c:v>2010/11</c:v>
                </c:pt>
              </c:strCache>
            </c:strRef>
          </c:cat>
          <c:val>
            <c:numRef>
              <c:f>'Direct labour Inputs'!$H$22:$K$22</c:f>
              <c:numCache>
                <c:formatCode>#,##0</c:formatCode>
                <c:ptCount val="4"/>
                <c:pt idx="0">
                  <c:v>0</c:v>
                </c:pt>
                <c:pt idx="1">
                  <c:v>0</c:v>
                </c:pt>
                <c:pt idx="2">
                  <c:v>0</c:v>
                </c:pt>
                <c:pt idx="3">
                  <c:v>0</c:v>
                </c:pt>
              </c:numCache>
            </c:numRef>
          </c:val>
        </c:ser>
        <c:dLbls>
          <c:showLegendKey val="0"/>
          <c:showVal val="0"/>
          <c:showCatName val="0"/>
          <c:showSerName val="0"/>
          <c:showPercent val="0"/>
          <c:showBubbleSize val="0"/>
        </c:dLbls>
        <c:gapWidth val="150"/>
        <c:overlap val="100"/>
        <c:axId val="95822208"/>
        <c:axId val="95823744"/>
      </c:barChart>
      <c:catAx>
        <c:axId val="95822208"/>
        <c:scaling>
          <c:orientation val="minMax"/>
        </c:scaling>
        <c:delete val="0"/>
        <c:axPos val="l"/>
        <c:majorTickMark val="out"/>
        <c:minorTickMark val="none"/>
        <c:tickLblPos val="nextTo"/>
        <c:crossAx val="95823744"/>
        <c:crosses val="autoZero"/>
        <c:auto val="1"/>
        <c:lblAlgn val="ctr"/>
        <c:lblOffset val="100"/>
        <c:noMultiLvlLbl val="0"/>
      </c:catAx>
      <c:valAx>
        <c:axId val="95823744"/>
        <c:scaling>
          <c:orientation val="minMax"/>
        </c:scaling>
        <c:delete val="0"/>
        <c:axPos val="b"/>
        <c:majorGridlines/>
        <c:numFmt formatCode="#,##0" sourceLinked="1"/>
        <c:majorTickMark val="out"/>
        <c:minorTickMark val="none"/>
        <c:tickLblPos val="nextTo"/>
        <c:crossAx val="95822208"/>
        <c:crosses val="autoZero"/>
        <c:crossBetween val="between"/>
      </c:valAx>
    </c:plotArea>
    <c:legend>
      <c:legendPos val="b"/>
      <c:layout/>
      <c:overlay val="0"/>
    </c:legend>
    <c:plotVisOnly val="1"/>
    <c:dispBlanksAs val="gap"/>
    <c:showDLblsOverMax val="0"/>
  </c:chart>
  <c:spPr>
    <a:ln>
      <a:noFill/>
    </a:ln>
  </c:spPr>
  <c:printSettings>
    <c:headerFooter/>
    <c:pageMargins b="0.75000000000000155" l="0.70000000000000062" r="0.70000000000000062" t="0.75000000000000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011877752569064E-2"/>
          <c:y val="2.3719131150137605E-3"/>
          <c:w val="0.79007067825849675"/>
          <c:h val="0.72727886433550915"/>
        </c:manualLayout>
      </c:layout>
      <c:barChart>
        <c:barDir val="bar"/>
        <c:grouping val="stacked"/>
        <c:varyColors val="0"/>
        <c:ser>
          <c:idx val="0"/>
          <c:order val="0"/>
          <c:tx>
            <c:strRef>
              <c:f>'Reference Costs Output (2)'!$D$8:$I$8</c:f>
              <c:strCache>
                <c:ptCount val="1"/>
                <c:pt idx="0">
                  <c:v>A&amp;E Services</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(2)'!$F$13:$F$16</c:f>
              <c:numCache>
                <c:formatCode>"£"#,##0_);[Red]\("£"#,##0\)</c:formatCode>
                <c:ptCount val="4"/>
                <c:pt idx="0">
                  <c:v>2653789144</c:v>
                </c:pt>
                <c:pt idx="1">
                  <c:v>3021863889</c:v>
                </c:pt>
                <c:pt idx="2">
                  <c:v>3296888378</c:v>
                </c:pt>
                <c:pt idx="3">
                  <c:v>3431897220</c:v>
                </c:pt>
              </c:numCache>
            </c:numRef>
          </c:val>
        </c:ser>
        <c:ser>
          <c:idx val="1"/>
          <c:order val="1"/>
          <c:tx>
            <c:strRef>
              <c:f>'Reference Costs Output (2)'!$D$19:$I$19</c:f>
              <c:strCache>
                <c:ptCount val="1"/>
                <c:pt idx="0">
                  <c:v>Chemo/Radiotherapy &amp; High Cost Drugs</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(2)'!$F$24:$F$27</c:f>
              <c:numCache>
                <c:formatCode>"£"#,##0_);[Red]\("£"#,##0\)</c:formatCode>
                <c:ptCount val="4"/>
                <c:pt idx="0">
                  <c:v>976800940</c:v>
                </c:pt>
                <c:pt idx="1">
                  <c:v>1530911288</c:v>
                </c:pt>
                <c:pt idx="2">
                  <c:v>1970519534</c:v>
                </c:pt>
                <c:pt idx="3">
                  <c:v>2183136937</c:v>
                </c:pt>
              </c:numCache>
            </c:numRef>
          </c:val>
        </c:ser>
        <c:ser>
          <c:idx val="2"/>
          <c:order val="2"/>
          <c:tx>
            <c:strRef>
              <c:f>'Reference Costs Output (2)'!$D$29:$I$29</c:f>
              <c:strCache>
                <c:ptCount val="1"/>
                <c:pt idx="0">
                  <c:v>Community Care</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(2)'!$F$34:$F$37</c:f>
              <c:numCache>
                <c:formatCode>"£"#,##0_);[Red]\("£"#,##0\)</c:formatCode>
                <c:ptCount val="4"/>
                <c:pt idx="0">
                  <c:v>3630325787</c:v>
                </c:pt>
                <c:pt idx="1">
                  <c:v>3945710493</c:v>
                </c:pt>
                <c:pt idx="2">
                  <c:v>4208381075</c:v>
                </c:pt>
                <c:pt idx="3">
                  <c:v>4234047152</c:v>
                </c:pt>
              </c:numCache>
            </c:numRef>
          </c:val>
        </c:ser>
        <c:ser>
          <c:idx val="3"/>
          <c:order val="3"/>
          <c:tx>
            <c:strRef>
              <c:f>'Reference Costs Output (2)'!$D$39:$I$39</c:f>
              <c:strCache>
                <c:ptCount val="1"/>
                <c:pt idx="0">
                  <c:v>Diagnostic Tests</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(2)'!$F$44:$F$47</c:f>
              <c:numCache>
                <c:formatCode>"£"#,##0_);[Red]\("£"#,##0\)</c:formatCode>
                <c:ptCount val="4"/>
                <c:pt idx="0">
                  <c:v>714025656</c:v>
                </c:pt>
                <c:pt idx="1">
                  <c:v>686042927</c:v>
                </c:pt>
                <c:pt idx="2">
                  <c:v>758266445</c:v>
                </c:pt>
                <c:pt idx="3">
                  <c:v>805583529</c:v>
                </c:pt>
              </c:numCache>
            </c:numRef>
          </c:val>
        </c:ser>
        <c:ser>
          <c:idx val="4"/>
          <c:order val="4"/>
          <c:tx>
            <c:strRef>
              <c:f>'Reference Costs Output (2)'!$D$49:$I$49</c:f>
              <c:strCache>
                <c:ptCount val="1"/>
                <c:pt idx="0">
                  <c:v>Hospital and Non-Admitted Mental Health</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(2)'!$F$54:$F$57</c:f>
              <c:numCache>
                <c:formatCode>"£"#,##0_);[Red]\("£"#,##0\)</c:formatCode>
                <c:ptCount val="4"/>
                <c:pt idx="0">
                  <c:v>3333571276</c:v>
                </c:pt>
                <c:pt idx="1">
                  <c:v>3570652030</c:v>
                </c:pt>
                <c:pt idx="2">
                  <c:v>3762869183</c:v>
                </c:pt>
                <c:pt idx="3">
                  <c:v>3863586450</c:v>
                </c:pt>
              </c:numCache>
            </c:numRef>
          </c:val>
        </c:ser>
        <c:ser>
          <c:idx val="5"/>
          <c:order val="5"/>
          <c:tx>
            <c:strRef>
              <c:f>'Reference Costs Output (2)'!$D$59:$I$59</c:f>
              <c:strCache>
                <c:ptCount val="1"/>
                <c:pt idx="0">
                  <c:v>Hospital/Patient Transport Scheme</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(2)'!$F$64:$F$67</c:f>
              <c:numCache>
                <c:formatCode>"£"#,##0_);[Red]\("£"#,##0\)</c:formatCode>
                <c:ptCount val="4"/>
                <c:pt idx="0">
                  <c:v>214203331</c:v>
                </c:pt>
                <c:pt idx="1">
                  <c:v>254832199</c:v>
                </c:pt>
                <c:pt idx="2">
                  <c:v>194852225</c:v>
                </c:pt>
                <c:pt idx="3">
                  <c:v>5470622</c:v>
                </c:pt>
              </c:numCache>
            </c:numRef>
          </c:val>
        </c:ser>
        <c:ser>
          <c:idx val="6"/>
          <c:order val="6"/>
          <c:tx>
            <c:strRef>
              <c:f>'Reference Costs Output (2)'!$D$69:$I$69</c:f>
              <c:strCache>
                <c:ptCount val="1"/>
                <c:pt idx="0">
                  <c:v>Other</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(2)'!$F$74:$F$77</c:f>
              <c:numCache>
                <c:formatCode>"£"#,##0_);[Red]\("£"#,##0\)</c:formatCode>
                <c:ptCount val="4"/>
                <c:pt idx="0">
                  <c:v>10623346440</c:v>
                </c:pt>
                <c:pt idx="1">
                  <c:v>12162031638.5</c:v>
                </c:pt>
                <c:pt idx="2">
                  <c:v>13307869308</c:v>
                </c:pt>
                <c:pt idx="3">
                  <c:v>13629397236.9</c:v>
                </c:pt>
              </c:numCache>
            </c:numRef>
          </c:val>
        </c:ser>
        <c:ser>
          <c:idx val="7"/>
          <c:order val="7"/>
          <c:tx>
            <c:strRef>
              <c:f>'Reference Costs Output (2)'!$D$79:$I$79</c:f>
              <c:strCache>
                <c:ptCount val="1"/>
                <c:pt idx="0">
                  <c:v>Outpatient</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(2)'!$F$84:$F$87</c:f>
              <c:numCache>
                <c:formatCode>"£"#,##0_);[Red]\("£"#,##0\)</c:formatCode>
                <c:ptCount val="4"/>
                <c:pt idx="0">
                  <c:v>6552679133</c:v>
                </c:pt>
                <c:pt idx="1">
                  <c:v>7317052852</c:v>
                </c:pt>
                <c:pt idx="2">
                  <c:v>7623618289</c:v>
                </c:pt>
                <c:pt idx="3">
                  <c:v>8516922013</c:v>
                </c:pt>
              </c:numCache>
            </c:numRef>
          </c:val>
        </c:ser>
        <c:ser>
          <c:idx val="8"/>
          <c:order val="8"/>
          <c:tx>
            <c:strRef>
              <c:f>'Reference Costs Output (2)'!$D$89:$I$89</c:f>
              <c:strCache>
                <c:ptCount val="1"/>
                <c:pt idx="0">
                  <c:v>Radiology</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(2)'!$F$94:$F$97</c:f>
              <c:numCache>
                <c:formatCode>"£"#,##0_);[Red]\("£"#,##0\)</c:formatCode>
                <c:ptCount val="4"/>
                <c:pt idx="0">
                  <c:v>787120593</c:v>
                </c:pt>
                <c:pt idx="1">
                  <c:v>800938521</c:v>
                </c:pt>
                <c:pt idx="2">
                  <c:v>865482297</c:v>
                </c:pt>
                <c:pt idx="3">
                  <c:v>821622082</c:v>
                </c:pt>
              </c:numCache>
            </c:numRef>
          </c:val>
        </c:ser>
        <c:ser>
          <c:idx val="9"/>
          <c:order val="9"/>
          <c:tx>
            <c:strRef>
              <c:f>'Reference Costs Output (2)'!$D$99:$I$99</c:f>
              <c:strCache>
                <c:ptCount val="1"/>
                <c:pt idx="0">
                  <c:v>Rehabilitation</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(2)'!$F$104:$F$107</c:f>
              <c:numCache>
                <c:formatCode>"£"#,##0_);[Red]\("£"#,##0\)</c:formatCode>
                <c:ptCount val="4"/>
                <c:pt idx="0">
                  <c:v>706962591</c:v>
                </c:pt>
                <c:pt idx="1">
                  <c:v>868540789</c:v>
                </c:pt>
                <c:pt idx="2">
                  <c:v>915858318</c:v>
                </c:pt>
                <c:pt idx="3">
                  <c:v>945029495</c:v>
                </c:pt>
              </c:numCache>
            </c:numRef>
          </c:val>
        </c:ser>
        <c:ser>
          <c:idx val="10"/>
          <c:order val="10"/>
          <c:tx>
            <c:strRef>
              <c:f>'Reference Costs Output (2)'!$D$109:$I$109</c:f>
              <c:strCache>
                <c:ptCount val="1"/>
                <c:pt idx="0">
                  <c:v>Renal Dialysis</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(2)'!$F$114:$F$117</c:f>
              <c:numCache>
                <c:formatCode>"£"#,##0_);[Red]\("£"#,##0\)</c:formatCode>
                <c:ptCount val="4"/>
                <c:pt idx="0">
                  <c:v>453477771</c:v>
                </c:pt>
                <c:pt idx="1">
                  <c:v>489100439</c:v>
                </c:pt>
                <c:pt idx="2">
                  <c:v>523116896</c:v>
                </c:pt>
                <c:pt idx="3">
                  <c:v>528597833</c:v>
                </c:pt>
              </c:numCache>
            </c:numRef>
          </c:val>
        </c:ser>
        <c:ser>
          <c:idx val="11"/>
          <c:order val="11"/>
          <c:tx>
            <c:strRef>
              <c:f>'Reference Costs Output (2)'!$D$119:$I$119</c:f>
              <c:strCache>
                <c:ptCount val="1"/>
                <c:pt idx="0">
                  <c:v>Specialist Services</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(2)'!$F$124:$F$127</c:f>
              <c:numCache>
                <c:formatCode>"£"#,##0_);[Red]\("£"#,##0\)</c:formatCode>
                <c:ptCount val="4"/>
                <c:pt idx="0">
                  <c:v>2281153728</c:v>
                </c:pt>
                <c:pt idx="1">
                  <c:v>2563576383</c:v>
                </c:pt>
                <c:pt idx="2">
                  <c:v>2758727668</c:v>
                </c:pt>
                <c:pt idx="3">
                  <c:v>2833537449</c:v>
                </c:pt>
              </c:numCache>
            </c:numRef>
          </c:val>
        </c:ser>
        <c:ser>
          <c:idx val="12"/>
          <c:order val="12"/>
          <c:tx>
            <c:strRef>
              <c:f>'Reference Costs Output (2)'!$D$129</c:f>
              <c:strCache>
                <c:ptCount val="1"/>
                <c:pt idx="0">
                  <c:v>Opth &amp; Dentistry</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(2)'!$F$134:$F$137</c:f>
              <c:numCache>
                <c:formatCode>#,##0</c:formatCode>
                <c:ptCount val="4"/>
                <c:pt idx="0">
                  <c:v>1523208120</c:v>
                </c:pt>
                <c:pt idx="1">
                  <c:v>1599541161.5</c:v>
                </c:pt>
                <c:pt idx="2">
                  <c:v>1680648267</c:v>
                </c:pt>
                <c:pt idx="3">
                  <c:v>1716391363.9000001</c:v>
                </c:pt>
              </c:numCache>
            </c:numRef>
          </c:val>
        </c:ser>
        <c:dLbls>
          <c:showLegendKey val="0"/>
          <c:showVal val="0"/>
          <c:showCatName val="0"/>
          <c:showSerName val="0"/>
          <c:showPercent val="0"/>
          <c:showBubbleSize val="0"/>
        </c:dLbls>
        <c:gapWidth val="150"/>
        <c:overlap val="100"/>
        <c:axId val="108213376"/>
        <c:axId val="108214912"/>
      </c:barChart>
      <c:catAx>
        <c:axId val="108213376"/>
        <c:scaling>
          <c:orientation val="minMax"/>
        </c:scaling>
        <c:delete val="0"/>
        <c:axPos val="l"/>
        <c:majorTickMark val="out"/>
        <c:minorTickMark val="none"/>
        <c:tickLblPos val="nextTo"/>
        <c:txPr>
          <a:bodyPr/>
          <a:lstStyle/>
          <a:p>
            <a:pPr>
              <a:defRPr sz="800"/>
            </a:pPr>
            <a:endParaRPr lang="en-US"/>
          </a:p>
        </c:txPr>
        <c:crossAx val="108214912"/>
        <c:crosses val="autoZero"/>
        <c:auto val="1"/>
        <c:lblAlgn val="ctr"/>
        <c:lblOffset val="100"/>
        <c:noMultiLvlLbl val="0"/>
      </c:catAx>
      <c:valAx>
        <c:axId val="108214912"/>
        <c:scaling>
          <c:orientation val="minMax"/>
        </c:scaling>
        <c:delete val="0"/>
        <c:axPos val="b"/>
        <c:majorGridlines/>
        <c:numFmt formatCode="&quot;£&quot;#,##0_);[Red]\(&quot;£&quot;#,##0\)" sourceLinked="1"/>
        <c:majorTickMark val="out"/>
        <c:minorTickMark val="none"/>
        <c:tickLblPos val="nextTo"/>
        <c:txPr>
          <a:bodyPr/>
          <a:lstStyle/>
          <a:p>
            <a:pPr>
              <a:defRPr sz="800"/>
            </a:pPr>
            <a:endParaRPr lang="en-US"/>
          </a:p>
        </c:txPr>
        <c:crossAx val="108213376"/>
        <c:crosses val="autoZero"/>
        <c:crossBetween val="between"/>
      </c:valAx>
    </c:plotArea>
    <c:legend>
      <c:legendPos val="b"/>
      <c:layout>
        <c:manualLayout>
          <c:xMode val="edge"/>
          <c:yMode val="edge"/>
          <c:x val="5.1690368421951467E-2"/>
          <c:y val="0.84060542432195973"/>
          <c:w val="0.94830963157805093"/>
          <c:h val="0.15877955578133449"/>
        </c:manualLayout>
      </c:layout>
      <c:overlay val="0"/>
      <c:txPr>
        <a:bodyPr/>
        <a:lstStyle/>
        <a:p>
          <a:pPr>
            <a:defRPr sz="800">
              <a:latin typeface="Arial Rounded MT Bold" pitchFamily="34" charset="0"/>
            </a:defRPr>
          </a:pPr>
          <a:endParaRPr lang="en-US"/>
        </a:p>
      </c:txPr>
    </c:legend>
    <c:plotVisOnly val="1"/>
    <c:dispBlanksAs val="gap"/>
    <c:showDLblsOverMax val="0"/>
  </c:chart>
  <c:spPr>
    <a:ln>
      <a:noFill/>
    </a:ln>
  </c:spPr>
  <c:printSettings>
    <c:headerFooter/>
    <c:pageMargins b="0.75000000000000211" l="0.70000000000000062" r="0.70000000000000062" t="0.750000000000002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80847865817207"/>
          <c:y val="5.1418959726808391E-2"/>
          <c:w val="0.79007067825849675"/>
          <c:h val="0.72727886433550915"/>
        </c:manualLayout>
      </c:layout>
      <c:barChart>
        <c:barDir val="bar"/>
        <c:grouping val="percentStacked"/>
        <c:varyColors val="0"/>
        <c:ser>
          <c:idx val="0"/>
          <c:order val="0"/>
          <c:tx>
            <c:strRef>
              <c:f>'Reference Costs Output (2)'!$D$8:$I$8</c:f>
              <c:strCache>
                <c:ptCount val="1"/>
                <c:pt idx="0">
                  <c:v>A&amp;E Services</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(2)'!$F$13:$F$16</c:f>
              <c:numCache>
                <c:formatCode>"£"#,##0_);[Red]\("£"#,##0\)</c:formatCode>
                <c:ptCount val="4"/>
                <c:pt idx="0">
                  <c:v>2653789144</c:v>
                </c:pt>
                <c:pt idx="1">
                  <c:v>3021863889</c:v>
                </c:pt>
                <c:pt idx="2">
                  <c:v>3296888378</c:v>
                </c:pt>
                <c:pt idx="3">
                  <c:v>3431897220</c:v>
                </c:pt>
              </c:numCache>
            </c:numRef>
          </c:val>
        </c:ser>
        <c:ser>
          <c:idx val="1"/>
          <c:order val="1"/>
          <c:tx>
            <c:strRef>
              <c:f>'Reference Costs Output (2)'!$D$19:$I$19</c:f>
              <c:strCache>
                <c:ptCount val="1"/>
                <c:pt idx="0">
                  <c:v>Chemo/Radiotherapy &amp; High Cost Drugs</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(2)'!$F$24:$F$27</c:f>
              <c:numCache>
                <c:formatCode>"£"#,##0_);[Red]\("£"#,##0\)</c:formatCode>
                <c:ptCount val="4"/>
                <c:pt idx="0">
                  <c:v>976800940</c:v>
                </c:pt>
                <c:pt idx="1">
                  <c:v>1530911288</c:v>
                </c:pt>
                <c:pt idx="2">
                  <c:v>1970519534</c:v>
                </c:pt>
                <c:pt idx="3">
                  <c:v>2183136937</c:v>
                </c:pt>
              </c:numCache>
            </c:numRef>
          </c:val>
        </c:ser>
        <c:ser>
          <c:idx val="2"/>
          <c:order val="2"/>
          <c:tx>
            <c:strRef>
              <c:f>'Reference Costs Output (2)'!$D$29:$I$29</c:f>
              <c:strCache>
                <c:ptCount val="1"/>
                <c:pt idx="0">
                  <c:v>Community Care</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(2)'!$F$34:$F$37</c:f>
              <c:numCache>
                <c:formatCode>"£"#,##0_);[Red]\("£"#,##0\)</c:formatCode>
                <c:ptCount val="4"/>
                <c:pt idx="0">
                  <c:v>3630325787</c:v>
                </c:pt>
                <c:pt idx="1">
                  <c:v>3945710493</c:v>
                </c:pt>
                <c:pt idx="2">
                  <c:v>4208381075</c:v>
                </c:pt>
                <c:pt idx="3">
                  <c:v>4234047152</c:v>
                </c:pt>
              </c:numCache>
            </c:numRef>
          </c:val>
        </c:ser>
        <c:ser>
          <c:idx val="3"/>
          <c:order val="3"/>
          <c:tx>
            <c:strRef>
              <c:f>'Reference Costs Output (2)'!$D$39:$I$39</c:f>
              <c:strCache>
                <c:ptCount val="1"/>
                <c:pt idx="0">
                  <c:v>Diagnostic Tests</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(2)'!$F$44:$F$47</c:f>
              <c:numCache>
                <c:formatCode>"£"#,##0_);[Red]\("£"#,##0\)</c:formatCode>
                <c:ptCount val="4"/>
                <c:pt idx="0">
                  <c:v>714025656</c:v>
                </c:pt>
                <c:pt idx="1">
                  <c:v>686042927</c:v>
                </c:pt>
                <c:pt idx="2">
                  <c:v>758266445</c:v>
                </c:pt>
                <c:pt idx="3">
                  <c:v>805583529</c:v>
                </c:pt>
              </c:numCache>
            </c:numRef>
          </c:val>
        </c:ser>
        <c:ser>
          <c:idx val="4"/>
          <c:order val="4"/>
          <c:tx>
            <c:strRef>
              <c:f>'Reference Costs Output (2)'!$D$49:$I$49</c:f>
              <c:strCache>
                <c:ptCount val="1"/>
                <c:pt idx="0">
                  <c:v>Hospital and Non-Admitted Mental Health</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(2)'!$F$54:$F$57</c:f>
              <c:numCache>
                <c:formatCode>"£"#,##0_);[Red]\("£"#,##0\)</c:formatCode>
                <c:ptCount val="4"/>
                <c:pt idx="0">
                  <c:v>3333571276</c:v>
                </c:pt>
                <c:pt idx="1">
                  <c:v>3570652030</c:v>
                </c:pt>
                <c:pt idx="2">
                  <c:v>3762869183</c:v>
                </c:pt>
                <c:pt idx="3">
                  <c:v>3863586450</c:v>
                </c:pt>
              </c:numCache>
            </c:numRef>
          </c:val>
        </c:ser>
        <c:ser>
          <c:idx val="5"/>
          <c:order val="5"/>
          <c:tx>
            <c:strRef>
              <c:f>'Reference Costs Output (2)'!$D$59:$I$59</c:f>
              <c:strCache>
                <c:ptCount val="1"/>
                <c:pt idx="0">
                  <c:v>Hospital/Patient Transport Scheme</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(2)'!$F$64:$F$67</c:f>
              <c:numCache>
                <c:formatCode>"£"#,##0_);[Red]\("£"#,##0\)</c:formatCode>
                <c:ptCount val="4"/>
                <c:pt idx="0">
                  <c:v>214203331</c:v>
                </c:pt>
                <c:pt idx="1">
                  <c:v>254832199</c:v>
                </c:pt>
                <c:pt idx="2">
                  <c:v>194852225</c:v>
                </c:pt>
                <c:pt idx="3">
                  <c:v>5470622</c:v>
                </c:pt>
              </c:numCache>
            </c:numRef>
          </c:val>
        </c:ser>
        <c:ser>
          <c:idx val="6"/>
          <c:order val="6"/>
          <c:tx>
            <c:strRef>
              <c:f>'Reference Costs Output (2)'!$D$69:$I$69</c:f>
              <c:strCache>
                <c:ptCount val="1"/>
                <c:pt idx="0">
                  <c:v>Other</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(2)'!$F$74:$F$77</c:f>
              <c:numCache>
                <c:formatCode>"£"#,##0_);[Red]\("£"#,##0\)</c:formatCode>
                <c:ptCount val="4"/>
                <c:pt idx="0">
                  <c:v>10623346440</c:v>
                </c:pt>
                <c:pt idx="1">
                  <c:v>12162031638.5</c:v>
                </c:pt>
                <c:pt idx="2">
                  <c:v>13307869308</c:v>
                </c:pt>
                <c:pt idx="3">
                  <c:v>13629397236.9</c:v>
                </c:pt>
              </c:numCache>
            </c:numRef>
          </c:val>
        </c:ser>
        <c:ser>
          <c:idx val="7"/>
          <c:order val="7"/>
          <c:tx>
            <c:strRef>
              <c:f>'Reference Costs Output (2)'!$D$79:$I$79</c:f>
              <c:strCache>
                <c:ptCount val="1"/>
                <c:pt idx="0">
                  <c:v>Outpatient</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(2)'!$F$84:$F$87</c:f>
              <c:numCache>
                <c:formatCode>"£"#,##0_);[Red]\("£"#,##0\)</c:formatCode>
                <c:ptCount val="4"/>
                <c:pt idx="0">
                  <c:v>6552679133</c:v>
                </c:pt>
                <c:pt idx="1">
                  <c:v>7317052852</c:v>
                </c:pt>
                <c:pt idx="2">
                  <c:v>7623618289</c:v>
                </c:pt>
                <c:pt idx="3">
                  <c:v>8516922013</c:v>
                </c:pt>
              </c:numCache>
            </c:numRef>
          </c:val>
        </c:ser>
        <c:ser>
          <c:idx val="8"/>
          <c:order val="8"/>
          <c:tx>
            <c:strRef>
              <c:f>'Reference Costs Output (2)'!$D$89:$I$89</c:f>
              <c:strCache>
                <c:ptCount val="1"/>
                <c:pt idx="0">
                  <c:v>Radiology</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(2)'!$F$94:$F$97</c:f>
              <c:numCache>
                <c:formatCode>"£"#,##0_);[Red]\("£"#,##0\)</c:formatCode>
                <c:ptCount val="4"/>
                <c:pt idx="0">
                  <c:v>787120593</c:v>
                </c:pt>
                <c:pt idx="1">
                  <c:v>800938521</c:v>
                </c:pt>
                <c:pt idx="2">
                  <c:v>865482297</c:v>
                </c:pt>
                <c:pt idx="3">
                  <c:v>821622082</c:v>
                </c:pt>
              </c:numCache>
            </c:numRef>
          </c:val>
        </c:ser>
        <c:ser>
          <c:idx val="9"/>
          <c:order val="9"/>
          <c:tx>
            <c:strRef>
              <c:f>'Reference Costs Output (2)'!$D$99:$I$99</c:f>
              <c:strCache>
                <c:ptCount val="1"/>
                <c:pt idx="0">
                  <c:v>Rehabilitation</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(2)'!$F$104:$F$107</c:f>
              <c:numCache>
                <c:formatCode>"£"#,##0_);[Red]\("£"#,##0\)</c:formatCode>
                <c:ptCount val="4"/>
                <c:pt idx="0">
                  <c:v>706962591</c:v>
                </c:pt>
                <c:pt idx="1">
                  <c:v>868540789</c:v>
                </c:pt>
                <c:pt idx="2">
                  <c:v>915858318</c:v>
                </c:pt>
                <c:pt idx="3">
                  <c:v>945029495</c:v>
                </c:pt>
              </c:numCache>
            </c:numRef>
          </c:val>
        </c:ser>
        <c:ser>
          <c:idx val="10"/>
          <c:order val="10"/>
          <c:tx>
            <c:strRef>
              <c:f>'Reference Costs Output (2)'!$D$109:$I$109</c:f>
              <c:strCache>
                <c:ptCount val="1"/>
                <c:pt idx="0">
                  <c:v>Renal Dialysis</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(2)'!$F$114:$F$117</c:f>
              <c:numCache>
                <c:formatCode>"£"#,##0_);[Red]\("£"#,##0\)</c:formatCode>
                <c:ptCount val="4"/>
                <c:pt idx="0">
                  <c:v>453477771</c:v>
                </c:pt>
                <c:pt idx="1">
                  <c:v>489100439</c:v>
                </c:pt>
                <c:pt idx="2">
                  <c:v>523116896</c:v>
                </c:pt>
                <c:pt idx="3">
                  <c:v>528597833</c:v>
                </c:pt>
              </c:numCache>
            </c:numRef>
          </c:val>
        </c:ser>
        <c:ser>
          <c:idx val="11"/>
          <c:order val="11"/>
          <c:tx>
            <c:strRef>
              <c:f>'Reference Costs Output (2)'!$D$119:$I$119</c:f>
              <c:strCache>
                <c:ptCount val="1"/>
                <c:pt idx="0">
                  <c:v>Specialist Services</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(2)'!$F$124:$F$127</c:f>
              <c:numCache>
                <c:formatCode>"£"#,##0_);[Red]\("£"#,##0\)</c:formatCode>
                <c:ptCount val="4"/>
                <c:pt idx="0">
                  <c:v>2281153728</c:v>
                </c:pt>
                <c:pt idx="1">
                  <c:v>2563576383</c:v>
                </c:pt>
                <c:pt idx="2">
                  <c:v>2758727668</c:v>
                </c:pt>
                <c:pt idx="3">
                  <c:v>2833537449</c:v>
                </c:pt>
              </c:numCache>
            </c:numRef>
          </c:val>
        </c:ser>
        <c:ser>
          <c:idx val="12"/>
          <c:order val="12"/>
          <c:tx>
            <c:strRef>
              <c:f>'Reference Costs Output (2)'!$D$129</c:f>
              <c:strCache>
                <c:ptCount val="1"/>
                <c:pt idx="0">
                  <c:v>Opth &amp; Dentistry</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(2)'!$F$134:$F$137</c:f>
              <c:numCache>
                <c:formatCode>#,##0</c:formatCode>
                <c:ptCount val="4"/>
                <c:pt idx="0">
                  <c:v>1523208120</c:v>
                </c:pt>
                <c:pt idx="1">
                  <c:v>1599541161.5</c:v>
                </c:pt>
                <c:pt idx="2">
                  <c:v>1680648267</c:v>
                </c:pt>
                <c:pt idx="3">
                  <c:v>1716391363.9000001</c:v>
                </c:pt>
              </c:numCache>
            </c:numRef>
          </c:val>
        </c:ser>
        <c:dLbls>
          <c:showLegendKey val="0"/>
          <c:showVal val="0"/>
          <c:showCatName val="0"/>
          <c:showSerName val="0"/>
          <c:showPercent val="0"/>
          <c:showBubbleSize val="0"/>
        </c:dLbls>
        <c:gapWidth val="150"/>
        <c:overlap val="100"/>
        <c:axId val="108286336"/>
        <c:axId val="108287872"/>
      </c:barChart>
      <c:catAx>
        <c:axId val="108286336"/>
        <c:scaling>
          <c:orientation val="minMax"/>
        </c:scaling>
        <c:delete val="0"/>
        <c:axPos val="l"/>
        <c:majorTickMark val="out"/>
        <c:minorTickMark val="none"/>
        <c:tickLblPos val="nextTo"/>
        <c:txPr>
          <a:bodyPr/>
          <a:lstStyle/>
          <a:p>
            <a:pPr>
              <a:defRPr sz="800"/>
            </a:pPr>
            <a:endParaRPr lang="en-US"/>
          </a:p>
        </c:txPr>
        <c:crossAx val="108287872"/>
        <c:crosses val="autoZero"/>
        <c:auto val="1"/>
        <c:lblAlgn val="ctr"/>
        <c:lblOffset val="100"/>
        <c:noMultiLvlLbl val="0"/>
      </c:catAx>
      <c:valAx>
        <c:axId val="108287872"/>
        <c:scaling>
          <c:orientation val="minMax"/>
        </c:scaling>
        <c:delete val="0"/>
        <c:axPos val="b"/>
        <c:majorGridlines/>
        <c:numFmt formatCode="0%" sourceLinked="1"/>
        <c:majorTickMark val="out"/>
        <c:minorTickMark val="none"/>
        <c:tickLblPos val="nextTo"/>
        <c:txPr>
          <a:bodyPr/>
          <a:lstStyle/>
          <a:p>
            <a:pPr>
              <a:defRPr sz="800"/>
            </a:pPr>
            <a:endParaRPr lang="en-US"/>
          </a:p>
        </c:txPr>
        <c:crossAx val="108286336"/>
        <c:crosses val="autoZero"/>
        <c:crossBetween val="between"/>
      </c:valAx>
    </c:plotArea>
    <c:legend>
      <c:legendPos val="b"/>
      <c:layout>
        <c:manualLayout>
          <c:xMode val="edge"/>
          <c:yMode val="edge"/>
          <c:x val="5.1690368421951467E-2"/>
          <c:y val="0.84060542432195973"/>
          <c:w val="0.94830963157805093"/>
          <c:h val="0.15877955578133449"/>
        </c:manualLayout>
      </c:layout>
      <c:overlay val="0"/>
      <c:txPr>
        <a:bodyPr/>
        <a:lstStyle/>
        <a:p>
          <a:pPr>
            <a:defRPr sz="800">
              <a:latin typeface="Arial Rounded MT Bold" pitchFamily="34" charset="0"/>
            </a:defRPr>
          </a:pPr>
          <a:endParaRPr lang="en-US"/>
        </a:p>
      </c:txPr>
    </c:legend>
    <c:plotVisOnly val="1"/>
    <c:dispBlanksAs val="gap"/>
    <c:showDLblsOverMax val="0"/>
  </c:chart>
  <c:spPr>
    <a:ln>
      <a:noFill/>
    </a:ln>
  </c:spPr>
  <c:printSettings>
    <c:headerFooter/>
    <c:pageMargins b="0.75000000000000211" l="0.70000000000000062" r="0.70000000000000062" t="0.75000000000000211"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lineChart>
        <c:grouping val="standard"/>
        <c:varyColors val="0"/>
        <c:ser>
          <c:idx val="0"/>
          <c:order val="0"/>
          <c:tx>
            <c:v>Quantity</c:v>
          </c:tx>
          <c:spPr>
            <a:ln w="38100"/>
          </c:spPr>
          <c:marker>
            <c:symbol val="none"/>
          </c:marker>
          <c:cat>
            <c:strRef>
              <c:f>'Reference Costs Output (4)'!$B$14:$B$17</c:f>
              <c:strCache>
                <c:ptCount val="4"/>
                <c:pt idx="0">
                  <c:v>2007/08</c:v>
                </c:pt>
                <c:pt idx="1">
                  <c:v>2008/09</c:v>
                </c:pt>
                <c:pt idx="2">
                  <c:v>2009/10</c:v>
                </c:pt>
                <c:pt idx="3">
                  <c:v>2010/11</c:v>
                </c:pt>
              </c:strCache>
            </c:strRef>
          </c:cat>
          <c:val>
            <c:numRef>
              <c:f>'Reference Costs Output (4)'!$I$21:$I$24</c:f>
              <c:numCache>
                <c:formatCode>General</c:formatCode>
                <c:ptCount val="4"/>
                <c:pt idx="0">
                  <c:v>1</c:v>
                </c:pt>
                <c:pt idx="1">
                  <c:v>1.0701413061013521</c:v>
                </c:pt>
                <c:pt idx="2">
                  <c:v>1.1028656186863399</c:v>
                </c:pt>
                <c:pt idx="3">
                  <c:v>1.1107963443316946</c:v>
                </c:pt>
              </c:numCache>
            </c:numRef>
          </c:val>
          <c:smooth val="0"/>
        </c:ser>
        <c:ser>
          <c:idx val="1"/>
          <c:order val="1"/>
          <c:tx>
            <c:v>Cost</c:v>
          </c:tx>
          <c:spPr>
            <a:ln w="38100"/>
          </c:spPr>
          <c:marker>
            <c:symbol val="none"/>
          </c:marker>
          <c:cat>
            <c:strRef>
              <c:f>'Reference Costs Output (4)'!$B$14:$B$17</c:f>
              <c:strCache>
                <c:ptCount val="4"/>
                <c:pt idx="0">
                  <c:v>2007/08</c:v>
                </c:pt>
                <c:pt idx="1">
                  <c:v>2008/09</c:v>
                </c:pt>
                <c:pt idx="2">
                  <c:v>2009/10</c:v>
                </c:pt>
                <c:pt idx="3">
                  <c:v>2010/11</c:v>
                </c:pt>
              </c:strCache>
            </c:strRef>
          </c:cat>
          <c:val>
            <c:numRef>
              <c:f>'Reference Costs Output (4)'!$J$21:$J$24</c:f>
              <c:numCache>
                <c:formatCode>General</c:formatCode>
                <c:ptCount val="4"/>
                <c:pt idx="0">
                  <c:v>1</c:v>
                </c:pt>
                <c:pt idx="1">
                  <c:v>1.1386978109516299</c:v>
                </c:pt>
                <c:pt idx="2">
                  <c:v>1.2423324533729421</c:v>
                </c:pt>
                <c:pt idx="3">
                  <c:v>1.2932064432320249</c:v>
                </c:pt>
              </c:numCache>
            </c:numRef>
          </c:val>
          <c:smooth val="0"/>
        </c:ser>
        <c:dLbls>
          <c:showLegendKey val="0"/>
          <c:showVal val="0"/>
          <c:showCatName val="0"/>
          <c:showSerName val="0"/>
          <c:showPercent val="0"/>
          <c:showBubbleSize val="0"/>
        </c:dLbls>
        <c:marker val="1"/>
        <c:smooth val="0"/>
        <c:axId val="101940224"/>
        <c:axId val="101954304"/>
      </c:lineChart>
      <c:catAx>
        <c:axId val="101940224"/>
        <c:scaling>
          <c:orientation val="minMax"/>
        </c:scaling>
        <c:delete val="0"/>
        <c:axPos val="b"/>
        <c:majorTickMark val="out"/>
        <c:minorTickMark val="none"/>
        <c:tickLblPos val="nextTo"/>
        <c:txPr>
          <a:bodyPr/>
          <a:lstStyle/>
          <a:p>
            <a:pPr>
              <a:defRPr sz="1000">
                <a:latin typeface="Arial Rounded MT Bold" pitchFamily="34" charset="0"/>
              </a:defRPr>
            </a:pPr>
            <a:endParaRPr lang="en-US"/>
          </a:p>
        </c:txPr>
        <c:crossAx val="101954304"/>
        <c:crosses val="autoZero"/>
        <c:auto val="1"/>
        <c:lblAlgn val="ctr"/>
        <c:lblOffset val="100"/>
        <c:noMultiLvlLbl val="0"/>
      </c:catAx>
      <c:valAx>
        <c:axId val="101954304"/>
        <c:scaling>
          <c:orientation val="minMax"/>
          <c:min val="0.95000000000000062"/>
        </c:scaling>
        <c:delete val="0"/>
        <c:axPos val="l"/>
        <c:majorGridlines/>
        <c:numFmt formatCode="General" sourceLinked="1"/>
        <c:majorTickMark val="out"/>
        <c:minorTickMark val="none"/>
        <c:tickLblPos val="nextTo"/>
        <c:txPr>
          <a:bodyPr/>
          <a:lstStyle/>
          <a:p>
            <a:pPr>
              <a:defRPr sz="800">
                <a:latin typeface="Arial Rounded MT Bold" pitchFamily="34" charset="0"/>
              </a:defRPr>
            </a:pPr>
            <a:endParaRPr lang="en-US"/>
          </a:p>
        </c:txPr>
        <c:crossAx val="101940224"/>
        <c:crosses val="autoZero"/>
        <c:crossBetween val="between"/>
        <c:minorUnit val="0.05"/>
      </c:valAx>
    </c:plotArea>
    <c:legend>
      <c:legendPos val="b"/>
      <c:overlay val="0"/>
      <c:txPr>
        <a:bodyPr/>
        <a:lstStyle/>
        <a:p>
          <a:pPr>
            <a:defRPr sz="800">
              <a:latin typeface="Arial Rounded MT Bold" pitchFamily="34" charset="0"/>
            </a:defRPr>
          </a:pPr>
          <a:endParaRPr lang="en-US"/>
        </a:p>
      </c:txPr>
    </c:legend>
    <c:plotVisOnly val="1"/>
    <c:dispBlanksAs val="zero"/>
    <c:showDLblsOverMax val="0"/>
  </c:chart>
  <c:spPr>
    <a:ln>
      <a:noFill/>
    </a:ln>
  </c:spPr>
  <c:printSettings>
    <c:headerFooter/>
    <c:pageMargins b="0.75000000000000222" l="0.70000000000000062" r="0.70000000000000062" t="0.75000000000000222"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011919209023583E-2"/>
          <c:y val="2.3719793646483846E-3"/>
          <c:w val="0.8333643778398665"/>
          <c:h val="0.73340911696382993"/>
        </c:manualLayout>
      </c:layout>
      <c:barChart>
        <c:barDir val="bar"/>
        <c:grouping val="stacked"/>
        <c:varyColors val="0"/>
        <c:ser>
          <c:idx val="0"/>
          <c:order val="0"/>
          <c:tx>
            <c:strRef>
              <c:f>'Reference Costs Output (2)'!$D$8:$I$8</c:f>
              <c:strCache>
                <c:ptCount val="1"/>
                <c:pt idx="0">
                  <c:v>A&amp;E Services</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(2)'!$F$13:$F$16</c:f>
              <c:numCache>
                <c:formatCode>"£"#,##0_);[Red]\("£"#,##0\)</c:formatCode>
                <c:ptCount val="4"/>
                <c:pt idx="0">
                  <c:v>2653789144</c:v>
                </c:pt>
                <c:pt idx="1">
                  <c:v>3021863889</c:v>
                </c:pt>
                <c:pt idx="2">
                  <c:v>3296888378</c:v>
                </c:pt>
                <c:pt idx="3">
                  <c:v>3431897220</c:v>
                </c:pt>
              </c:numCache>
            </c:numRef>
          </c:val>
        </c:ser>
        <c:ser>
          <c:idx val="1"/>
          <c:order val="1"/>
          <c:tx>
            <c:strRef>
              <c:f>'Reference Costs Output (2)'!$D$19:$I$19</c:f>
              <c:strCache>
                <c:ptCount val="1"/>
                <c:pt idx="0">
                  <c:v>Chemo/Radiotherapy &amp; High Cost Drugs</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(2)'!$F$24:$F$27</c:f>
              <c:numCache>
                <c:formatCode>"£"#,##0_);[Red]\("£"#,##0\)</c:formatCode>
                <c:ptCount val="4"/>
                <c:pt idx="0">
                  <c:v>976800940</c:v>
                </c:pt>
                <c:pt idx="1">
                  <c:v>1530911288</c:v>
                </c:pt>
                <c:pt idx="2">
                  <c:v>1970519534</c:v>
                </c:pt>
                <c:pt idx="3">
                  <c:v>2183136937</c:v>
                </c:pt>
              </c:numCache>
            </c:numRef>
          </c:val>
        </c:ser>
        <c:ser>
          <c:idx val="2"/>
          <c:order val="2"/>
          <c:tx>
            <c:strRef>
              <c:f>'Reference Costs Output (2)'!$D$29:$I$29</c:f>
              <c:strCache>
                <c:ptCount val="1"/>
                <c:pt idx="0">
                  <c:v>Community Care</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(2)'!$F$34:$F$37</c:f>
              <c:numCache>
                <c:formatCode>"£"#,##0_);[Red]\("£"#,##0\)</c:formatCode>
                <c:ptCount val="4"/>
                <c:pt idx="0">
                  <c:v>3630325787</c:v>
                </c:pt>
                <c:pt idx="1">
                  <c:v>3945710493</c:v>
                </c:pt>
                <c:pt idx="2">
                  <c:v>4208381075</c:v>
                </c:pt>
                <c:pt idx="3">
                  <c:v>4234047152</c:v>
                </c:pt>
              </c:numCache>
            </c:numRef>
          </c:val>
        </c:ser>
        <c:ser>
          <c:idx val="3"/>
          <c:order val="3"/>
          <c:tx>
            <c:strRef>
              <c:f>'Reference Costs Output (2)'!$D$39:$I$39</c:f>
              <c:strCache>
                <c:ptCount val="1"/>
                <c:pt idx="0">
                  <c:v>Diagnostic Tests</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(2)'!$F$44:$F$47</c:f>
              <c:numCache>
                <c:formatCode>"£"#,##0_);[Red]\("£"#,##0\)</c:formatCode>
                <c:ptCount val="4"/>
                <c:pt idx="0">
                  <c:v>714025656</c:v>
                </c:pt>
                <c:pt idx="1">
                  <c:v>686042927</c:v>
                </c:pt>
                <c:pt idx="2">
                  <c:v>758266445</c:v>
                </c:pt>
                <c:pt idx="3">
                  <c:v>805583529</c:v>
                </c:pt>
              </c:numCache>
            </c:numRef>
          </c:val>
        </c:ser>
        <c:ser>
          <c:idx val="4"/>
          <c:order val="4"/>
          <c:tx>
            <c:strRef>
              <c:f>'Reference Costs Output (2)'!$D$49:$I$49</c:f>
              <c:strCache>
                <c:ptCount val="1"/>
                <c:pt idx="0">
                  <c:v>Hospital and Non-Admitted Mental Health</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(2)'!$F$54:$F$57</c:f>
              <c:numCache>
                <c:formatCode>"£"#,##0_);[Red]\("£"#,##0\)</c:formatCode>
                <c:ptCount val="4"/>
                <c:pt idx="0">
                  <c:v>3333571276</c:v>
                </c:pt>
                <c:pt idx="1">
                  <c:v>3570652030</c:v>
                </c:pt>
                <c:pt idx="2">
                  <c:v>3762869183</c:v>
                </c:pt>
                <c:pt idx="3">
                  <c:v>3863586450</c:v>
                </c:pt>
              </c:numCache>
            </c:numRef>
          </c:val>
        </c:ser>
        <c:ser>
          <c:idx val="5"/>
          <c:order val="5"/>
          <c:tx>
            <c:strRef>
              <c:f>'Reference Costs Output (2)'!$D$59:$I$59</c:f>
              <c:strCache>
                <c:ptCount val="1"/>
                <c:pt idx="0">
                  <c:v>Hospital/Patient Transport Scheme</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(2)'!$F$64:$F$67</c:f>
              <c:numCache>
                <c:formatCode>"£"#,##0_);[Red]\("£"#,##0\)</c:formatCode>
                <c:ptCount val="4"/>
                <c:pt idx="0">
                  <c:v>214203331</c:v>
                </c:pt>
                <c:pt idx="1">
                  <c:v>254832199</c:v>
                </c:pt>
                <c:pt idx="2">
                  <c:v>194852225</c:v>
                </c:pt>
                <c:pt idx="3">
                  <c:v>5470622</c:v>
                </c:pt>
              </c:numCache>
            </c:numRef>
          </c:val>
        </c:ser>
        <c:ser>
          <c:idx val="6"/>
          <c:order val="6"/>
          <c:tx>
            <c:strRef>
              <c:f>'Reference Costs Output (2)'!$D$69:$I$69</c:f>
              <c:strCache>
                <c:ptCount val="1"/>
                <c:pt idx="0">
                  <c:v>Other</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(2)'!$F$74:$F$77</c:f>
              <c:numCache>
                <c:formatCode>"£"#,##0_);[Red]\("£"#,##0\)</c:formatCode>
                <c:ptCount val="4"/>
                <c:pt idx="0">
                  <c:v>10623346440</c:v>
                </c:pt>
                <c:pt idx="1">
                  <c:v>12162031638.5</c:v>
                </c:pt>
                <c:pt idx="2">
                  <c:v>13307869308</c:v>
                </c:pt>
                <c:pt idx="3">
                  <c:v>13629397236.9</c:v>
                </c:pt>
              </c:numCache>
            </c:numRef>
          </c:val>
        </c:ser>
        <c:ser>
          <c:idx val="7"/>
          <c:order val="7"/>
          <c:tx>
            <c:strRef>
              <c:f>'Reference Costs Output (2)'!$D$79:$I$79</c:f>
              <c:strCache>
                <c:ptCount val="1"/>
                <c:pt idx="0">
                  <c:v>Outpatient</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(2)'!$F$84:$F$87</c:f>
              <c:numCache>
                <c:formatCode>"£"#,##0_);[Red]\("£"#,##0\)</c:formatCode>
                <c:ptCount val="4"/>
                <c:pt idx="0">
                  <c:v>6552679133</c:v>
                </c:pt>
                <c:pt idx="1">
                  <c:v>7317052852</c:v>
                </c:pt>
                <c:pt idx="2">
                  <c:v>7623618289</c:v>
                </c:pt>
                <c:pt idx="3">
                  <c:v>8516922013</c:v>
                </c:pt>
              </c:numCache>
            </c:numRef>
          </c:val>
        </c:ser>
        <c:ser>
          <c:idx val="8"/>
          <c:order val="8"/>
          <c:tx>
            <c:strRef>
              <c:f>'Reference Costs Output (2)'!$D$89:$I$89</c:f>
              <c:strCache>
                <c:ptCount val="1"/>
                <c:pt idx="0">
                  <c:v>Radiology</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(2)'!$F$94:$F$97</c:f>
              <c:numCache>
                <c:formatCode>"£"#,##0_);[Red]\("£"#,##0\)</c:formatCode>
                <c:ptCount val="4"/>
                <c:pt idx="0">
                  <c:v>787120593</c:v>
                </c:pt>
                <c:pt idx="1">
                  <c:v>800938521</c:v>
                </c:pt>
                <c:pt idx="2">
                  <c:v>865482297</c:v>
                </c:pt>
                <c:pt idx="3">
                  <c:v>821622082</c:v>
                </c:pt>
              </c:numCache>
            </c:numRef>
          </c:val>
        </c:ser>
        <c:ser>
          <c:idx val="9"/>
          <c:order val="9"/>
          <c:tx>
            <c:strRef>
              <c:f>'Reference Costs Output (2)'!$D$99:$I$99</c:f>
              <c:strCache>
                <c:ptCount val="1"/>
                <c:pt idx="0">
                  <c:v>Rehabilitation</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(2)'!$F$104:$F$107</c:f>
              <c:numCache>
                <c:formatCode>"£"#,##0_);[Red]\("£"#,##0\)</c:formatCode>
                <c:ptCount val="4"/>
                <c:pt idx="0">
                  <c:v>706962591</c:v>
                </c:pt>
                <c:pt idx="1">
                  <c:v>868540789</c:v>
                </c:pt>
                <c:pt idx="2">
                  <c:v>915858318</c:v>
                </c:pt>
                <c:pt idx="3">
                  <c:v>945029495</c:v>
                </c:pt>
              </c:numCache>
            </c:numRef>
          </c:val>
        </c:ser>
        <c:ser>
          <c:idx val="10"/>
          <c:order val="10"/>
          <c:tx>
            <c:strRef>
              <c:f>'Reference Costs Output (2)'!$D$109:$I$109</c:f>
              <c:strCache>
                <c:ptCount val="1"/>
                <c:pt idx="0">
                  <c:v>Renal Dialysis</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(2)'!$F$114:$F$117</c:f>
              <c:numCache>
                <c:formatCode>"£"#,##0_);[Red]\("£"#,##0\)</c:formatCode>
                <c:ptCount val="4"/>
                <c:pt idx="0">
                  <c:v>453477771</c:v>
                </c:pt>
                <c:pt idx="1">
                  <c:v>489100439</c:v>
                </c:pt>
                <c:pt idx="2">
                  <c:v>523116896</c:v>
                </c:pt>
                <c:pt idx="3">
                  <c:v>528597833</c:v>
                </c:pt>
              </c:numCache>
            </c:numRef>
          </c:val>
        </c:ser>
        <c:ser>
          <c:idx val="11"/>
          <c:order val="11"/>
          <c:tx>
            <c:strRef>
              <c:f>'Reference Costs Output (2)'!$D$119:$I$119</c:f>
              <c:strCache>
                <c:ptCount val="1"/>
                <c:pt idx="0">
                  <c:v>Specialist Services</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(2)'!$F$124:$F$127</c:f>
              <c:numCache>
                <c:formatCode>"£"#,##0_);[Red]\("£"#,##0\)</c:formatCode>
                <c:ptCount val="4"/>
                <c:pt idx="0">
                  <c:v>2281153728</c:v>
                </c:pt>
                <c:pt idx="1">
                  <c:v>2563576383</c:v>
                </c:pt>
                <c:pt idx="2">
                  <c:v>2758727668</c:v>
                </c:pt>
                <c:pt idx="3">
                  <c:v>2833537449</c:v>
                </c:pt>
              </c:numCache>
            </c:numRef>
          </c:val>
        </c:ser>
        <c:ser>
          <c:idx val="12"/>
          <c:order val="12"/>
          <c:tx>
            <c:strRef>
              <c:f>'Reference Costs Output (2)'!$D$129</c:f>
              <c:strCache>
                <c:ptCount val="1"/>
                <c:pt idx="0">
                  <c:v>Opth &amp; Dentistry</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(2)'!$F$134:$F$137</c:f>
              <c:numCache>
                <c:formatCode>#,##0</c:formatCode>
                <c:ptCount val="4"/>
                <c:pt idx="0">
                  <c:v>1523208120</c:v>
                </c:pt>
                <c:pt idx="1">
                  <c:v>1599541161.5</c:v>
                </c:pt>
                <c:pt idx="2">
                  <c:v>1680648267</c:v>
                </c:pt>
                <c:pt idx="3">
                  <c:v>1716391363.9000001</c:v>
                </c:pt>
              </c:numCache>
            </c:numRef>
          </c:val>
        </c:ser>
        <c:dLbls>
          <c:showLegendKey val="0"/>
          <c:showVal val="0"/>
          <c:showCatName val="0"/>
          <c:showSerName val="0"/>
          <c:showPercent val="0"/>
          <c:showBubbleSize val="0"/>
        </c:dLbls>
        <c:gapWidth val="150"/>
        <c:overlap val="100"/>
        <c:axId val="102029568"/>
        <c:axId val="102035456"/>
      </c:barChart>
      <c:catAx>
        <c:axId val="102029568"/>
        <c:scaling>
          <c:orientation val="minMax"/>
        </c:scaling>
        <c:delete val="0"/>
        <c:axPos val="l"/>
        <c:majorTickMark val="out"/>
        <c:minorTickMark val="none"/>
        <c:tickLblPos val="nextTo"/>
        <c:txPr>
          <a:bodyPr/>
          <a:lstStyle/>
          <a:p>
            <a:pPr>
              <a:defRPr sz="800"/>
            </a:pPr>
            <a:endParaRPr lang="en-US"/>
          </a:p>
        </c:txPr>
        <c:crossAx val="102035456"/>
        <c:crosses val="autoZero"/>
        <c:auto val="1"/>
        <c:lblAlgn val="ctr"/>
        <c:lblOffset val="100"/>
        <c:noMultiLvlLbl val="0"/>
      </c:catAx>
      <c:valAx>
        <c:axId val="102035456"/>
        <c:scaling>
          <c:orientation val="minMax"/>
          <c:max val="33000000000"/>
          <c:min val="0"/>
        </c:scaling>
        <c:delete val="0"/>
        <c:axPos val="b"/>
        <c:majorGridlines/>
        <c:numFmt formatCode="&quot;£&quot;#,##0_);[Red]\(&quot;£&quot;#,##0\)" sourceLinked="1"/>
        <c:majorTickMark val="out"/>
        <c:minorTickMark val="none"/>
        <c:tickLblPos val="nextTo"/>
        <c:txPr>
          <a:bodyPr/>
          <a:lstStyle/>
          <a:p>
            <a:pPr>
              <a:defRPr sz="800"/>
            </a:pPr>
            <a:endParaRPr lang="en-US"/>
          </a:p>
        </c:txPr>
        <c:crossAx val="102029568"/>
        <c:crosses val="autoZero"/>
        <c:crossBetween val="between"/>
      </c:valAx>
    </c:plotArea>
    <c:legend>
      <c:legendPos val="b"/>
      <c:layout>
        <c:manualLayout>
          <c:xMode val="edge"/>
          <c:yMode val="edge"/>
          <c:x val="5.1690368421951467E-2"/>
          <c:y val="0.84060542432195973"/>
          <c:w val="0.94830963157805148"/>
          <c:h val="0.15877955578133462"/>
        </c:manualLayout>
      </c:layout>
      <c:overlay val="0"/>
      <c:txPr>
        <a:bodyPr/>
        <a:lstStyle/>
        <a:p>
          <a:pPr>
            <a:defRPr sz="800">
              <a:latin typeface="Arial Rounded MT Bold" pitchFamily="34" charset="0"/>
            </a:defRPr>
          </a:pPr>
          <a:endParaRPr lang="en-US"/>
        </a:p>
      </c:txPr>
    </c:legend>
    <c:plotVisOnly val="1"/>
    <c:dispBlanksAs val="gap"/>
    <c:showDLblsOverMax val="0"/>
  </c:chart>
  <c:spPr>
    <a:ln>
      <a:noFill/>
    </a:ln>
  </c:spPr>
  <c:printSettings>
    <c:headerFooter/>
    <c:pageMargins b="0.75000000000000255" l="0.70000000000000062" r="0.70000000000000062" t="0.7500000000000025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80847865817207"/>
          <c:y val="5.1418959726808391E-2"/>
          <c:w val="0.79007067825849753"/>
          <c:h val="0.72727886433550981"/>
        </c:manualLayout>
      </c:layout>
      <c:barChart>
        <c:barDir val="bar"/>
        <c:grouping val="percentStacked"/>
        <c:varyColors val="0"/>
        <c:ser>
          <c:idx val="0"/>
          <c:order val="0"/>
          <c:tx>
            <c:strRef>
              <c:f>'Reference Costs Output (2)'!$D$8:$I$8</c:f>
              <c:strCache>
                <c:ptCount val="1"/>
                <c:pt idx="0">
                  <c:v>A&amp;E Services</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(2)'!$F$13:$F$16</c:f>
              <c:numCache>
                <c:formatCode>"£"#,##0_);[Red]\("£"#,##0\)</c:formatCode>
                <c:ptCount val="4"/>
                <c:pt idx="0">
                  <c:v>2653789144</c:v>
                </c:pt>
                <c:pt idx="1">
                  <c:v>3021863889</c:v>
                </c:pt>
                <c:pt idx="2">
                  <c:v>3296888378</c:v>
                </c:pt>
                <c:pt idx="3">
                  <c:v>3431897220</c:v>
                </c:pt>
              </c:numCache>
            </c:numRef>
          </c:val>
        </c:ser>
        <c:ser>
          <c:idx val="1"/>
          <c:order val="1"/>
          <c:tx>
            <c:strRef>
              <c:f>'Reference Costs Output (2)'!$D$19:$I$19</c:f>
              <c:strCache>
                <c:ptCount val="1"/>
                <c:pt idx="0">
                  <c:v>Chemo/Radiotherapy &amp; High Cost Drugs</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(2)'!$F$24:$F$27</c:f>
              <c:numCache>
                <c:formatCode>"£"#,##0_);[Red]\("£"#,##0\)</c:formatCode>
                <c:ptCount val="4"/>
                <c:pt idx="0">
                  <c:v>976800940</c:v>
                </c:pt>
                <c:pt idx="1">
                  <c:v>1530911288</c:v>
                </c:pt>
                <c:pt idx="2">
                  <c:v>1970519534</c:v>
                </c:pt>
                <c:pt idx="3">
                  <c:v>2183136937</c:v>
                </c:pt>
              </c:numCache>
            </c:numRef>
          </c:val>
        </c:ser>
        <c:ser>
          <c:idx val="2"/>
          <c:order val="2"/>
          <c:tx>
            <c:strRef>
              <c:f>'Reference Costs Output (2)'!$D$29:$I$29</c:f>
              <c:strCache>
                <c:ptCount val="1"/>
                <c:pt idx="0">
                  <c:v>Community Care</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(2)'!$F$34:$F$37</c:f>
              <c:numCache>
                <c:formatCode>"£"#,##0_);[Red]\("£"#,##0\)</c:formatCode>
                <c:ptCount val="4"/>
                <c:pt idx="0">
                  <c:v>3630325787</c:v>
                </c:pt>
                <c:pt idx="1">
                  <c:v>3945710493</c:v>
                </c:pt>
                <c:pt idx="2">
                  <c:v>4208381075</c:v>
                </c:pt>
                <c:pt idx="3">
                  <c:v>4234047152</c:v>
                </c:pt>
              </c:numCache>
            </c:numRef>
          </c:val>
        </c:ser>
        <c:ser>
          <c:idx val="3"/>
          <c:order val="3"/>
          <c:tx>
            <c:strRef>
              <c:f>'Reference Costs Output (2)'!$D$39:$I$39</c:f>
              <c:strCache>
                <c:ptCount val="1"/>
                <c:pt idx="0">
                  <c:v>Diagnostic Tests</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(2)'!$F$44:$F$47</c:f>
              <c:numCache>
                <c:formatCode>"£"#,##0_);[Red]\("£"#,##0\)</c:formatCode>
                <c:ptCount val="4"/>
                <c:pt idx="0">
                  <c:v>714025656</c:v>
                </c:pt>
                <c:pt idx="1">
                  <c:v>686042927</c:v>
                </c:pt>
                <c:pt idx="2">
                  <c:v>758266445</c:v>
                </c:pt>
                <c:pt idx="3">
                  <c:v>805583529</c:v>
                </c:pt>
              </c:numCache>
            </c:numRef>
          </c:val>
        </c:ser>
        <c:ser>
          <c:idx val="4"/>
          <c:order val="4"/>
          <c:tx>
            <c:strRef>
              <c:f>'Reference Costs Output (2)'!$D$49:$I$49</c:f>
              <c:strCache>
                <c:ptCount val="1"/>
                <c:pt idx="0">
                  <c:v>Hospital and Non-Admitted Mental Health</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(2)'!$F$54:$F$57</c:f>
              <c:numCache>
                <c:formatCode>"£"#,##0_);[Red]\("£"#,##0\)</c:formatCode>
                <c:ptCount val="4"/>
                <c:pt idx="0">
                  <c:v>3333571276</c:v>
                </c:pt>
                <c:pt idx="1">
                  <c:v>3570652030</c:v>
                </c:pt>
                <c:pt idx="2">
                  <c:v>3762869183</c:v>
                </c:pt>
                <c:pt idx="3">
                  <c:v>3863586450</c:v>
                </c:pt>
              </c:numCache>
            </c:numRef>
          </c:val>
        </c:ser>
        <c:ser>
          <c:idx val="5"/>
          <c:order val="5"/>
          <c:tx>
            <c:strRef>
              <c:f>'Reference Costs Output (2)'!$D$59:$I$59</c:f>
              <c:strCache>
                <c:ptCount val="1"/>
                <c:pt idx="0">
                  <c:v>Hospital/Patient Transport Scheme</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(2)'!$F$64:$F$67</c:f>
              <c:numCache>
                <c:formatCode>"£"#,##0_);[Red]\("£"#,##0\)</c:formatCode>
                <c:ptCount val="4"/>
                <c:pt idx="0">
                  <c:v>214203331</c:v>
                </c:pt>
                <c:pt idx="1">
                  <c:v>254832199</c:v>
                </c:pt>
                <c:pt idx="2">
                  <c:v>194852225</c:v>
                </c:pt>
                <c:pt idx="3">
                  <c:v>5470622</c:v>
                </c:pt>
              </c:numCache>
            </c:numRef>
          </c:val>
        </c:ser>
        <c:ser>
          <c:idx val="6"/>
          <c:order val="6"/>
          <c:tx>
            <c:strRef>
              <c:f>'Reference Costs Output (2)'!$D$69:$I$69</c:f>
              <c:strCache>
                <c:ptCount val="1"/>
                <c:pt idx="0">
                  <c:v>Other</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(2)'!$F$74:$F$77</c:f>
              <c:numCache>
                <c:formatCode>"£"#,##0_);[Red]\("£"#,##0\)</c:formatCode>
                <c:ptCount val="4"/>
                <c:pt idx="0">
                  <c:v>10623346440</c:v>
                </c:pt>
                <c:pt idx="1">
                  <c:v>12162031638.5</c:v>
                </c:pt>
                <c:pt idx="2">
                  <c:v>13307869308</c:v>
                </c:pt>
                <c:pt idx="3">
                  <c:v>13629397236.9</c:v>
                </c:pt>
              </c:numCache>
            </c:numRef>
          </c:val>
        </c:ser>
        <c:ser>
          <c:idx val="7"/>
          <c:order val="7"/>
          <c:tx>
            <c:strRef>
              <c:f>'Reference Costs Output (2)'!$D$79:$I$79</c:f>
              <c:strCache>
                <c:ptCount val="1"/>
                <c:pt idx="0">
                  <c:v>Outpatient</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(2)'!$F$84:$F$87</c:f>
              <c:numCache>
                <c:formatCode>"£"#,##0_);[Red]\("£"#,##0\)</c:formatCode>
                <c:ptCount val="4"/>
                <c:pt idx="0">
                  <c:v>6552679133</c:v>
                </c:pt>
                <c:pt idx="1">
                  <c:v>7317052852</c:v>
                </c:pt>
                <c:pt idx="2">
                  <c:v>7623618289</c:v>
                </c:pt>
                <c:pt idx="3">
                  <c:v>8516922013</c:v>
                </c:pt>
              </c:numCache>
            </c:numRef>
          </c:val>
        </c:ser>
        <c:ser>
          <c:idx val="8"/>
          <c:order val="8"/>
          <c:tx>
            <c:strRef>
              <c:f>'Reference Costs Output (2)'!$D$89:$I$89</c:f>
              <c:strCache>
                <c:ptCount val="1"/>
                <c:pt idx="0">
                  <c:v>Radiology</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(2)'!$F$94:$F$97</c:f>
              <c:numCache>
                <c:formatCode>"£"#,##0_);[Red]\("£"#,##0\)</c:formatCode>
                <c:ptCount val="4"/>
                <c:pt idx="0">
                  <c:v>787120593</c:v>
                </c:pt>
                <c:pt idx="1">
                  <c:v>800938521</c:v>
                </c:pt>
                <c:pt idx="2">
                  <c:v>865482297</c:v>
                </c:pt>
                <c:pt idx="3">
                  <c:v>821622082</c:v>
                </c:pt>
              </c:numCache>
            </c:numRef>
          </c:val>
        </c:ser>
        <c:ser>
          <c:idx val="9"/>
          <c:order val="9"/>
          <c:tx>
            <c:strRef>
              <c:f>'Reference Costs Output (2)'!$D$99:$I$99</c:f>
              <c:strCache>
                <c:ptCount val="1"/>
                <c:pt idx="0">
                  <c:v>Rehabilitation</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(2)'!$F$104:$F$107</c:f>
              <c:numCache>
                <c:formatCode>"£"#,##0_);[Red]\("£"#,##0\)</c:formatCode>
                <c:ptCount val="4"/>
                <c:pt idx="0">
                  <c:v>706962591</c:v>
                </c:pt>
                <c:pt idx="1">
                  <c:v>868540789</c:v>
                </c:pt>
                <c:pt idx="2">
                  <c:v>915858318</c:v>
                </c:pt>
                <c:pt idx="3">
                  <c:v>945029495</c:v>
                </c:pt>
              </c:numCache>
            </c:numRef>
          </c:val>
        </c:ser>
        <c:ser>
          <c:idx val="10"/>
          <c:order val="10"/>
          <c:tx>
            <c:strRef>
              <c:f>'Reference Costs Output (2)'!$D$109:$I$109</c:f>
              <c:strCache>
                <c:ptCount val="1"/>
                <c:pt idx="0">
                  <c:v>Renal Dialysis</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(2)'!$F$114:$F$117</c:f>
              <c:numCache>
                <c:formatCode>"£"#,##0_);[Red]\("£"#,##0\)</c:formatCode>
                <c:ptCount val="4"/>
                <c:pt idx="0">
                  <c:v>453477771</c:v>
                </c:pt>
                <c:pt idx="1">
                  <c:v>489100439</c:v>
                </c:pt>
                <c:pt idx="2">
                  <c:v>523116896</c:v>
                </c:pt>
                <c:pt idx="3">
                  <c:v>528597833</c:v>
                </c:pt>
              </c:numCache>
            </c:numRef>
          </c:val>
        </c:ser>
        <c:ser>
          <c:idx val="11"/>
          <c:order val="11"/>
          <c:tx>
            <c:strRef>
              <c:f>'Reference Costs Output (2)'!$D$119:$I$119</c:f>
              <c:strCache>
                <c:ptCount val="1"/>
                <c:pt idx="0">
                  <c:v>Specialist Services</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(2)'!$F$124:$F$127</c:f>
              <c:numCache>
                <c:formatCode>"£"#,##0_);[Red]\("£"#,##0\)</c:formatCode>
                <c:ptCount val="4"/>
                <c:pt idx="0">
                  <c:v>2281153728</c:v>
                </c:pt>
                <c:pt idx="1">
                  <c:v>2563576383</c:v>
                </c:pt>
                <c:pt idx="2">
                  <c:v>2758727668</c:v>
                </c:pt>
                <c:pt idx="3">
                  <c:v>2833537449</c:v>
                </c:pt>
              </c:numCache>
            </c:numRef>
          </c:val>
        </c:ser>
        <c:ser>
          <c:idx val="12"/>
          <c:order val="12"/>
          <c:tx>
            <c:strRef>
              <c:f>'Reference Costs Output (2)'!$D$129</c:f>
              <c:strCache>
                <c:ptCount val="1"/>
                <c:pt idx="0">
                  <c:v>Opth &amp; Dentistry</c:v>
                </c:pt>
              </c:strCache>
            </c:strRef>
          </c:tx>
          <c:invertIfNegative val="0"/>
          <c:cat>
            <c:strRef>
              <c:f>'Reference Costs Output (2)'!$D$13:$D$16</c:f>
              <c:strCache>
                <c:ptCount val="4"/>
                <c:pt idx="0">
                  <c:v>2007/08</c:v>
                </c:pt>
                <c:pt idx="1">
                  <c:v>2008/09</c:v>
                </c:pt>
                <c:pt idx="2">
                  <c:v>2009/10</c:v>
                </c:pt>
                <c:pt idx="3">
                  <c:v>2010/11</c:v>
                </c:pt>
              </c:strCache>
            </c:strRef>
          </c:cat>
          <c:val>
            <c:numRef>
              <c:f>'Reference Costs Output (2)'!$F$134:$F$137</c:f>
              <c:numCache>
                <c:formatCode>#,##0</c:formatCode>
                <c:ptCount val="4"/>
                <c:pt idx="0">
                  <c:v>1523208120</c:v>
                </c:pt>
                <c:pt idx="1">
                  <c:v>1599541161.5</c:v>
                </c:pt>
                <c:pt idx="2">
                  <c:v>1680648267</c:v>
                </c:pt>
                <c:pt idx="3">
                  <c:v>1716391363.9000001</c:v>
                </c:pt>
              </c:numCache>
            </c:numRef>
          </c:val>
        </c:ser>
        <c:dLbls>
          <c:showLegendKey val="0"/>
          <c:showVal val="0"/>
          <c:showCatName val="0"/>
          <c:showSerName val="0"/>
          <c:showPercent val="0"/>
          <c:showBubbleSize val="0"/>
        </c:dLbls>
        <c:gapWidth val="150"/>
        <c:overlap val="100"/>
        <c:axId val="108717184"/>
        <c:axId val="108718720"/>
      </c:barChart>
      <c:catAx>
        <c:axId val="108717184"/>
        <c:scaling>
          <c:orientation val="minMax"/>
        </c:scaling>
        <c:delete val="0"/>
        <c:axPos val="l"/>
        <c:majorTickMark val="out"/>
        <c:minorTickMark val="none"/>
        <c:tickLblPos val="nextTo"/>
        <c:txPr>
          <a:bodyPr/>
          <a:lstStyle/>
          <a:p>
            <a:pPr>
              <a:defRPr sz="800"/>
            </a:pPr>
            <a:endParaRPr lang="en-US"/>
          </a:p>
        </c:txPr>
        <c:crossAx val="108718720"/>
        <c:crosses val="autoZero"/>
        <c:auto val="1"/>
        <c:lblAlgn val="ctr"/>
        <c:lblOffset val="100"/>
        <c:noMultiLvlLbl val="0"/>
      </c:catAx>
      <c:valAx>
        <c:axId val="108718720"/>
        <c:scaling>
          <c:orientation val="minMax"/>
        </c:scaling>
        <c:delete val="0"/>
        <c:axPos val="b"/>
        <c:majorGridlines/>
        <c:numFmt formatCode="0%" sourceLinked="1"/>
        <c:majorTickMark val="out"/>
        <c:minorTickMark val="none"/>
        <c:tickLblPos val="nextTo"/>
        <c:txPr>
          <a:bodyPr/>
          <a:lstStyle/>
          <a:p>
            <a:pPr>
              <a:defRPr sz="800"/>
            </a:pPr>
            <a:endParaRPr lang="en-US"/>
          </a:p>
        </c:txPr>
        <c:crossAx val="108717184"/>
        <c:crosses val="autoZero"/>
        <c:crossBetween val="between"/>
      </c:valAx>
    </c:plotArea>
    <c:legend>
      <c:legendPos val="b"/>
      <c:layout>
        <c:manualLayout>
          <c:xMode val="edge"/>
          <c:yMode val="edge"/>
          <c:x val="5.1690368421951467E-2"/>
          <c:y val="0.84060542432195973"/>
          <c:w val="0.94830963157805148"/>
          <c:h val="0.15877955578133462"/>
        </c:manualLayout>
      </c:layout>
      <c:overlay val="0"/>
      <c:txPr>
        <a:bodyPr/>
        <a:lstStyle/>
        <a:p>
          <a:pPr>
            <a:defRPr sz="800">
              <a:latin typeface="Arial Rounded MT Bold" pitchFamily="34" charset="0"/>
            </a:defRPr>
          </a:pPr>
          <a:endParaRPr lang="en-US"/>
        </a:p>
      </c:txPr>
    </c:legend>
    <c:plotVisOnly val="1"/>
    <c:dispBlanksAs val="gap"/>
    <c:showDLblsOverMax val="0"/>
  </c:chart>
  <c:spPr>
    <a:ln>
      <a:noFill/>
    </a:ln>
  </c:spPr>
  <c:printSettings>
    <c:headerFooter/>
    <c:pageMargins b="0.75000000000000255" l="0.70000000000000062" r="0.70000000000000062" t="0.7500000000000025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lineChart>
        <c:grouping val="standard"/>
        <c:varyColors val="0"/>
        <c:ser>
          <c:idx val="0"/>
          <c:order val="0"/>
          <c:tx>
            <c:strRef>
              <c:f>'HES output'!$C$11</c:f>
              <c:strCache>
                <c:ptCount val="1"/>
                <c:pt idx="0">
                  <c:v>Total CIPS</c:v>
                </c:pt>
              </c:strCache>
            </c:strRef>
          </c:tx>
          <c:spPr>
            <a:ln w="38100"/>
          </c:spPr>
          <c:marker>
            <c:symbol val="none"/>
          </c:marker>
          <c:cat>
            <c:strRef>
              <c:f>'HES output'!$B$12:$B$18</c:f>
              <c:strCache>
                <c:ptCount val="7"/>
                <c:pt idx="0">
                  <c:v>2004/05</c:v>
                </c:pt>
                <c:pt idx="1">
                  <c:v>2005/06</c:v>
                </c:pt>
                <c:pt idx="2">
                  <c:v>2006/07</c:v>
                </c:pt>
                <c:pt idx="3">
                  <c:v>2007/08</c:v>
                </c:pt>
                <c:pt idx="4">
                  <c:v>2008/09</c:v>
                </c:pt>
                <c:pt idx="5">
                  <c:v>2009/10</c:v>
                </c:pt>
                <c:pt idx="6">
                  <c:v>2010/11</c:v>
                </c:pt>
              </c:strCache>
            </c:strRef>
          </c:cat>
          <c:val>
            <c:numRef>
              <c:f>'HES output'!$H$20:$H$26</c:f>
              <c:numCache>
                <c:formatCode>General</c:formatCode>
                <c:ptCount val="7"/>
                <c:pt idx="0">
                  <c:v>1</c:v>
                </c:pt>
                <c:pt idx="1">
                  <c:v>0.96951194921884454</c:v>
                </c:pt>
                <c:pt idx="2">
                  <c:v>0.93206326673818185</c:v>
                </c:pt>
                <c:pt idx="3">
                  <c:v>0.89943782615358558</c:v>
                </c:pt>
                <c:pt idx="4">
                  <c:v>0.87570876652444285</c:v>
                </c:pt>
                <c:pt idx="5">
                  <c:v>0.98086027923183017</c:v>
                </c:pt>
                <c:pt idx="6">
                  <c:v>1.0148407442955889</c:v>
                </c:pt>
              </c:numCache>
            </c:numRef>
          </c:val>
          <c:smooth val="0"/>
        </c:ser>
        <c:ser>
          <c:idx val="1"/>
          <c:order val="1"/>
          <c:tx>
            <c:strRef>
              <c:f>'HES output'!$D$11</c:f>
              <c:strCache>
                <c:ptCount val="1"/>
                <c:pt idx="0">
                  <c:v>Average Cost</c:v>
                </c:pt>
              </c:strCache>
            </c:strRef>
          </c:tx>
          <c:spPr>
            <a:ln w="38100"/>
          </c:spPr>
          <c:marker>
            <c:symbol val="none"/>
          </c:marker>
          <c:cat>
            <c:strRef>
              <c:f>'HES output'!$B$15:$B$18</c:f>
              <c:strCache>
                <c:ptCount val="4"/>
                <c:pt idx="0">
                  <c:v>2007/08</c:v>
                </c:pt>
                <c:pt idx="1">
                  <c:v>2008/09</c:v>
                </c:pt>
                <c:pt idx="2">
                  <c:v>2009/10</c:v>
                </c:pt>
                <c:pt idx="3">
                  <c:v>2010/11</c:v>
                </c:pt>
              </c:strCache>
            </c:strRef>
          </c:cat>
          <c:val>
            <c:numRef>
              <c:f>'HES output'!$I$20:$I$26</c:f>
              <c:numCache>
                <c:formatCode>General</c:formatCode>
                <c:ptCount val="7"/>
                <c:pt idx="0">
                  <c:v>1</c:v>
                </c:pt>
                <c:pt idx="1">
                  <c:v>1</c:v>
                </c:pt>
                <c:pt idx="2">
                  <c:v>1</c:v>
                </c:pt>
                <c:pt idx="3">
                  <c:v>1.3784584980237153</c:v>
                </c:pt>
                <c:pt idx="4">
                  <c:v>1.3448616600790513</c:v>
                </c:pt>
                <c:pt idx="5">
                  <c:v>1.348814229249012</c:v>
                </c:pt>
                <c:pt idx="6">
                  <c:v>1.4278656126482214</c:v>
                </c:pt>
              </c:numCache>
            </c:numRef>
          </c:val>
          <c:smooth val="0"/>
        </c:ser>
        <c:dLbls>
          <c:showLegendKey val="0"/>
          <c:showVal val="0"/>
          <c:showCatName val="0"/>
          <c:showSerName val="0"/>
          <c:showPercent val="0"/>
          <c:showBubbleSize val="0"/>
        </c:dLbls>
        <c:marker val="1"/>
        <c:smooth val="0"/>
        <c:axId val="108786816"/>
        <c:axId val="108788352"/>
      </c:lineChart>
      <c:catAx>
        <c:axId val="108786816"/>
        <c:scaling>
          <c:orientation val="minMax"/>
        </c:scaling>
        <c:delete val="0"/>
        <c:axPos val="b"/>
        <c:majorTickMark val="out"/>
        <c:minorTickMark val="none"/>
        <c:tickLblPos val="nextTo"/>
        <c:txPr>
          <a:bodyPr/>
          <a:lstStyle/>
          <a:p>
            <a:pPr>
              <a:defRPr sz="800">
                <a:latin typeface="Arial Rounded MT Bold" pitchFamily="34" charset="0"/>
              </a:defRPr>
            </a:pPr>
            <a:endParaRPr lang="en-US"/>
          </a:p>
        </c:txPr>
        <c:crossAx val="108788352"/>
        <c:crosses val="autoZero"/>
        <c:auto val="1"/>
        <c:lblAlgn val="ctr"/>
        <c:lblOffset val="100"/>
        <c:noMultiLvlLbl val="0"/>
      </c:catAx>
      <c:valAx>
        <c:axId val="108788352"/>
        <c:scaling>
          <c:orientation val="minMax"/>
        </c:scaling>
        <c:delete val="0"/>
        <c:axPos val="l"/>
        <c:majorGridlines/>
        <c:numFmt formatCode="General" sourceLinked="1"/>
        <c:majorTickMark val="out"/>
        <c:minorTickMark val="none"/>
        <c:tickLblPos val="nextTo"/>
        <c:txPr>
          <a:bodyPr/>
          <a:lstStyle/>
          <a:p>
            <a:pPr>
              <a:defRPr sz="800">
                <a:latin typeface="Arial Rounded MT Bold" pitchFamily="34" charset="0"/>
              </a:defRPr>
            </a:pPr>
            <a:endParaRPr lang="en-US"/>
          </a:p>
        </c:txPr>
        <c:crossAx val="108786816"/>
        <c:crosses val="autoZero"/>
        <c:crossBetween val="between"/>
      </c:valAx>
    </c:plotArea>
    <c:legend>
      <c:legendPos val="b"/>
      <c:layout>
        <c:manualLayout>
          <c:xMode val="edge"/>
          <c:yMode val="edge"/>
          <c:x val="0.3083203762425647"/>
          <c:y val="0.93094007459593864"/>
          <c:w val="0.39964884027505765"/>
          <c:h val="6.9059925404061334E-2"/>
        </c:manualLayout>
      </c:layout>
      <c:overlay val="0"/>
      <c:txPr>
        <a:bodyPr/>
        <a:lstStyle/>
        <a:p>
          <a:pPr>
            <a:defRPr sz="800">
              <a:latin typeface="Arial Rounded MT Bold" pitchFamily="34" charset="0"/>
            </a:defRPr>
          </a:pPr>
          <a:endParaRPr lang="en-US"/>
        </a:p>
      </c:txPr>
    </c:legend>
    <c:plotVisOnly val="1"/>
    <c:dispBlanksAs val="gap"/>
    <c:showDLblsOverMax val="0"/>
  </c:chart>
  <c:spPr>
    <a:ln>
      <a:noFill/>
    </a:ln>
  </c:spPr>
  <c:printSettings>
    <c:headerFooter/>
    <c:pageMargins b="0.75000000000000189" l="0.70000000000000062" r="0.70000000000000062" t="0.75000000000000189"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Output growth</c:v>
          </c:tx>
          <c:marker>
            <c:symbol val="none"/>
          </c:marker>
          <c:cat>
            <c:strRef>
              <c:f>'Inpatient and Outpatient'!$B$12:$B$18</c:f>
              <c:strCache>
                <c:ptCount val="7"/>
                <c:pt idx="0">
                  <c:v>2004/05</c:v>
                </c:pt>
                <c:pt idx="1">
                  <c:v>2005/06</c:v>
                </c:pt>
                <c:pt idx="2">
                  <c:v>2006/07</c:v>
                </c:pt>
                <c:pt idx="3">
                  <c:v>2007/08</c:v>
                </c:pt>
                <c:pt idx="4">
                  <c:v>2008/09</c:v>
                </c:pt>
                <c:pt idx="5">
                  <c:v>2009/10</c:v>
                </c:pt>
                <c:pt idx="6">
                  <c:v>2010/11</c:v>
                </c:pt>
              </c:strCache>
            </c:strRef>
          </c:cat>
          <c:val>
            <c:numRef>
              <c:f>'Inpatient and Outpatient'!$E$26:$E$32</c:f>
              <c:numCache>
                <c:formatCode>0.00%</c:formatCode>
                <c:ptCount val="7"/>
                <c:pt idx="0" formatCode="General">
                  <c:v>1</c:v>
                </c:pt>
                <c:pt idx="1">
                  <c:v>1.0467351766452548</c:v>
                </c:pt>
                <c:pt idx="2">
                  <c:v>1.0617873129153881</c:v>
                </c:pt>
                <c:pt idx="3">
                  <c:v>1.0450184350081941</c:v>
                </c:pt>
                <c:pt idx="4">
                  <c:v>1.0575434393482381</c:v>
                </c:pt>
                <c:pt idx="5">
                  <c:v>1.087850064046082</c:v>
                </c:pt>
                <c:pt idx="6">
                  <c:v>1.1242757995747352</c:v>
                </c:pt>
              </c:numCache>
            </c:numRef>
          </c:val>
          <c:smooth val="0"/>
        </c:ser>
        <c:ser>
          <c:idx val="1"/>
          <c:order val="1"/>
          <c:tx>
            <c:v>Quality adjusted output growth</c:v>
          </c:tx>
          <c:marker>
            <c:symbol val="none"/>
          </c:marker>
          <c:cat>
            <c:strRef>
              <c:f>'Inpatient and Outpatient'!$B$12:$B$18</c:f>
              <c:strCache>
                <c:ptCount val="7"/>
                <c:pt idx="0">
                  <c:v>2004/05</c:v>
                </c:pt>
                <c:pt idx="1">
                  <c:v>2005/06</c:v>
                </c:pt>
                <c:pt idx="2">
                  <c:v>2006/07</c:v>
                </c:pt>
                <c:pt idx="3">
                  <c:v>2007/08</c:v>
                </c:pt>
                <c:pt idx="4">
                  <c:v>2008/09</c:v>
                </c:pt>
                <c:pt idx="5">
                  <c:v>2009/10</c:v>
                </c:pt>
                <c:pt idx="6">
                  <c:v>2010/11</c:v>
                </c:pt>
              </c:strCache>
            </c:strRef>
          </c:cat>
          <c:val>
            <c:numRef>
              <c:f>'Inpatient and Outpatient'!$F$26:$F$32</c:f>
              <c:numCache>
                <c:formatCode>0.00%</c:formatCode>
                <c:ptCount val="7"/>
                <c:pt idx="0" formatCode="General">
                  <c:v>1</c:v>
                </c:pt>
                <c:pt idx="1">
                  <c:v>1.0460658604413819</c:v>
                </c:pt>
                <c:pt idx="2">
                  <c:v>1.0611083679697366</c:v>
                </c:pt>
                <c:pt idx="3">
                  <c:v>1.0443502126853887</c:v>
                </c:pt>
                <c:pt idx="4">
                  <c:v>1.0879781777594024</c:v>
                </c:pt>
                <c:pt idx="5">
                  <c:v>1.1317347638308555</c:v>
                </c:pt>
                <c:pt idx="6">
                  <c:v>1.1875656441236577</c:v>
                </c:pt>
              </c:numCache>
            </c:numRef>
          </c:val>
          <c:smooth val="0"/>
        </c:ser>
        <c:dLbls>
          <c:showLegendKey val="0"/>
          <c:showVal val="0"/>
          <c:showCatName val="0"/>
          <c:showSerName val="0"/>
          <c:showPercent val="0"/>
          <c:showBubbleSize val="0"/>
        </c:dLbls>
        <c:marker val="1"/>
        <c:smooth val="0"/>
        <c:axId val="102254080"/>
        <c:axId val="102255616"/>
      </c:lineChart>
      <c:catAx>
        <c:axId val="102254080"/>
        <c:scaling>
          <c:orientation val="minMax"/>
        </c:scaling>
        <c:delete val="0"/>
        <c:axPos val="b"/>
        <c:majorTickMark val="out"/>
        <c:minorTickMark val="none"/>
        <c:tickLblPos val="nextTo"/>
        <c:crossAx val="102255616"/>
        <c:crosses val="autoZero"/>
        <c:auto val="1"/>
        <c:lblAlgn val="ctr"/>
        <c:lblOffset val="100"/>
        <c:noMultiLvlLbl val="0"/>
      </c:catAx>
      <c:valAx>
        <c:axId val="102255616"/>
        <c:scaling>
          <c:orientation val="minMax"/>
          <c:min val="0.75000000000000089"/>
        </c:scaling>
        <c:delete val="0"/>
        <c:axPos val="l"/>
        <c:majorGridlines/>
        <c:numFmt formatCode="General" sourceLinked="1"/>
        <c:majorTickMark val="out"/>
        <c:minorTickMark val="none"/>
        <c:tickLblPos val="nextTo"/>
        <c:crossAx val="102254080"/>
        <c:crosses val="autoZero"/>
        <c:crossBetween val="between"/>
      </c:valAx>
    </c:plotArea>
    <c:legend>
      <c:legendPos val="b"/>
      <c:overlay val="0"/>
    </c:legend>
    <c:plotVisOnly val="1"/>
    <c:dispBlanksAs val="gap"/>
    <c:showDLblsOverMax val="0"/>
  </c:chart>
  <c:spPr>
    <a:ln>
      <a:noFill/>
    </a:ln>
  </c:spPr>
  <c:printSettings>
    <c:headerFooter/>
    <c:pageMargins b="0.75000000000000133" l="0.70000000000000062" r="0.70000000000000062" t="0.75000000000000133"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7.8649055179007429E-2"/>
          <c:y val="4.4579533941236149E-2"/>
          <c:w val="0.87185365170420981"/>
          <c:h val="0.7708114145306314"/>
        </c:manualLayout>
      </c:layout>
      <c:lineChart>
        <c:grouping val="standard"/>
        <c:varyColors val="0"/>
        <c:ser>
          <c:idx val="0"/>
          <c:order val="0"/>
          <c:tx>
            <c:v>Quantity</c:v>
          </c:tx>
          <c:spPr>
            <a:ln w="38100"/>
          </c:spPr>
          <c:marker>
            <c:symbol val="none"/>
          </c:marker>
          <c:cat>
            <c:strRef>
              <c:f>'Reference Costs Output'!$B$14:$B$20</c:f>
              <c:strCache>
                <c:ptCount val="7"/>
                <c:pt idx="0">
                  <c:v>2004/05</c:v>
                </c:pt>
                <c:pt idx="1">
                  <c:v>2005/06</c:v>
                </c:pt>
                <c:pt idx="2">
                  <c:v>2006/07</c:v>
                </c:pt>
                <c:pt idx="3">
                  <c:v>2007/08</c:v>
                </c:pt>
                <c:pt idx="4">
                  <c:v>2008/09</c:v>
                </c:pt>
                <c:pt idx="5">
                  <c:v>2009/10</c:v>
                </c:pt>
                <c:pt idx="6">
                  <c:v>2010/11</c:v>
                </c:pt>
              </c:strCache>
            </c:strRef>
          </c:cat>
          <c:val>
            <c:numRef>
              <c:f>'Reference Costs Output'!$J$24:$J$30</c:f>
              <c:numCache>
                <c:formatCode>General</c:formatCode>
                <c:ptCount val="7"/>
                <c:pt idx="0">
                  <c:v>1</c:v>
                </c:pt>
                <c:pt idx="1">
                  <c:v>1.0931563478030761</c:v>
                </c:pt>
                <c:pt idx="2">
                  <c:v>1.235839560593947</c:v>
                </c:pt>
                <c:pt idx="3">
                  <c:v>1.2702717066934697</c:v>
                </c:pt>
                <c:pt idx="4">
                  <c:v>1.3816882909640176</c:v>
                </c:pt>
                <c:pt idx="5">
                  <c:v>1.4238399092409355</c:v>
                </c:pt>
                <c:pt idx="6">
                  <c:v>1.4741137054646096</c:v>
                </c:pt>
              </c:numCache>
            </c:numRef>
          </c:val>
          <c:smooth val="0"/>
        </c:ser>
        <c:ser>
          <c:idx val="1"/>
          <c:order val="1"/>
          <c:tx>
            <c:v>Cost</c:v>
          </c:tx>
          <c:spPr>
            <a:ln w="38100"/>
          </c:spPr>
          <c:marker>
            <c:symbol val="none"/>
          </c:marker>
          <c:cat>
            <c:strRef>
              <c:f>'Reference Costs Output'!$B$14:$B$20</c:f>
              <c:strCache>
                <c:ptCount val="7"/>
                <c:pt idx="0">
                  <c:v>2004/05</c:v>
                </c:pt>
                <c:pt idx="1">
                  <c:v>2005/06</c:v>
                </c:pt>
                <c:pt idx="2">
                  <c:v>2006/07</c:v>
                </c:pt>
                <c:pt idx="3">
                  <c:v>2007/08</c:v>
                </c:pt>
                <c:pt idx="4">
                  <c:v>2008/09</c:v>
                </c:pt>
                <c:pt idx="5">
                  <c:v>2009/10</c:v>
                </c:pt>
                <c:pt idx="6">
                  <c:v>2010/11</c:v>
                </c:pt>
              </c:strCache>
            </c:strRef>
          </c:cat>
          <c:val>
            <c:numRef>
              <c:f>'Reference Costs Output'!$K$24:$K$30</c:f>
              <c:numCache>
                <c:formatCode>General</c:formatCode>
                <c:ptCount val="7"/>
                <c:pt idx="0">
                  <c:v>1</c:v>
                </c:pt>
                <c:pt idx="1">
                  <c:v>1.1085335556148415</c:v>
                </c:pt>
                <c:pt idx="2">
                  <c:v>1.3045364149554159</c:v>
                </c:pt>
                <c:pt idx="3">
                  <c:v>1.1501359042628785</c:v>
                </c:pt>
                <c:pt idx="4">
                  <c:v>1.3167215561709513</c:v>
                </c:pt>
                <c:pt idx="5">
                  <c:v>1.4407755961659843</c:v>
                </c:pt>
                <c:pt idx="6">
                  <c:v>1.4755857962606327</c:v>
                </c:pt>
              </c:numCache>
            </c:numRef>
          </c:val>
          <c:smooth val="0"/>
        </c:ser>
        <c:dLbls>
          <c:showLegendKey val="0"/>
          <c:showVal val="0"/>
          <c:showCatName val="0"/>
          <c:showSerName val="0"/>
          <c:showPercent val="0"/>
          <c:showBubbleSize val="0"/>
        </c:dLbls>
        <c:marker val="1"/>
        <c:smooth val="0"/>
        <c:axId val="109134976"/>
        <c:axId val="109136512"/>
      </c:lineChart>
      <c:catAx>
        <c:axId val="109134976"/>
        <c:scaling>
          <c:orientation val="minMax"/>
        </c:scaling>
        <c:delete val="0"/>
        <c:axPos val="b"/>
        <c:majorTickMark val="out"/>
        <c:minorTickMark val="none"/>
        <c:tickLblPos val="nextTo"/>
        <c:txPr>
          <a:bodyPr rot="0" vert="horz"/>
          <a:lstStyle/>
          <a:p>
            <a:pPr>
              <a:defRPr sz="1000">
                <a:latin typeface="Arial Rounded MT Bold" pitchFamily="34" charset="0"/>
              </a:defRPr>
            </a:pPr>
            <a:endParaRPr lang="en-US"/>
          </a:p>
        </c:txPr>
        <c:crossAx val="109136512"/>
        <c:crosses val="autoZero"/>
        <c:auto val="1"/>
        <c:lblAlgn val="ctr"/>
        <c:lblOffset val="100"/>
        <c:noMultiLvlLbl val="0"/>
      </c:catAx>
      <c:valAx>
        <c:axId val="109136512"/>
        <c:scaling>
          <c:orientation val="minMax"/>
          <c:min val="0.95000000000000062"/>
        </c:scaling>
        <c:delete val="0"/>
        <c:axPos val="l"/>
        <c:majorGridlines/>
        <c:numFmt formatCode="General" sourceLinked="1"/>
        <c:majorTickMark val="out"/>
        <c:minorTickMark val="none"/>
        <c:tickLblPos val="nextTo"/>
        <c:txPr>
          <a:bodyPr/>
          <a:lstStyle/>
          <a:p>
            <a:pPr>
              <a:defRPr sz="800">
                <a:latin typeface="Arial Rounded MT Bold" pitchFamily="34" charset="0"/>
              </a:defRPr>
            </a:pPr>
            <a:endParaRPr lang="en-US"/>
          </a:p>
        </c:txPr>
        <c:crossAx val="109134976"/>
        <c:crosses val="autoZero"/>
        <c:crossBetween val="between"/>
        <c:minorUnit val="0.05"/>
      </c:valAx>
    </c:plotArea>
    <c:legend>
      <c:legendPos val="b"/>
      <c:overlay val="0"/>
      <c:txPr>
        <a:bodyPr/>
        <a:lstStyle/>
        <a:p>
          <a:pPr>
            <a:defRPr sz="800">
              <a:latin typeface="Arial Rounded MT Bold" pitchFamily="34" charset="0"/>
            </a:defRPr>
          </a:pPr>
          <a:endParaRPr lang="en-US"/>
        </a:p>
      </c:txPr>
    </c:legend>
    <c:plotVisOnly val="1"/>
    <c:dispBlanksAs val="zero"/>
    <c:showDLblsOverMax val="0"/>
  </c:chart>
  <c:spPr>
    <a:ln>
      <a:noFill/>
    </a:ln>
  </c:spPr>
  <c:printSettings>
    <c:headerFooter/>
    <c:pageMargins b="0.750000000000002" l="0.70000000000000062" r="0.70000000000000062" t="0.75000000000000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Price</c:v>
          </c:tx>
          <c:marker>
            <c:symbol val="none"/>
          </c:marker>
          <c:cat>
            <c:strRef>
              <c:f>Prescribing!$B$11:$B$24</c:f>
              <c:strCache>
                <c:ptCount val="14"/>
                <c:pt idx="0">
                  <c:v>1997/98</c:v>
                </c:pt>
                <c:pt idx="1">
                  <c:v>1998/99</c:v>
                </c:pt>
                <c:pt idx="2">
                  <c:v>1999/00</c:v>
                </c:pt>
                <c:pt idx="3">
                  <c:v>2000/01</c:v>
                </c:pt>
                <c:pt idx="4">
                  <c:v>2001/02</c:v>
                </c:pt>
                <c:pt idx="5">
                  <c:v>2002/03</c:v>
                </c:pt>
                <c:pt idx="6">
                  <c:v>2003/04</c:v>
                </c:pt>
                <c:pt idx="7">
                  <c:v>2004/05</c:v>
                </c:pt>
                <c:pt idx="8">
                  <c:v>2005/06</c:v>
                </c:pt>
                <c:pt idx="9">
                  <c:v>2006/07</c:v>
                </c:pt>
                <c:pt idx="10">
                  <c:v>2007/08</c:v>
                </c:pt>
                <c:pt idx="11">
                  <c:v>2008/09</c:v>
                </c:pt>
                <c:pt idx="12">
                  <c:v>2009/10</c:v>
                </c:pt>
                <c:pt idx="13">
                  <c:v>2010/11</c:v>
                </c:pt>
              </c:strCache>
            </c:strRef>
          </c:cat>
          <c:val>
            <c:numRef>
              <c:f>Prescribing!$B$27:$B$40</c:f>
              <c:numCache>
                <c:formatCode>General</c:formatCode>
                <c:ptCount val="14"/>
                <c:pt idx="0">
                  <c:v>1</c:v>
                </c:pt>
                <c:pt idx="1">
                  <c:v>1.0504400387624431</c:v>
                </c:pt>
                <c:pt idx="2">
                  <c:v>1.1499821379862898</c:v>
                </c:pt>
                <c:pt idx="3">
                  <c:v>1.1376625697876954</c:v>
                </c:pt>
                <c:pt idx="4">
                  <c:v>1.1992850891626219</c:v>
                </c:pt>
                <c:pt idx="5">
                  <c:v>1.2703223459059796</c:v>
                </c:pt>
                <c:pt idx="6">
                  <c:v>1.3136476235011449</c:v>
                </c:pt>
                <c:pt idx="7">
                  <c:v>1.3219492895402927</c:v>
                </c:pt>
                <c:pt idx="8">
                  <c:v>1.2354554638791944</c:v>
                </c:pt>
                <c:pt idx="9">
                  <c:v>1.2225660614283305</c:v>
                </c:pt>
                <c:pt idx="10">
                  <c:v>1.1681570410861795</c:v>
                </c:pt>
                <c:pt idx="11">
                  <c:v>1.1104045443952417</c:v>
                </c:pt>
                <c:pt idx="12">
                  <c:v>1.0853020332448293</c:v>
                </c:pt>
                <c:pt idx="13">
                  <c:v>1.0713818510336455</c:v>
                </c:pt>
              </c:numCache>
            </c:numRef>
          </c:val>
          <c:smooth val="0"/>
        </c:ser>
        <c:ser>
          <c:idx val="1"/>
          <c:order val="1"/>
          <c:tx>
            <c:v>Volume</c:v>
          </c:tx>
          <c:marker>
            <c:symbol val="none"/>
          </c:marker>
          <c:cat>
            <c:strRef>
              <c:f>Prescribing!$B$11:$B$24</c:f>
              <c:strCache>
                <c:ptCount val="14"/>
                <c:pt idx="0">
                  <c:v>1997/98</c:v>
                </c:pt>
                <c:pt idx="1">
                  <c:v>1998/99</c:v>
                </c:pt>
                <c:pt idx="2">
                  <c:v>1999/00</c:v>
                </c:pt>
                <c:pt idx="3">
                  <c:v>2000/01</c:v>
                </c:pt>
                <c:pt idx="4">
                  <c:v>2001/02</c:v>
                </c:pt>
                <c:pt idx="5">
                  <c:v>2002/03</c:v>
                </c:pt>
                <c:pt idx="6">
                  <c:v>2003/04</c:v>
                </c:pt>
                <c:pt idx="7">
                  <c:v>2004/05</c:v>
                </c:pt>
                <c:pt idx="8">
                  <c:v>2005/06</c:v>
                </c:pt>
                <c:pt idx="9">
                  <c:v>2006/07</c:v>
                </c:pt>
                <c:pt idx="10">
                  <c:v>2007/08</c:v>
                </c:pt>
                <c:pt idx="11">
                  <c:v>2008/09</c:v>
                </c:pt>
                <c:pt idx="12">
                  <c:v>2009/10</c:v>
                </c:pt>
                <c:pt idx="13">
                  <c:v>2010/11</c:v>
                </c:pt>
              </c:strCache>
            </c:strRef>
          </c:cat>
          <c:val>
            <c:numRef>
              <c:f>Prescribing!$D$27:$D$40</c:f>
              <c:numCache>
                <c:formatCode>General</c:formatCode>
                <c:ptCount val="14"/>
                <c:pt idx="0">
                  <c:v>1</c:v>
                </c:pt>
                <c:pt idx="1">
                  <c:v>1.0307195678748273</c:v>
                </c:pt>
                <c:pt idx="2">
                  <c:v>1.062827820236929</c:v>
                </c:pt>
                <c:pt idx="3">
                  <c:v>1.1021759908786963</c:v>
                </c:pt>
                <c:pt idx="4">
                  <c:v>1.1562104355234279</c:v>
                </c:pt>
                <c:pt idx="5">
                  <c:v>1.2061270142314717</c:v>
                </c:pt>
                <c:pt idx="6">
                  <c:v>1.2564036736494106</c:v>
                </c:pt>
                <c:pt idx="7">
                  <c:v>1.3049955235577069</c:v>
                </c:pt>
                <c:pt idx="8">
                  <c:v>1.3748088563825951</c:v>
                </c:pt>
                <c:pt idx="9">
                  <c:v>1.4339145349902362</c:v>
                </c:pt>
                <c:pt idx="10">
                  <c:v>1.4894234791510959</c:v>
                </c:pt>
                <c:pt idx="11">
                  <c:v>1.5764413996955604</c:v>
                </c:pt>
                <c:pt idx="12">
                  <c:v>1.6533873319680974</c:v>
                </c:pt>
                <c:pt idx="13">
                  <c:v>1.7063765567039417</c:v>
                </c:pt>
              </c:numCache>
            </c:numRef>
          </c:val>
          <c:smooth val="0"/>
        </c:ser>
        <c:ser>
          <c:idx val="2"/>
          <c:order val="2"/>
          <c:tx>
            <c:v>Expenditure</c:v>
          </c:tx>
          <c:marker>
            <c:symbol val="none"/>
          </c:marker>
          <c:cat>
            <c:strRef>
              <c:f>Prescribing!$B$11:$B$24</c:f>
              <c:strCache>
                <c:ptCount val="14"/>
                <c:pt idx="0">
                  <c:v>1997/98</c:v>
                </c:pt>
                <c:pt idx="1">
                  <c:v>1998/99</c:v>
                </c:pt>
                <c:pt idx="2">
                  <c:v>1999/00</c:v>
                </c:pt>
                <c:pt idx="3">
                  <c:v>2000/01</c:v>
                </c:pt>
                <c:pt idx="4">
                  <c:v>2001/02</c:v>
                </c:pt>
                <c:pt idx="5">
                  <c:v>2002/03</c:v>
                </c:pt>
                <c:pt idx="6">
                  <c:v>2003/04</c:v>
                </c:pt>
                <c:pt idx="7">
                  <c:v>2004/05</c:v>
                </c:pt>
                <c:pt idx="8">
                  <c:v>2005/06</c:v>
                </c:pt>
                <c:pt idx="9">
                  <c:v>2006/07</c:v>
                </c:pt>
                <c:pt idx="10">
                  <c:v>2007/08</c:v>
                </c:pt>
                <c:pt idx="11">
                  <c:v>2008/09</c:v>
                </c:pt>
                <c:pt idx="12">
                  <c:v>2009/10</c:v>
                </c:pt>
                <c:pt idx="13">
                  <c:v>2010/11</c:v>
                </c:pt>
              </c:strCache>
            </c:strRef>
          </c:cat>
          <c:val>
            <c:numRef>
              <c:f>Prescribing!$E$27:$E$40</c:f>
              <c:numCache>
                <c:formatCode>General</c:formatCode>
                <c:ptCount val="14"/>
                <c:pt idx="0">
                  <c:v>1</c:v>
                </c:pt>
                <c:pt idx="1">
                  <c:v>1.0749407381446441</c:v>
                </c:pt>
                <c:pt idx="2">
                  <c:v>1.2173235390609509</c:v>
                </c:pt>
                <c:pt idx="3">
                  <c:v>1.265731342253501</c:v>
                </c:pt>
                <c:pt idx="4">
                  <c:v>1.40678001954193</c:v>
                </c:pt>
                <c:pt idx="5">
                  <c:v>1.5719561300173344</c:v>
                </c:pt>
                <c:pt idx="6">
                  <c:v>1.7167384954423206</c:v>
                </c:pt>
                <c:pt idx="7">
                  <c:v>1.8128632655669767</c:v>
                </c:pt>
                <c:pt idx="8">
                  <c:v>1.7947906327897318</c:v>
                </c:pt>
                <c:pt idx="9">
                  <c:v>1.8478361560168959</c:v>
                </c:pt>
                <c:pt idx="10">
                  <c:v>1.8597462859389204</c:v>
                </c:pt>
                <c:pt idx="11">
                  <c:v>1.8760432281864994</c:v>
                </c:pt>
                <c:pt idx="12">
                  <c:v>1.9309513040789468</c:v>
                </c:pt>
                <c:pt idx="13">
                  <c:v>1.9890302579009724</c:v>
                </c:pt>
              </c:numCache>
            </c:numRef>
          </c:val>
          <c:smooth val="0"/>
        </c:ser>
        <c:dLbls>
          <c:showLegendKey val="0"/>
          <c:showVal val="0"/>
          <c:showCatName val="0"/>
          <c:showSerName val="0"/>
          <c:showPercent val="0"/>
          <c:showBubbleSize val="0"/>
        </c:dLbls>
        <c:marker val="1"/>
        <c:smooth val="0"/>
        <c:axId val="102220544"/>
        <c:axId val="102222080"/>
      </c:lineChart>
      <c:catAx>
        <c:axId val="102220544"/>
        <c:scaling>
          <c:orientation val="minMax"/>
        </c:scaling>
        <c:delete val="0"/>
        <c:axPos val="b"/>
        <c:majorTickMark val="none"/>
        <c:minorTickMark val="none"/>
        <c:tickLblPos val="nextTo"/>
        <c:crossAx val="102222080"/>
        <c:crosses val="autoZero"/>
        <c:auto val="1"/>
        <c:lblAlgn val="ctr"/>
        <c:lblOffset val="100"/>
        <c:noMultiLvlLbl val="0"/>
      </c:catAx>
      <c:valAx>
        <c:axId val="102222080"/>
        <c:scaling>
          <c:orientation val="minMax"/>
        </c:scaling>
        <c:delete val="0"/>
        <c:axPos val="l"/>
        <c:majorGridlines/>
        <c:numFmt formatCode="General" sourceLinked="1"/>
        <c:majorTickMark val="none"/>
        <c:minorTickMark val="none"/>
        <c:tickLblPos val="nextTo"/>
        <c:crossAx val="102220544"/>
        <c:crosses val="autoZero"/>
        <c:crossBetween val="between"/>
      </c:valAx>
    </c:plotArea>
    <c:legend>
      <c:legendPos val="b"/>
      <c:overlay val="0"/>
    </c:legend>
    <c:plotVisOnly val="1"/>
    <c:dispBlanksAs val="zero"/>
    <c:showDLblsOverMax val="0"/>
  </c:chart>
  <c:spPr>
    <a:ln>
      <a:noFill/>
    </a:ln>
  </c:spPr>
  <c:printSettings>
    <c:headerFooter/>
    <c:pageMargins b="0.75000000000000189" l="0.70000000000000062" r="0.70000000000000062" t="0.75000000000000189"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bar"/>
        <c:grouping val="stacked"/>
        <c:varyColors val="0"/>
        <c:ser>
          <c:idx val="0"/>
          <c:order val="0"/>
          <c:tx>
            <c:strRef>
              <c:f>'Primary care'!$B$13</c:f>
              <c:strCache>
                <c:ptCount val="1"/>
                <c:pt idx="0">
                  <c:v>GP Home visit</c:v>
                </c:pt>
              </c:strCache>
            </c:strRef>
          </c:tx>
          <c:invertIfNegative val="0"/>
          <c:cat>
            <c:strRef>
              <c:f>'Primary care'!$C$12:$I$12</c:f>
              <c:strCache>
                <c:ptCount val="7"/>
                <c:pt idx="0">
                  <c:v>2004/05</c:v>
                </c:pt>
                <c:pt idx="1">
                  <c:v>2005/06</c:v>
                </c:pt>
                <c:pt idx="2">
                  <c:v>2006/07</c:v>
                </c:pt>
                <c:pt idx="3">
                  <c:v>2007/08</c:v>
                </c:pt>
                <c:pt idx="4">
                  <c:v>2008/09</c:v>
                </c:pt>
                <c:pt idx="5">
                  <c:v>2009/10</c:v>
                </c:pt>
                <c:pt idx="6">
                  <c:v>2010/11</c:v>
                </c:pt>
              </c:strCache>
            </c:strRef>
          </c:cat>
          <c:val>
            <c:numRef>
              <c:f>'Primary care'!$C$13:$I$13</c:f>
              <c:numCache>
                <c:formatCode>#,##0</c:formatCode>
                <c:ptCount val="7"/>
                <c:pt idx="0">
                  <c:v>5800</c:v>
                </c:pt>
                <c:pt idx="1">
                  <c:v>6000</c:v>
                </c:pt>
                <c:pt idx="2">
                  <c:v>5900</c:v>
                </c:pt>
                <c:pt idx="3">
                  <c:v>5900</c:v>
                </c:pt>
                <c:pt idx="4">
                  <c:v>6000</c:v>
                </c:pt>
                <c:pt idx="5">
                  <c:v>6000</c:v>
                </c:pt>
                <c:pt idx="6">
                  <c:v>5843.554644558063</c:v>
                </c:pt>
              </c:numCache>
            </c:numRef>
          </c:val>
        </c:ser>
        <c:ser>
          <c:idx val="1"/>
          <c:order val="1"/>
          <c:tx>
            <c:strRef>
              <c:f>'Primary care'!$B$14</c:f>
              <c:strCache>
                <c:ptCount val="1"/>
                <c:pt idx="0">
                  <c:v>GP Telephone</c:v>
                </c:pt>
              </c:strCache>
            </c:strRef>
          </c:tx>
          <c:invertIfNegative val="0"/>
          <c:cat>
            <c:strRef>
              <c:f>'Primary care'!$C$12:$I$12</c:f>
              <c:strCache>
                <c:ptCount val="7"/>
                <c:pt idx="0">
                  <c:v>2004/05</c:v>
                </c:pt>
                <c:pt idx="1">
                  <c:v>2005/06</c:v>
                </c:pt>
                <c:pt idx="2">
                  <c:v>2006/07</c:v>
                </c:pt>
                <c:pt idx="3">
                  <c:v>2007/08</c:v>
                </c:pt>
                <c:pt idx="4">
                  <c:v>2008/09</c:v>
                </c:pt>
                <c:pt idx="5">
                  <c:v>2009/10</c:v>
                </c:pt>
                <c:pt idx="6">
                  <c:v>2010/11</c:v>
                </c:pt>
              </c:strCache>
            </c:strRef>
          </c:cat>
          <c:val>
            <c:numRef>
              <c:f>'Primary care'!$C$14:$I$14</c:f>
              <c:numCache>
                <c:formatCode>#,##0</c:formatCode>
                <c:ptCount val="7"/>
                <c:pt idx="0">
                  <c:v>12500</c:v>
                </c:pt>
                <c:pt idx="1">
                  <c:v>14000</c:v>
                </c:pt>
                <c:pt idx="2">
                  <c:v>15100</c:v>
                </c:pt>
                <c:pt idx="3">
                  <c:v>16200</c:v>
                </c:pt>
                <c:pt idx="4">
                  <c:v>18700</c:v>
                </c:pt>
                <c:pt idx="5">
                  <c:v>18700</c:v>
                </c:pt>
                <c:pt idx="6">
                  <c:v>18212.411975539297</c:v>
                </c:pt>
              </c:numCache>
            </c:numRef>
          </c:val>
        </c:ser>
        <c:ser>
          <c:idx val="2"/>
          <c:order val="2"/>
          <c:tx>
            <c:strRef>
              <c:f>'Primary care'!$B$15</c:f>
              <c:strCache>
                <c:ptCount val="1"/>
                <c:pt idx="0">
                  <c:v>GP Surgery</c:v>
                </c:pt>
              </c:strCache>
            </c:strRef>
          </c:tx>
          <c:invertIfNegative val="0"/>
          <c:cat>
            <c:strRef>
              <c:f>'Primary care'!$C$12:$I$12</c:f>
              <c:strCache>
                <c:ptCount val="7"/>
                <c:pt idx="0">
                  <c:v>2004/05</c:v>
                </c:pt>
                <c:pt idx="1">
                  <c:v>2005/06</c:v>
                </c:pt>
                <c:pt idx="2">
                  <c:v>2006/07</c:v>
                </c:pt>
                <c:pt idx="3">
                  <c:v>2007/08</c:v>
                </c:pt>
                <c:pt idx="4">
                  <c:v>2008/09</c:v>
                </c:pt>
                <c:pt idx="5">
                  <c:v>2009/10</c:v>
                </c:pt>
                <c:pt idx="6">
                  <c:v>2010/11</c:v>
                </c:pt>
              </c:strCache>
            </c:strRef>
          </c:cat>
          <c:val>
            <c:numRef>
              <c:f>'Primary care'!$C$15:$I$15</c:f>
              <c:numCache>
                <c:formatCode>#,##0</c:formatCode>
                <c:ptCount val="7"/>
                <c:pt idx="0">
                  <c:v>148300</c:v>
                </c:pt>
                <c:pt idx="1">
                  <c:v>153900</c:v>
                </c:pt>
                <c:pt idx="2">
                  <c:v>156600</c:v>
                </c:pt>
                <c:pt idx="3">
                  <c:v>155800</c:v>
                </c:pt>
                <c:pt idx="4">
                  <c:v>158800</c:v>
                </c:pt>
                <c:pt idx="5">
                  <c:v>158800</c:v>
                </c:pt>
                <c:pt idx="6">
                  <c:v>154659.41292597007</c:v>
                </c:pt>
              </c:numCache>
            </c:numRef>
          </c:val>
        </c:ser>
        <c:ser>
          <c:idx val="3"/>
          <c:order val="3"/>
          <c:tx>
            <c:strRef>
              <c:f>'Primary care'!$B$16</c:f>
              <c:strCache>
                <c:ptCount val="1"/>
                <c:pt idx="0">
                  <c:v>GP Other</c:v>
                </c:pt>
              </c:strCache>
            </c:strRef>
          </c:tx>
          <c:invertIfNegative val="0"/>
          <c:cat>
            <c:strRef>
              <c:f>'Primary care'!$C$12:$I$12</c:f>
              <c:strCache>
                <c:ptCount val="7"/>
                <c:pt idx="0">
                  <c:v>2004/05</c:v>
                </c:pt>
                <c:pt idx="1">
                  <c:v>2005/06</c:v>
                </c:pt>
                <c:pt idx="2">
                  <c:v>2006/07</c:v>
                </c:pt>
                <c:pt idx="3">
                  <c:v>2007/08</c:v>
                </c:pt>
                <c:pt idx="4">
                  <c:v>2008/09</c:v>
                </c:pt>
                <c:pt idx="5">
                  <c:v>2009/10</c:v>
                </c:pt>
                <c:pt idx="6">
                  <c:v>2010/11</c:v>
                </c:pt>
              </c:strCache>
            </c:strRef>
          </c:cat>
          <c:val>
            <c:numRef>
              <c:f>'Primary care'!$C$16:$I$16</c:f>
              <c:numCache>
                <c:formatCode>#,##0</c:formatCode>
                <c:ptCount val="7"/>
                <c:pt idx="0">
                  <c:v>4200</c:v>
                </c:pt>
                <c:pt idx="1">
                  <c:v>4800</c:v>
                </c:pt>
                <c:pt idx="2">
                  <c:v>5000</c:v>
                </c:pt>
                <c:pt idx="3">
                  <c:v>4800</c:v>
                </c:pt>
                <c:pt idx="4">
                  <c:v>5500</c:v>
                </c:pt>
                <c:pt idx="5">
                  <c:v>5500</c:v>
                </c:pt>
                <c:pt idx="6">
                  <c:v>5356.5917575115582</c:v>
                </c:pt>
              </c:numCache>
            </c:numRef>
          </c:val>
        </c:ser>
        <c:ser>
          <c:idx val="4"/>
          <c:order val="4"/>
          <c:tx>
            <c:strRef>
              <c:f>'Primary care'!$B$17</c:f>
              <c:strCache>
                <c:ptCount val="1"/>
                <c:pt idx="0">
                  <c:v>Practice Nurse </c:v>
                </c:pt>
              </c:strCache>
            </c:strRef>
          </c:tx>
          <c:invertIfNegative val="0"/>
          <c:cat>
            <c:strRef>
              <c:f>'Primary care'!$C$12:$I$12</c:f>
              <c:strCache>
                <c:ptCount val="7"/>
                <c:pt idx="0">
                  <c:v>2004/05</c:v>
                </c:pt>
                <c:pt idx="1">
                  <c:v>2005/06</c:v>
                </c:pt>
                <c:pt idx="2">
                  <c:v>2006/07</c:v>
                </c:pt>
                <c:pt idx="3">
                  <c:v>2007/08</c:v>
                </c:pt>
                <c:pt idx="4">
                  <c:v>2008/09</c:v>
                </c:pt>
                <c:pt idx="5">
                  <c:v>2009/10</c:v>
                </c:pt>
                <c:pt idx="6">
                  <c:v>2010/11</c:v>
                </c:pt>
              </c:strCache>
            </c:strRef>
          </c:cat>
          <c:val>
            <c:numRef>
              <c:f>'Primary care'!$C$17:$I$17</c:f>
              <c:numCache>
                <c:formatCode>#,##0</c:formatCode>
                <c:ptCount val="7"/>
                <c:pt idx="0">
                  <c:v>84600</c:v>
                </c:pt>
                <c:pt idx="1">
                  <c:v>93700</c:v>
                </c:pt>
                <c:pt idx="2">
                  <c:v>99000</c:v>
                </c:pt>
                <c:pt idx="3">
                  <c:v>98500</c:v>
                </c:pt>
                <c:pt idx="4">
                  <c:v>100600</c:v>
                </c:pt>
                <c:pt idx="5">
                  <c:v>100600</c:v>
                </c:pt>
                <c:pt idx="6">
                  <c:v>97976.932873756858</c:v>
                </c:pt>
              </c:numCache>
            </c:numRef>
          </c:val>
        </c:ser>
        <c:ser>
          <c:idx val="5"/>
          <c:order val="5"/>
          <c:tx>
            <c:strRef>
              <c:f>'Primary care'!$B$18</c:f>
              <c:strCache>
                <c:ptCount val="1"/>
                <c:pt idx="0">
                  <c:v>Other Clinicians</c:v>
                </c:pt>
              </c:strCache>
            </c:strRef>
          </c:tx>
          <c:invertIfNegative val="0"/>
          <c:cat>
            <c:strRef>
              <c:f>'Primary care'!$C$12:$I$12</c:f>
              <c:strCache>
                <c:ptCount val="7"/>
                <c:pt idx="0">
                  <c:v>2004/05</c:v>
                </c:pt>
                <c:pt idx="1">
                  <c:v>2005/06</c:v>
                </c:pt>
                <c:pt idx="2">
                  <c:v>2006/07</c:v>
                </c:pt>
                <c:pt idx="3">
                  <c:v>2007/08</c:v>
                </c:pt>
                <c:pt idx="4">
                  <c:v>2008/09</c:v>
                </c:pt>
                <c:pt idx="5">
                  <c:v>2009/10</c:v>
                </c:pt>
                <c:pt idx="6">
                  <c:v>2010/11</c:v>
                </c:pt>
              </c:strCache>
            </c:strRef>
          </c:cat>
          <c:val>
            <c:numRef>
              <c:f>'Primary care'!$C$18:$I$18</c:f>
              <c:numCache>
                <c:formatCode>#,##0</c:formatCode>
                <c:ptCount val="7"/>
                <c:pt idx="0">
                  <c:v>10200</c:v>
                </c:pt>
                <c:pt idx="1">
                  <c:v>10700</c:v>
                </c:pt>
                <c:pt idx="2">
                  <c:v>11400</c:v>
                </c:pt>
                <c:pt idx="3">
                  <c:v>11300</c:v>
                </c:pt>
                <c:pt idx="4">
                  <c:v>10800</c:v>
                </c:pt>
                <c:pt idx="5">
                  <c:v>10800</c:v>
                </c:pt>
                <c:pt idx="6">
                  <c:v>10518.398360204514</c:v>
                </c:pt>
              </c:numCache>
            </c:numRef>
          </c:val>
        </c:ser>
        <c:dLbls>
          <c:showLegendKey val="0"/>
          <c:showVal val="0"/>
          <c:showCatName val="0"/>
          <c:showSerName val="0"/>
          <c:showPercent val="0"/>
          <c:showBubbleSize val="0"/>
        </c:dLbls>
        <c:gapWidth val="150"/>
        <c:overlap val="100"/>
        <c:axId val="109296640"/>
        <c:axId val="109306624"/>
      </c:barChart>
      <c:catAx>
        <c:axId val="109296640"/>
        <c:scaling>
          <c:orientation val="minMax"/>
        </c:scaling>
        <c:delete val="0"/>
        <c:axPos val="l"/>
        <c:majorTickMark val="out"/>
        <c:minorTickMark val="none"/>
        <c:tickLblPos val="nextTo"/>
        <c:txPr>
          <a:bodyPr/>
          <a:lstStyle/>
          <a:p>
            <a:pPr>
              <a:defRPr sz="800"/>
            </a:pPr>
            <a:endParaRPr lang="en-US"/>
          </a:p>
        </c:txPr>
        <c:crossAx val="109306624"/>
        <c:crosses val="autoZero"/>
        <c:auto val="1"/>
        <c:lblAlgn val="ctr"/>
        <c:lblOffset val="100"/>
        <c:noMultiLvlLbl val="0"/>
      </c:catAx>
      <c:valAx>
        <c:axId val="109306624"/>
        <c:scaling>
          <c:orientation val="minMax"/>
        </c:scaling>
        <c:delete val="0"/>
        <c:axPos val="b"/>
        <c:majorGridlines/>
        <c:numFmt formatCode="#,##0" sourceLinked="1"/>
        <c:majorTickMark val="out"/>
        <c:minorTickMark val="none"/>
        <c:tickLblPos val="nextTo"/>
        <c:txPr>
          <a:bodyPr/>
          <a:lstStyle/>
          <a:p>
            <a:pPr>
              <a:defRPr sz="800"/>
            </a:pPr>
            <a:endParaRPr lang="en-US"/>
          </a:p>
        </c:txPr>
        <c:crossAx val="109296640"/>
        <c:crosses val="autoZero"/>
        <c:crossBetween val="between"/>
      </c:valAx>
    </c:plotArea>
    <c:legend>
      <c:legendPos val="r"/>
      <c:overlay val="0"/>
      <c:txPr>
        <a:bodyPr/>
        <a:lstStyle/>
        <a:p>
          <a:pPr>
            <a:defRPr sz="800" baseline="0"/>
          </a:pPr>
          <a:endParaRPr lang="en-US"/>
        </a:p>
      </c:txPr>
    </c:legend>
    <c:plotVisOnly val="1"/>
    <c:dispBlanksAs val="gap"/>
    <c:showDLblsOverMax val="0"/>
  </c:chart>
  <c:spPr>
    <a:ln>
      <a:noFill/>
    </a:ln>
  </c:spPr>
  <c:txPr>
    <a:bodyPr/>
    <a:lstStyle/>
    <a:p>
      <a:pPr>
        <a:defRPr baseline="0">
          <a:latin typeface="Arial Rounded MT Bold" pitchFamily="34" charset="0"/>
        </a:defRPr>
      </a:pPr>
      <a:endParaRPr lang="en-US"/>
    </a:p>
  </c:txPr>
  <c:printSettings>
    <c:headerFooter/>
    <c:pageMargins b="0.75000000000000178" l="0.70000000000000062" r="0.70000000000000062" t="0.750000000000001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452416041188648E-2"/>
          <c:y val="3.3371496218759012E-3"/>
          <c:w val="0.89283871521785207"/>
          <c:h val="0.86450856582224023"/>
        </c:manualLayout>
      </c:layout>
      <c:barChart>
        <c:barDir val="bar"/>
        <c:grouping val="stacked"/>
        <c:varyColors val="0"/>
        <c:ser>
          <c:idx val="0"/>
          <c:order val="0"/>
          <c:tx>
            <c:strRef>
              <c:f>'Direct labour Inputs - med'!$B$13</c:f>
              <c:strCache>
                <c:ptCount val="1"/>
                <c:pt idx="0">
                  <c:v>M0: Medical and dental staff, hospitals</c:v>
                </c:pt>
              </c:strCache>
            </c:strRef>
          </c:tx>
          <c:invertIfNegative val="0"/>
          <c:cat>
            <c:strRef>
              <c:f>'Direct labour Inputs - med'!$C$12:$F$12</c:f>
              <c:strCache>
                <c:ptCount val="4"/>
                <c:pt idx="0">
                  <c:v>2007/08</c:v>
                </c:pt>
                <c:pt idx="1">
                  <c:v>2008/09</c:v>
                </c:pt>
                <c:pt idx="2">
                  <c:v>2009/10</c:v>
                </c:pt>
                <c:pt idx="3">
                  <c:v>2010/11</c:v>
                </c:pt>
              </c:strCache>
            </c:strRef>
          </c:cat>
          <c:val>
            <c:numRef>
              <c:f>'Direct labour Inputs - med'!$C$13:$F$13</c:f>
              <c:numCache>
                <c:formatCode>#,##0</c:formatCode>
                <c:ptCount val="4"/>
                <c:pt idx="0">
                  <c:v>83123</c:v>
                </c:pt>
                <c:pt idx="1">
                  <c:v>88849</c:v>
                </c:pt>
                <c:pt idx="2">
                  <c:v>91449</c:v>
                </c:pt>
                <c:pt idx="3">
                  <c:v>95106</c:v>
                </c:pt>
              </c:numCache>
            </c:numRef>
          </c:val>
        </c:ser>
        <c:ser>
          <c:idx val="1"/>
          <c:order val="1"/>
          <c:tx>
            <c:strRef>
              <c:f>'Direct labour Inputs - med'!$B$14</c:f>
              <c:strCache>
                <c:ptCount val="1"/>
                <c:pt idx="0">
                  <c:v>M1: Medical and dental staff (locum only)</c:v>
                </c:pt>
              </c:strCache>
            </c:strRef>
          </c:tx>
          <c:invertIfNegative val="0"/>
          <c:cat>
            <c:strRef>
              <c:f>'Direct labour Inputs - med'!$C$12:$F$12</c:f>
              <c:strCache>
                <c:ptCount val="4"/>
                <c:pt idx="0">
                  <c:v>2007/08</c:v>
                </c:pt>
                <c:pt idx="1">
                  <c:v>2008/09</c:v>
                </c:pt>
                <c:pt idx="2">
                  <c:v>2009/10</c:v>
                </c:pt>
                <c:pt idx="3">
                  <c:v>2010/11</c:v>
                </c:pt>
              </c:strCache>
            </c:strRef>
          </c:cat>
          <c:val>
            <c:numRef>
              <c:f>'Direct labour Inputs - med'!$C$14:$F$14</c:f>
              <c:numCache>
                <c:formatCode>#,##0</c:formatCode>
                <c:ptCount val="4"/>
                <c:pt idx="0">
                  <c:v>709</c:v>
                </c:pt>
                <c:pt idx="1">
                  <c:v>588</c:v>
                </c:pt>
                <c:pt idx="2">
                  <c:v>514</c:v>
                </c:pt>
                <c:pt idx="3">
                  <c:v>1001</c:v>
                </c:pt>
              </c:numCache>
            </c:numRef>
          </c:val>
        </c:ser>
        <c:ser>
          <c:idx val="2"/>
          <c:order val="2"/>
          <c:tx>
            <c:strRef>
              <c:f>'Direct labour Inputs - med'!$B$15</c:f>
              <c:strCache>
                <c:ptCount val="1"/>
                <c:pt idx="0">
                  <c:v>M2: Public health and community health services (medical)</c:v>
                </c:pt>
              </c:strCache>
            </c:strRef>
          </c:tx>
          <c:invertIfNegative val="0"/>
          <c:cat>
            <c:strRef>
              <c:f>'Direct labour Inputs - med'!$C$12:$F$12</c:f>
              <c:strCache>
                <c:ptCount val="4"/>
                <c:pt idx="0">
                  <c:v>2007/08</c:v>
                </c:pt>
                <c:pt idx="1">
                  <c:v>2008/09</c:v>
                </c:pt>
                <c:pt idx="2">
                  <c:v>2009/10</c:v>
                </c:pt>
                <c:pt idx="3">
                  <c:v>2010/11</c:v>
                </c:pt>
              </c:strCache>
            </c:strRef>
          </c:cat>
          <c:val>
            <c:numRef>
              <c:f>'Direct labour Inputs - med'!$C$15:$F$15</c:f>
              <c:numCache>
                <c:formatCode>#,##0</c:formatCode>
                <c:ptCount val="4"/>
                <c:pt idx="0">
                  <c:v>44</c:v>
                </c:pt>
                <c:pt idx="1">
                  <c:v>45</c:v>
                </c:pt>
                <c:pt idx="2">
                  <c:v>30</c:v>
                </c:pt>
                <c:pt idx="3">
                  <c:v>25</c:v>
                </c:pt>
              </c:numCache>
            </c:numRef>
          </c:val>
        </c:ser>
        <c:ser>
          <c:idx val="3"/>
          <c:order val="3"/>
          <c:tx>
            <c:strRef>
              <c:f>'Direct labour Inputs - med'!$B$16</c:f>
              <c:strCache>
                <c:ptCount val="1"/>
                <c:pt idx="0">
                  <c:v>M8: Doctors in training</c:v>
                </c:pt>
              </c:strCache>
            </c:strRef>
          </c:tx>
          <c:invertIfNegative val="0"/>
          <c:cat>
            <c:strRef>
              <c:f>'Direct labour Inputs - med'!$C$12:$F$12</c:f>
              <c:strCache>
                <c:ptCount val="4"/>
                <c:pt idx="0">
                  <c:v>2007/08</c:v>
                </c:pt>
                <c:pt idx="1">
                  <c:v>2008/09</c:v>
                </c:pt>
                <c:pt idx="2">
                  <c:v>2009/10</c:v>
                </c:pt>
                <c:pt idx="3">
                  <c:v>2010/11</c:v>
                </c:pt>
              </c:strCache>
            </c:strRef>
          </c:cat>
          <c:val>
            <c:numRef>
              <c:f>'Direct labour Inputs - med'!$C$16:$F$16</c:f>
              <c:numCache>
                <c:formatCode>#,##0</c:formatCode>
                <c:ptCount val="4"/>
                <c:pt idx="0">
                  <c:v>350</c:v>
                </c:pt>
                <c:pt idx="1">
                  <c:v>647</c:v>
                </c:pt>
                <c:pt idx="2">
                  <c:v>998</c:v>
                </c:pt>
                <c:pt idx="3">
                  <c:v>1245</c:v>
                </c:pt>
              </c:numCache>
            </c:numRef>
          </c:val>
        </c:ser>
        <c:ser>
          <c:idx val="4"/>
          <c:order val="4"/>
          <c:tx>
            <c:strRef>
              <c:f>'Direct labour Inputs - med'!$B$17</c:f>
              <c:strCache>
                <c:ptCount val="1"/>
                <c:pt idx="0">
                  <c:v>M9: GPs and dental*</c:v>
                </c:pt>
              </c:strCache>
            </c:strRef>
          </c:tx>
          <c:invertIfNegative val="0"/>
          <c:cat>
            <c:strRef>
              <c:f>'Direct labour Inputs - med'!$C$12:$F$12</c:f>
              <c:strCache>
                <c:ptCount val="4"/>
                <c:pt idx="0">
                  <c:v>2007/08</c:v>
                </c:pt>
                <c:pt idx="1">
                  <c:v>2008/09</c:v>
                </c:pt>
                <c:pt idx="2">
                  <c:v>2009/10</c:v>
                </c:pt>
                <c:pt idx="3">
                  <c:v>2010/11</c:v>
                </c:pt>
              </c:strCache>
            </c:strRef>
          </c:cat>
          <c:val>
            <c:numRef>
              <c:f>'Direct labour Inputs - med'!$C$17:$F$17</c:f>
              <c:numCache>
                <c:formatCode>#,##0</c:formatCode>
                <c:ptCount val="4"/>
                <c:pt idx="0">
                  <c:v>3744</c:v>
                </c:pt>
                <c:pt idx="1">
                  <c:v>3791</c:v>
                </c:pt>
                <c:pt idx="2">
                  <c:v>3682</c:v>
                </c:pt>
                <c:pt idx="3">
                  <c:v>2377</c:v>
                </c:pt>
              </c:numCache>
            </c:numRef>
          </c:val>
        </c:ser>
        <c:dLbls>
          <c:showLegendKey val="0"/>
          <c:showVal val="0"/>
          <c:showCatName val="0"/>
          <c:showSerName val="0"/>
          <c:showPercent val="0"/>
          <c:showBubbleSize val="0"/>
        </c:dLbls>
        <c:gapWidth val="150"/>
        <c:overlap val="100"/>
        <c:axId val="83307520"/>
        <c:axId val="83309312"/>
      </c:barChart>
      <c:catAx>
        <c:axId val="83307520"/>
        <c:scaling>
          <c:orientation val="minMax"/>
        </c:scaling>
        <c:delete val="0"/>
        <c:axPos val="l"/>
        <c:numFmt formatCode="General" sourceLinked="1"/>
        <c:majorTickMark val="out"/>
        <c:minorTickMark val="none"/>
        <c:tickLblPos val="nextTo"/>
        <c:txPr>
          <a:bodyPr/>
          <a:lstStyle/>
          <a:p>
            <a:pPr>
              <a:defRPr sz="800"/>
            </a:pPr>
            <a:endParaRPr lang="en-US"/>
          </a:p>
        </c:txPr>
        <c:crossAx val="83309312"/>
        <c:crosses val="autoZero"/>
        <c:auto val="1"/>
        <c:lblAlgn val="ctr"/>
        <c:lblOffset val="100"/>
        <c:noMultiLvlLbl val="0"/>
      </c:catAx>
      <c:valAx>
        <c:axId val="83309312"/>
        <c:scaling>
          <c:orientation val="minMax"/>
        </c:scaling>
        <c:delete val="0"/>
        <c:axPos val="b"/>
        <c:majorGridlines/>
        <c:numFmt formatCode="#,##0" sourceLinked="1"/>
        <c:majorTickMark val="out"/>
        <c:minorTickMark val="none"/>
        <c:tickLblPos val="nextTo"/>
        <c:txPr>
          <a:bodyPr/>
          <a:lstStyle/>
          <a:p>
            <a:pPr>
              <a:defRPr sz="800"/>
            </a:pPr>
            <a:endParaRPr lang="en-US"/>
          </a:p>
        </c:txPr>
        <c:crossAx val="83307520"/>
        <c:crosses val="autoZero"/>
        <c:crossBetween val="between"/>
      </c:valAx>
    </c:plotArea>
    <c:plotVisOnly val="1"/>
    <c:dispBlanksAs val="gap"/>
    <c:showDLblsOverMax val="0"/>
  </c:chart>
  <c:spPr>
    <a:ln>
      <a:noFill/>
    </a:ln>
  </c:spPr>
  <c:txPr>
    <a:bodyPr/>
    <a:lstStyle/>
    <a:p>
      <a:pPr>
        <a:defRPr sz="1300" b="0" i="0" baseline="0">
          <a:latin typeface="Arial Rounded MT Bold" pitchFamily="34" charset="0"/>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0162833094139154"/>
          <c:y val="4.3738297894949631E-2"/>
          <c:w val="0.73901236198692466"/>
          <c:h val="0.69328487785180704"/>
        </c:manualLayout>
      </c:layout>
      <c:lineChart>
        <c:grouping val="standard"/>
        <c:varyColors val="0"/>
        <c:ser>
          <c:idx val="0"/>
          <c:order val="0"/>
          <c:tx>
            <c:strRef>
              <c:f>'QA Primary Care'!$C$26</c:f>
              <c:strCache>
                <c:ptCount val="1"/>
                <c:pt idx="0">
                  <c:v>Unadjusted</c:v>
                </c:pt>
              </c:strCache>
            </c:strRef>
          </c:tx>
          <c:marker>
            <c:symbol val="none"/>
          </c:marker>
          <c:cat>
            <c:strRef>
              <c:f>'QA Primary Care'!$B$27:$B$33</c:f>
              <c:strCache>
                <c:ptCount val="7"/>
                <c:pt idx="0">
                  <c:v>2004/05</c:v>
                </c:pt>
                <c:pt idx="1">
                  <c:v>2005/06</c:v>
                </c:pt>
                <c:pt idx="2">
                  <c:v>2006/07</c:v>
                </c:pt>
                <c:pt idx="3">
                  <c:v>2007/08</c:v>
                </c:pt>
                <c:pt idx="4">
                  <c:v>2008/09</c:v>
                </c:pt>
                <c:pt idx="5">
                  <c:v>2009/10</c:v>
                </c:pt>
                <c:pt idx="6">
                  <c:v>2010/11</c:v>
                </c:pt>
              </c:strCache>
            </c:strRef>
          </c:cat>
          <c:val>
            <c:numRef>
              <c:f>'QA Primary Care'!$C$27:$C$33</c:f>
              <c:numCache>
                <c:formatCode>#,##0</c:formatCode>
                <c:ptCount val="7"/>
                <c:pt idx="0">
                  <c:v>265600</c:v>
                </c:pt>
                <c:pt idx="1">
                  <c:v>283100</c:v>
                </c:pt>
                <c:pt idx="2">
                  <c:v>293000</c:v>
                </c:pt>
                <c:pt idx="3">
                  <c:v>292500</c:v>
                </c:pt>
                <c:pt idx="4">
                  <c:v>300400</c:v>
                </c:pt>
                <c:pt idx="5">
                  <c:v>300400</c:v>
                </c:pt>
                <c:pt idx="6">
                  <c:v>292567</c:v>
                </c:pt>
              </c:numCache>
            </c:numRef>
          </c:val>
          <c:smooth val="0"/>
        </c:ser>
        <c:ser>
          <c:idx val="1"/>
          <c:order val="1"/>
          <c:tx>
            <c:strRef>
              <c:f>'QA Primary Care'!$D$26</c:f>
              <c:strCache>
                <c:ptCount val="1"/>
                <c:pt idx="0">
                  <c:v>1.5</c:v>
                </c:pt>
              </c:strCache>
            </c:strRef>
          </c:tx>
          <c:marker>
            <c:symbol val="none"/>
          </c:marker>
          <c:cat>
            <c:strRef>
              <c:f>'QA Primary Care'!$B$27:$B$33</c:f>
              <c:strCache>
                <c:ptCount val="7"/>
                <c:pt idx="0">
                  <c:v>2004/05</c:v>
                </c:pt>
                <c:pt idx="1">
                  <c:v>2005/06</c:v>
                </c:pt>
                <c:pt idx="2">
                  <c:v>2006/07</c:v>
                </c:pt>
                <c:pt idx="3">
                  <c:v>2007/08</c:v>
                </c:pt>
                <c:pt idx="4">
                  <c:v>2008/09</c:v>
                </c:pt>
                <c:pt idx="5">
                  <c:v>2009/10</c:v>
                </c:pt>
                <c:pt idx="6">
                  <c:v>2010/11</c:v>
                </c:pt>
              </c:strCache>
            </c:strRef>
          </c:cat>
          <c:val>
            <c:numRef>
              <c:f>'QA Primary Care'!$D$27:$D$33</c:f>
              <c:numCache>
                <c:formatCode>#,##0</c:formatCode>
                <c:ptCount val="7"/>
                <c:pt idx="0">
                  <c:v>279802.68377599999</c:v>
                </c:pt>
                <c:pt idx="1">
                  <c:v>300821.06915000005</c:v>
                </c:pt>
                <c:pt idx="2">
                  <c:v>313861.29820999998</c:v>
                </c:pt>
                <c:pt idx="3">
                  <c:v>313818.46470000001</c:v>
                </c:pt>
                <c:pt idx="4">
                  <c:v>322758.21926400007</c:v>
                </c:pt>
                <c:pt idx="5">
                  <c:v>323046.59124799998</c:v>
                </c:pt>
                <c:pt idx="6">
                  <c:v>314950.67104377894</c:v>
                </c:pt>
              </c:numCache>
            </c:numRef>
          </c:val>
          <c:smooth val="0"/>
        </c:ser>
        <c:dLbls>
          <c:showLegendKey val="0"/>
          <c:showVal val="0"/>
          <c:showCatName val="0"/>
          <c:showSerName val="0"/>
          <c:showPercent val="0"/>
          <c:showBubbleSize val="0"/>
        </c:dLbls>
        <c:marker val="1"/>
        <c:smooth val="0"/>
        <c:axId val="111000192"/>
        <c:axId val="111042944"/>
      </c:lineChart>
      <c:catAx>
        <c:axId val="111000192"/>
        <c:scaling>
          <c:orientation val="minMax"/>
        </c:scaling>
        <c:delete val="0"/>
        <c:axPos val="b"/>
        <c:numFmt formatCode="General" sourceLinked="1"/>
        <c:majorTickMark val="out"/>
        <c:minorTickMark val="none"/>
        <c:tickLblPos val="nextTo"/>
        <c:crossAx val="111042944"/>
        <c:crosses val="autoZero"/>
        <c:auto val="1"/>
        <c:lblAlgn val="ctr"/>
        <c:lblOffset val="100"/>
        <c:noMultiLvlLbl val="0"/>
      </c:catAx>
      <c:valAx>
        <c:axId val="111042944"/>
        <c:scaling>
          <c:orientation val="minMax"/>
          <c:max val="330000"/>
          <c:min val="240000"/>
        </c:scaling>
        <c:delete val="0"/>
        <c:axPos val="l"/>
        <c:majorGridlines/>
        <c:numFmt formatCode="#,##0" sourceLinked="1"/>
        <c:majorTickMark val="out"/>
        <c:minorTickMark val="none"/>
        <c:tickLblPos val="nextTo"/>
        <c:crossAx val="111000192"/>
        <c:crosses val="autoZero"/>
        <c:crossBetween val="between"/>
      </c:valAx>
    </c:plotArea>
    <c:legend>
      <c:legendPos val="b"/>
      <c:layout>
        <c:manualLayout>
          <c:xMode val="edge"/>
          <c:yMode val="edge"/>
          <c:x val="0.37978671748489551"/>
          <c:y val="0.83260952694229162"/>
          <c:w val="0.33019601916363234"/>
          <c:h val="6.0276377952755922E-2"/>
        </c:manualLayout>
      </c:layout>
      <c:overlay val="0"/>
    </c:legend>
    <c:plotVisOnly val="1"/>
    <c:dispBlanksAs val="gap"/>
    <c:showDLblsOverMax val="0"/>
  </c:chart>
  <c:spPr>
    <a:ln>
      <a:noFill/>
    </a:ln>
  </c:spPr>
  <c:printSettings>
    <c:headerFooter/>
    <c:pageMargins b="0.75000000000000178" l="0.70000000000000062" r="0.70000000000000062" t="0.75000000000000178"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NHS Staff - Constant</c:v>
          </c:tx>
          <c:invertIfNegative val="0"/>
          <c:val>
            <c:numRef>
              <c:f>Deflators!$D$26:$J$26</c:f>
              <c:numCache>
                <c:formatCode>General</c:formatCode>
                <c:ptCount val="7"/>
                <c:pt idx="0">
                  <c:v>31334252.480110005</c:v>
                </c:pt>
                <c:pt idx="1">
                  <c:v>33926746.314999998</c:v>
                </c:pt>
                <c:pt idx="2">
                  <c:v>35177509.125</c:v>
                </c:pt>
                <c:pt idx="3">
                  <c:v>36539983.701629996</c:v>
                </c:pt>
                <c:pt idx="4">
                  <c:v>39213453.649081036</c:v>
                </c:pt>
                <c:pt idx="5">
                  <c:v>42145100.102129996</c:v>
                </c:pt>
                <c:pt idx="6">
                  <c:v>43513839</c:v>
                </c:pt>
              </c:numCache>
            </c:numRef>
          </c:val>
        </c:ser>
        <c:ser>
          <c:idx val="1"/>
          <c:order val="1"/>
          <c:tx>
            <c:v>NHS Staff - Current</c:v>
          </c:tx>
          <c:invertIfNegative val="0"/>
          <c:val>
            <c:numRef>
              <c:f>Deflators!$D$39:$J$39</c:f>
              <c:numCache>
                <c:formatCode>General</c:formatCode>
                <c:ptCount val="7"/>
                <c:pt idx="0">
                  <c:v>38212088</c:v>
                </c:pt>
                <c:pt idx="1">
                  <c:v>39516362</c:v>
                </c:pt>
                <c:pt idx="2">
                  <c:v>39359457</c:v>
                </c:pt>
                <c:pt idx="3">
                  <c:v>39525586</c:v>
                </c:pt>
                <c:pt idx="4">
                  <c:v>41200614</c:v>
                </c:pt>
                <c:pt idx="5">
                  <c:v>43406879</c:v>
                </c:pt>
                <c:pt idx="6">
                  <c:v>43513839</c:v>
                </c:pt>
              </c:numCache>
            </c:numRef>
          </c:val>
        </c:ser>
        <c:ser>
          <c:idx val="2"/>
          <c:order val="2"/>
          <c:tx>
            <c:v>Agency staff - current</c:v>
          </c:tx>
          <c:invertIfNegative val="0"/>
          <c:val>
            <c:numRef>
              <c:f>Deflators!$D$27:$J$27</c:f>
              <c:numCache>
                <c:formatCode>General</c:formatCode>
                <c:ptCount val="7"/>
                <c:pt idx="0">
                  <c:v>1557282.4487299998</c:v>
                </c:pt>
                <c:pt idx="1">
                  <c:v>1459935.5</c:v>
                </c:pt>
                <c:pt idx="2">
                  <c:v>1185244</c:v>
                </c:pt>
                <c:pt idx="3">
                  <c:v>1354520.29837</c:v>
                </c:pt>
                <c:pt idx="4">
                  <c:v>1895451.8837600001</c:v>
                </c:pt>
                <c:pt idx="5">
                  <c:v>2195295.3909299998</c:v>
                </c:pt>
                <c:pt idx="6">
                  <c:v>2127889</c:v>
                </c:pt>
              </c:numCache>
            </c:numRef>
          </c:val>
        </c:ser>
        <c:ser>
          <c:idx val="3"/>
          <c:order val="3"/>
          <c:tx>
            <c:v>Agency staff - constant</c:v>
          </c:tx>
          <c:invertIfNegative val="0"/>
          <c:val>
            <c:numRef>
              <c:f>Deflators!$D$40:$J$40</c:f>
              <c:numCache>
                <c:formatCode>General</c:formatCode>
                <c:ptCount val="7"/>
                <c:pt idx="0">
                  <c:v>1669078</c:v>
                </c:pt>
                <c:pt idx="1">
                  <c:v>1440740</c:v>
                </c:pt>
                <c:pt idx="2">
                  <c:v>1089513</c:v>
                </c:pt>
                <c:pt idx="3">
                  <c:v>1305572</c:v>
                </c:pt>
                <c:pt idx="4">
                  <c:v>1988902</c:v>
                </c:pt>
                <c:pt idx="5">
                  <c:v>2373791</c:v>
                </c:pt>
                <c:pt idx="6">
                  <c:v>2127889</c:v>
                </c:pt>
              </c:numCache>
            </c:numRef>
          </c:val>
        </c:ser>
        <c:dLbls>
          <c:showLegendKey val="0"/>
          <c:showVal val="0"/>
          <c:showCatName val="0"/>
          <c:showSerName val="0"/>
          <c:showPercent val="0"/>
          <c:showBubbleSize val="0"/>
        </c:dLbls>
        <c:gapWidth val="150"/>
        <c:axId val="109675648"/>
        <c:axId val="109677184"/>
      </c:barChart>
      <c:catAx>
        <c:axId val="109675648"/>
        <c:scaling>
          <c:orientation val="minMax"/>
        </c:scaling>
        <c:delete val="0"/>
        <c:axPos val="b"/>
        <c:majorTickMark val="out"/>
        <c:minorTickMark val="none"/>
        <c:tickLblPos val="nextTo"/>
        <c:crossAx val="109677184"/>
        <c:crosses val="autoZero"/>
        <c:auto val="1"/>
        <c:lblAlgn val="ctr"/>
        <c:lblOffset val="100"/>
        <c:noMultiLvlLbl val="0"/>
      </c:catAx>
      <c:valAx>
        <c:axId val="109677184"/>
        <c:scaling>
          <c:orientation val="minMax"/>
        </c:scaling>
        <c:delete val="0"/>
        <c:axPos val="l"/>
        <c:majorGridlines/>
        <c:numFmt formatCode="General" sourceLinked="1"/>
        <c:majorTickMark val="out"/>
        <c:minorTickMark val="none"/>
        <c:tickLblPos val="nextTo"/>
        <c:crossAx val="109675648"/>
        <c:crosses val="autoZero"/>
        <c:crossBetween val="between"/>
      </c:valAx>
    </c:plotArea>
    <c:legend>
      <c:legendPos val="r"/>
      <c:overlay val="0"/>
    </c:legend>
    <c:plotVisOnly val="1"/>
    <c:dispBlanksAs val="gap"/>
    <c:showDLblsOverMax val="0"/>
  </c:chart>
  <c:printSettings>
    <c:headerFooter/>
    <c:pageMargins b="0.75000000000000189" l="0.70000000000000062" r="0.70000000000000062" t="0.75000000000000189"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108533248"/>
        <c:axId val="108534784"/>
      </c:barChart>
      <c:catAx>
        <c:axId val="108533248"/>
        <c:scaling>
          <c:orientation val="minMax"/>
        </c:scaling>
        <c:delete val="0"/>
        <c:axPos val="b"/>
        <c:majorTickMark val="out"/>
        <c:minorTickMark val="none"/>
        <c:tickLblPos val="nextTo"/>
        <c:crossAx val="108534784"/>
        <c:crosses val="autoZero"/>
        <c:auto val="1"/>
        <c:lblAlgn val="ctr"/>
        <c:lblOffset val="100"/>
        <c:noMultiLvlLbl val="0"/>
      </c:catAx>
      <c:valAx>
        <c:axId val="108534784"/>
        <c:scaling>
          <c:orientation val="minMax"/>
        </c:scaling>
        <c:delete val="0"/>
        <c:axPos val="l"/>
        <c:majorGridlines/>
        <c:numFmt formatCode="General" sourceLinked="1"/>
        <c:majorTickMark val="out"/>
        <c:minorTickMark val="none"/>
        <c:tickLblPos val="nextTo"/>
        <c:crossAx val="108533248"/>
        <c:crosses val="autoZero"/>
        <c:crossBetween val="between"/>
      </c:valAx>
    </c:plotArea>
    <c:legend>
      <c:legendPos val="r"/>
      <c:overlay val="0"/>
    </c:legend>
    <c:plotVisOnly val="1"/>
    <c:dispBlanksAs val="gap"/>
    <c:showDLblsOverMax val="0"/>
  </c:chart>
  <c:printSettings>
    <c:headerFooter/>
    <c:pageMargins b="0.75000000000000189" l="0.70000000000000062" r="0.70000000000000062" t="0.75000000000000189"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Productivity!$D$12</c:f>
              <c:strCache>
                <c:ptCount val="1"/>
                <c:pt idx="0">
                  <c:v>Output index</c:v>
                </c:pt>
              </c:strCache>
            </c:strRef>
          </c:tx>
          <c:spPr>
            <a:ln w="38100"/>
          </c:spPr>
          <c:marker>
            <c:symbol val="none"/>
          </c:marker>
          <c:cat>
            <c:strRef>
              <c:f>Productivity!$B$13:$B$18</c:f>
              <c:strCache>
                <c:ptCount val="6"/>
                <c:pt idx="0">
                  <c:v>2004/5 - 2005/6</c:v>
                </c:pt>
                <c:pt idx="1">
                  <c:v>2005/6 - 2006/7</c:v>
                </c:pt>
                <c:pt idx="2">
                  <c:v>2006/7 - 2007/8</c:v>
                </c:pt>
                <c:pt idx="3">
                  <c:v>2007/8 - 2008/9</c:v>
                </c:pt>
                <c:pt idx="4">
                  <c:v>2008/9 - 2009/10</c:v>
                </c:pt>
                <c:pt idx="5">
                  <c:v>2009/10-2010/11</c:v>
                </c:pt>
              </c:strCache>
            </c:strRef>
          </c:cat>
          <c:val>
            <c:numRef>
              <c:f>Productivity!$D$13:$D$18</c:f>
              <c:numCache>
                <c:formatCode>0.00</c:formatCode>
                <c:ptCount val="6"/>
                <c:pt idx="0">
                  <c:v>1</c:v>
                </c:pt>
                <c:pt idx="1">
                  <c:v>1.0649767663003606</c:v>
                </c:pt>
                <c:pt idx="2">
                  <c:v>1.103904906581495</c:v>
                </c:pt>
                <c:pt idx="3">
                  <c:v>1.1671917748758123</c:v>
                </c:pt>
                <c:pt idx="4">
                  <c:v>1.2151633568232081</c:v>
                </c:pt>
                <c:pt idx="5">
                  <c:v>1.2706963222300287</c:v>
                </c:pt>
              </c:numCache>
            </c:numRef>
          </c:val>
          <c:smooth val="0"/>
        </c:ser>
        <c:ser>
          <c:idx val="3"/>
          <c:order val="1"/>
          <c:tx>
            <c:strRef>
              <c:f>Productivity!$F$12</c:f>
              <c:strCache>
                <c:ptCount val="1"/>
                <c:pt idx="0">
                  <c:v>Input index</c:v>
                </c:pt>
              </c:strCache>
            </c:strRef>
          </c:tx>
          <c:spPr>
            <a:ln w="38100"/>
          </c:spPr>
          <c:marker>
            <c:symbol val="none"/>
          </c:marker>
          <c:val>
            <c:numRef>
              <c:f>Productivity!$F$13:$F$18</c:f>
              <c:numCache>
                <c:formatCode>0.00</c:formatCode>
                <c:ptCount val="6"/>
                <c:pt idx="0">
                  <c:v>1</c:v>
                </c:pt>
                <c:pt idx="1">
                  <c:v>1.018199109951079</c:v>
                </c:pt>
                <c:pt idx="2">
                  <c:v>1.0668349252542095</c:v>
                </c:pt>
                <c:pt idx="3">
                  <c:v>1.1138558498363518</c:v>
                </c:pt>
                <c:pt idx="4">
                  <c:v>1.1870776509900298</c:v>
                </c:pt>
                <c:pt idx="5">
                  <c:v>1.202800494461381</c:v>
                </c:pt>
              </c:numCache>
            </c:numRef>
          </c:val>
          <c:smooth val="0"/>
        </c:ser>
        <c:ser>
          <c:idx val="4"/>
          <c:order val="2"/>
          <c:tx>
            <c:strRef>
              <c:f>Productivity!$G$12</c:f>
              <c:strCache>
                <c:ptCount val="1"/>
                <c:pt idx="0">
                  <c:v>Productivity index</c:v>
                </c:pt>
              </c:strCache>
            </c:strRef>
          </c:tx>
          <c:spPr>
            <a:ln w="38100"/>
          </c:spPr>
          <c:marker>
            <c:symbol val="none"/>
          </c:marker>
          <c:val>
            <c:numRef>
              <c:f>Productivity!$G$13:$G$18</c:f>
              <c:numCache>
                <c:formatCode>0.00</c:formatCode>
                <c:ptCount val="6"/>
                <c:pt idx="0">
                  <c:v>1</c:v>
                </c:pt>
                <c:pt idx="1">
                  <c:v>1.0459415608323692</c:v>
                </c:pt>
                <c:pt idx="2">
                  <c:v>1.034747626319463</c:v>
                </c:pt>
                <c:pt idx="3">
                  <c:v>1.0478840462590349</c:v>
                </c:pt>
                <c:pt idx="4">
                  <c:v>1.0236595355070113</c:v>
                </c:pt>
                <c:pt idx="5">
                  <c:v>1.0564481209321848</c:v>
                </c:pt>
              </c:numCache>
            </c:numRef>
          </c:val>
          <c:smooth val="0"/>
        </c:ser>
        <c:dLbls>
          <c:showLegendKey val="0"/>
          <c:showVal val="0"/>
          <c:showCatName val="0"/>
          <c:showSerName val="0"/>
          <c:showPercent val="0"/>
          <c:showBubbleSize val="0"/>
        </c:dLbls>
        <c:marker val="1"/>
        <c:smooth val="0"/>
        <c:axId val="109031424"/>
        <c:axId val="109032960"/>
      </c:lineChart>
      <c:catAx>
        <c:axId val="109031424"/>
        <c:scaling>
          <c:orientation val="minMax"/>
        </c:scaling>
        <c:delete val="0"/>
        <c:axPos val="b"/>
        <c:majorTickMark val="out"/>
        <c:minorTickMark val="none"/>
        <c:tickLblPos val="nextTo"/>
        <c:txPr>
          <a:bodyPr/>
          <a:lstStyle/>
          <a:p>
            <a:pPr>
              <a:defRPr sz="800">
                <a:latin typeface="Arial Rounded MT Bold" pitchFamily="34" charset="0"/>
              </a:defRPr>
            </a:pPr>
            <a:endParaRPr lang="en-US"/>
          </a:p>
        </c:txPr>
        <c:crossAx val="109032960"/>
        <c:crosses val="autoZero"/>
        <c:auto val="1"/>
        <c:lblAlgn val="ctr"/>
        <c:lblOffset val="100"/>
        <c:noMultiLvlLbl val="0"/>
      </c:catAx>
      <c:valAx>
        <c:axId val="109032960"/>
        <c:scaling>
          <c:orientation val="minMax"/>
          <c:min val="0.8"/>
        </c:scaling>
        <c:delete val="0"/>
        <c:axPos val="l"/>
        <c:majorGridlines/>
        <c:numFmt formatCode="0.00" sourceLinked="1"/>
        <c:majorTickMark val="out"/>
        <c:minorTickMark val="none"/>
        <c:tickLblPos val="nextTo"/>
        <c:txPr>
          <a:bodyPr/>
          <a:lstStyle/>
          <a:p>
            <a:pPr>
              <a:defRPr sz="800">
                <a:latin typeface="Arial Rounded MT Bold" pitchFamily="34" charset="0"/>
              </a:defRPr>
            </a:pPr>
            <a:endParaRPr lang="en-US"/>
          </a:p>
        </c:txPr>
        <c:crossAx val="109031424"/>
        <c:crosses val="autoZero"/>
        <c:crossBetween val="between"/>
      </c:valAx>
      <c:spPr>
        <a:noFill/>
        <a:ln>
          <a:noFill/>
        </a:ln>
      </c:spPr>
    </c:plotArea>
    <c:legend>
      <c:legendPos val="b"/>
      <c:overlay val="0"/>
      <c:txPr>
        <a:bodyPr/>
        <a:lstStyle/>
        <a:p>
          <a:pPr>
            <a:defRPr sz="800">
              <a:latin typeface="Arial Rounded MT Bold" pitchFamily="34" charset="0"/>
            </a:defRPr>
          </a:pPr>
          <a:endParaRPr lang="en-US"/>
        </a:p>
      </c:txPr>
    </c:legend>
    <c:plotVisOnly val="1"/>
    <c:dispBlanksAs val="gap"/>
    <c:showDLblsOverMax val="0"/>
  </c:chart>
  <c:spPr>
    <a:ln>
      <a:noFill/>
    </a:ln>
  </c:spPr>
  <c:printSettings>
    <c:headerFooter/>
    <c:pageMargins b="0.75000000000000189" l="0.70000000000000062" r="0.70000000000000062" t="0.75000000000000189"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8084919336774E-2"/>
          <c:y val="1.5463245241613263E-2"/>
          <c:w val="0.91603670314157593"/>
          <c:h val="0.73921234905019251"/>
        </c:manualLayout>
      </c:layout>
      <c:lineChart>
        <c:grouping val="standard"/>
        <c:varyColors val="0"/>
        <c:ser>
          <c:idx val="0"/>
          <c:order val="0"/>
          <c:tx>
            <c:strRef>
              <c:f>Deflt!$C$11</c:f>
              <c:strCache>
                <c:ptCount val="1"/>
                <c:pt idx="0">
                  <c:v>Pay Index</c:v>
                </c:pt>
              </c:strCache>
            </c:strRef>
          </c:tx>
          <c:marker>
            <c:symbol val="none"/>
          </c:marker>
          <c:cat>
            <c:strRef>
              <c:f>Deflt!$B$12:$B$15</c:f>
              <c:strCache>
                <c:ptCount val="4"/>
                <c:pt idx="0">
                  <c:v>2007/08</c:v>
                </c:pt>
                <c:pt idx="1">
                  <c:v>2008/09</c:v>
                </c:pt>
                <c:pt idx="2">
                  <c:v>2009/10</c:v>
                </c:pt>
                <c:pt idx="3">
                  <c:v>2010/11</c:v>
                </c:pt>
              </c:strCache>
            </c:strRef>
          </c:cat>
          <c:val>
            <c:numRef>
              <c:f>Deflt!$C$12:$C$15</c:f>
              <c:numCache>
                <c:formatCode>0.00</c:formatCode>
                <c:ptCount val="4"/>
                <c:pt idx="0">
                  <c:v>0.92500000000000004</c:v>
                </c:pt>
                <c:pt idx="1">
                  <c:v>0.95299999999999996</c:v>
                </c:pt>
                <c:pt idx="2">
                  <c:v>0.97</c:v>
                </c:pt>
                <c:pt idx="3">
                  <c:v>1</c:v>
                </c:pt>
              </c:numCache>
            </c:numRef>
          </c:val>
          <c:smooth val="0"/>
        </c:ser>
        <c:ser>
          <c:idx val="1"/>
          <c:order val="1"/>
          <c:tx>
            <c:strRef>
              <c:f>Deflt!$D$11</c:f>
              <c:strCache>
                <c:ptCount val="1"/>
                <c:pt idx="0">
                  <c:v>Prices Index</c:v>
                </c:pt>
              </c:strCache>
            </c:strRef>
          </c:tx>
          <c:marker>
            <c:symbol val="none"/>
          </c:marker>
          <c:cat>
            <c:strRef>
              <c:f>Deflt!$B$12:$B$15</c:f>
              <c:strCache>
                <c:ptCount val="4"/>
                <c:pt idx="0">
                  <c:v>2007/08</c:v>
                </c:pt>
                <c:pt idx="1">
                  <c:v>2008/09</c:v>
                </c:pt>
                <c:pt idx="2">
                  <c:v>2009/10</c:v>
                </c:pt>
                <c:pt idx="3">
                  <c:v>2010/11</c:v>
                </c:pt>
              </c:strCache>
            </c:strRef>
          </c:cat>
          <c:val>
            <c:numRef>
              <c:f>Deflt!$D$12:$D$15</c:f>
              <c:numCache>
                <c:formatCode>0.00</c:formatCode>
                <c:ptCount val="4"/>
                <c:pt idx="0">
                  <c:v>0.93700000000000006</c:v>
                </c:pt>
                <c:pt idx="1">
                  <c:v>0.98599999999999999</c:v>
                </c:pt>
                <c:pt idx="2">
                  <c:v>0.97299999999999998</c:v>
                </c:pt>
                <c:pt idx="3">
                  <c:v>1</c:v>
                </c:pt>
              </c:numCache>
            </c:numRef>
          </c:val>
          <c:smooth val="0"/>
        </c:ser>
        <c:ser>
          <c:idx val="2"/>
          <c:order val="2"/>
          <c:tx>
            <c:strRef>
              <c:f>Deflt!$E$11</c:f>
              <c:strCache>
                <c:ptCount val="1"/>
                <c:pt idx="0">
                  <c:v>Pay &amp; Prices index</c:v>
                </c:pt>
              </c:strCache>
            </c:strRef>
          </c:tx>
          <c:marker>
            <c:symbol val="none"/>
          </c:marker>
          <c:cat>
            <c:strRef>
              <c:f>Deflt!$B$12:$B$15</c:f>
              <c:strCache>
                <c:ptCount val="4"/>
                <c:pt idx="0">
                  <c:v>2007/08</c:v>
                </c:pt>
                <c:pt idx="1">
                  <c:v>2008/09</c:v>
                </c:pt>
                <c:pt idx="2">
                  <c:v>2009/10</c:v>
                </c:pt>
                <c:pt idx="3">
                  <c:v>2010/11</c:v>
                </c:pt>
              </c:strCache>
            </c:strRef>
          </c:cat>
          <c:val>
            <c:numRef>
              <c:f>Deflt!$E$12:$E$15</c:f>
              <c:numCache>
                <c:formatCode>0.00</c:formatCode>
                <c:ptCount val="4"/>
                <c:pt idx="0">
                  <c:v>0.92900000000000005</c:v>
                </c:pt>
                <c:pt idx="1">
                  <c:v>0.96499999999999997</c:v>
                </c:pt>
                <c:pt idx="2">
                  <c:v>0.97099999999999997</c:v>
                </c:pt>
                <c:pt idx="3">
                  <c:v>1</c:v>
                </c:pt>
              </c:numCache>
            </c:numRef>
          </c:val>
          <c:smooth val="0"/>
        </c:ser>
        <c:ser>
          <c:idx val="3"/>
          <c:order val="3"/>
          <c:tx>
            <c:strRef>
              <c:f>Deflt!$F$11</c:f>
              <c:strCache>
                <c:ptCount val="1"/>
                <c:pt idx="0">
                  <c:v>CHE drugs index</c:v>
                </c:pt>
              </c:strCache>
            </c:strRef>
          </c:tx>
          <c:marker>
            <c:symbol val="none"/>
          </c:marker>
          <c:cat>
            <c:strRef>
              <c:f>Deflt!$B$12:$B$15</c:f>
              <c:strCache>
                <c:ptCount val="4"/>
                <c:pt idx="0">
                  <c:v>2007/08</c:v>
                </c:pt>
                <c:pt idx="1">
                  <c:v>2008/09</c:v>
                </c:pt>
                <c:pt idx="2">
                  <c:v>2009/10</c:v>
                </c:pt>
                <c:pt idx="3">
                  <c:v>2010/11</c:v>
                </c:pt>
              </c:strCache>
            </c:strRef>
          </c:cat>
          <c:val>
            <c:numRef>
              <c:f>Deflt!$F$12:$F$15</c:f>
              <c:numCache>
                <c:formatCode>General</c:formatCode>
                <c:ptCount val="4"/>
              </c:numCache>
            </c:numRef>
          </c:val>
          <c:smooth val="0"/>
        </c:ser>
        <c:ser>
          <c:idx val="4"/>
          <c:order val="4"/>
          <c:tx>
            <c:strRef>
              <c:f>Deflt!$G$11</c:f>
              <c:strCache>
                <c:ptCount val="1"/>
                <c:pt idx="0">
                  <c:v>Medical equipment </c:v>
                </c:pt>
              </c:strCache>
            </c:strRef>
          </c:tx>
          <c:marker>
            <c:symbol val="none"/>
          </c:marker>
          <c:cat>
            <c:strRef>
              <c:f>Deflt!$B$12:$B$15</c:f>
              <c:strCache>
                <c:ptCount val="4"/>
                <c:pt idx="0">
                  <c:v>2007/08</c:v>
                </c:pt>
                <c:pt idx="1">
                  <c:v>2008/09</c:v>
                </c:pt>
                <c:pt idx="2">
                  <c:v>2009/10</c:v>
                </c:pt>
                <c:pt idx="3">
                  <c:v>2010/11</c:v>
                </c:pt>
              </c:strCache>
            </c:strRef>
          </c:cat>
          <c:val>
            <c:numRef>
              <c:f>Deflt!$G$12:$G$15</c:f>
              <c:numCache>
                <c:formatCode>General</c:formatCode>
                <c:ptCount val="4"/>
                <c:pt idx="0">
                  <c:v>0.91</c:v>
                </c:pt>
                <c:pt idx="1">
                  <c:v>0.95</c:v>
                </c:pt>
                <c:pt idx="2">
                  <c:v>0.97</c:v>
                </c:pt>
                <c:pt idx="3" formatCode="0.00">
                  <c:v>1</c:v>
                </c:pt>
              </c:numCache>
            </c:numRef>
          </c:val>
          <c:smooth val="0"/>
        </c:ser>
        <c:ser>
          <c:idx val="5"/>
          <c:order val="5"/>
          <c:tx>
            <c:strRef>
              <c:f>Deflt!$H$11</c:f>
              <c:strCache>
                <c:ptCount val="1"/>
                <c:pt idx="0">
                  <c:v>Computer machinery</c:v>
                </c:pt>
              </c:strCache>
            </c:strRef>
          </c:tx>
          <c:marker>
            <c:symbol val="none"/>
          </c:marker>
          <c:cat>
            <c:strRef>
              <c:f>Deflt!$B$12:$B$15</c:f>
              <c:strCache>
                <c:ptCount val="4"/>
                <c:pt idx="0">
                  <c:v>2007/08</c:v>
                </c:pt>
                <c:pt idx="1">
                  <c:v>2008/09</c:v>
                </c:pt>
                <c:pt idx="2">
                  <c:v>2009/10</c:v>
                </c:pt>
                <c:pt idx="3">
                  <c:v>2010/11</c:v>
                </c:pt>
              </c:strCache>
            </c:strRef>
          </c:cat>
          <c:val>
            <c:numRef>
              <c:f>Deflt!$H$12:$H$15</c:f>
              <c:numCache>
                <c:formatCode>0.00</c:formatCode>
                <c:ptCount val="4"/>
                <c:pt idx="0">
                  <c:v>0.97</c:v>
                </c:pt>
                <c:pt idx="1">
                  <c:v>0.94</c:v>
                </c:pt>
                <c:pt idx="2" formatCode="General">
                  <c:v>0.98</c:v>
                </c:pt>
                <c:pt idx="3">
                  <c:v>1</c:v>
                </c:pt>
              </c:numCache>
            </c:numRef>
          </c:val>
          <c:smooth val="0"/>
        </c:ser>
        <c:ser>
          <c:idx val="6"/>
          <c:order val="6"/>
          <c:tx>
            <c:strRef>
              <c:f>Deflt!$I$11</c:f>
              <c:strCache>
                <c:ptCount val="1"/>
                <c:pt idx="0">
                  <c:v>Electrical Machinery</c:v>
                </c:pt>
              </c:strCache>
            </c:strRef>
          </c:tx>
          <c:marker>
            <c:symbol val="none"/>
          </c:marker>
          <c:cat>
            <c:strRef>
              <c:f>Deflt!$B$12:$B$15</c:f>
              <c:strCache>
                <c:ptCount val="4"/>
                <c:pt idx="0">
                  <c:v>2007/08</c:v>
                </c:pt>
                <c:pt idx="1">
                  <c:v>2008/09</c:v>
                </c:pt>
                <c:pt idx="2">
                  <c:v>2009/10</c:v>
                </c:pt>
                <c:pt idx="3">
                  <c:v>2010/11</c:v>
                </c:pt>
              </c:strCache>
            </c:strRef>
          </c:cat>
          <c:val>
            <c:numRef>
              <c:f>Deflt!$I$12:$I$15</c:f>
              <c:numCache>
                <c:formatCode>General</c:formatCode>
                <c:ptCount val="4"/>
                <c:pt idx="0">
                  <c:v>0.89</c:v>
                </c:pt>
                <c:pt idx="1">
                  <c:v>0.95</c:v>
                </c:pt>
                <c:pt idx="2">
                  <c:v>0.98</c:v>
                </c:pt>
                <c:pt idx="3" formatCode="0.00">
                  <c:v>1</c:v>
                </c:pt>
              </c:numCache>
            </c:numRef>
          </c:val>
          <c:smooth val="0"/>
        </c:ser>
        <c:dLbls>
          <c:showLegendKey val="0"/>
          <c:showVal val="0"/>
          <c:showCatName val="0"/>
          <c:showSerName val="0"/>
          <c:showPercent val="0"/>
          <c:showBubbleSize val="0"/>
        </c:dLbls>
        <c:marker val="1"/>
        <c:smooth val="0"/>
        <c:axId val="111148032"/>
        <c:axId val="111813376"/>
      </c:lineChart>
      <c:catAx>
        <c:axId val="111148032"/>
        <c:scaling>
          <c:orientation val="minMax"/>
        </c:scaling>
        <c:delete val="0"/>
        <c:axPos val="b"/>
        <c:majorTickMark val="out"/>
        <c:minorTickMark val="none"/>
        <c:tickLblPos val="nextTo"/>
        <c:txPr>
          <a:bodyPr/>
          <a:lstStyle/>
          <a:p>
            <a:pPr>
              <a:defRPr sz="800"/>
            </a:pPr>
            <a:endParaRPr lang="en-US"/>
          </a:p>
        </c:txPr>
        <c:crossAx val="111813376"/>
        <c:crosses val="autoZero"/>
        <c:auto val="1"/>
        <c:lblAlgn val="ctr"/>
        <c:lblOffset val="100"/>
        <c:noMultiLvlLbl val="0"/>
      </c:catAx>
      <c:valAx>
        <c:axId val="111813376"/>
        <c:scaling>
          <c:orientation val="minMax"/>
          <c:min val="0.88"/>
        </c:scaling>
        <c:delete val="0"/>
        <c:axPos val="l"/>
        <c:majorGridlines/>
        <c:numFmt formatCode="0.00" sourceLinked="1"/>
        <c:majorTickMark val="out"/>
        <c:minorTickMark val="none"/>
        <c:tickLblPos val="nextTo"/>
        <c:txPr>
          <a:bodyPr/>
          <a:lstStyle/>
          <a:p>
            <a:pPr>
              <a:defRPr sz="800"/>
            </a:pPr>
            <a:endParaRPr lang="en-US"/>
          </a:p>
        </c:txPr>
        <c:crossAx val="111148032"/>
        <c:crosses val="autoZero"/>
        <c:crossBetween val="between"/>
        <c:minorUnit val="2.0000000000000052E-3"/>
      </c:valAx>
      <c:spPr>
        <a:noFill/>
        <a:ln w="25400">
          <a:noFill/>
        </a:ln>
      </c:spPr>
    </c:plotArea>
    <c:legend>
      <c:legendPos val="b"/>
      <c:overlay val="0"/>
      <c:txPr>
        <a:bodyPr/>
        <a:lstStyle/>
        <a:p>
          <a:pPr>
            <a:defRPr sz="800">
              <a:latin typeface="Arial Rounded MT Bold" pitchFamily="34" charset="0"/>
            </a:defRPr>
          </a:pPr>
          <a:endParaRPr lang="en-US"/>
        </a:p>
      </c:txPr>
    </c:legend>
    <c:plotVisOnly val="1"/>
    <c:dispBlanksAs val="gap"/>
    <c:showDLblsOverMax val="0"/>
  </c:chart>
  <c:spPr>
    <a:ln>
      <a:noFill/>
    </a:ln>
  </c:spPr>
  <c:printSettings>
    <c:headerFooter/>
    <c:pageMargins b="0.75000000000000189" l="0.70000000000000062" r="0.70000000000000062" t="0.750000000000001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0.12410539067232"/>
          <c:y val="3.9114921134028535E-2"/>
          <c:w val="0.78539591948009568"/>
          <c:h val="0.67927629176223059"/>
        </c:manualLayout>
      </c:layout>
      <c:barChart>
        <c:barDir val="bar"/>
        <c:grouping val="stacked"/>
        <c:varyColors val="0"/>
        <c:ser>
          <c:idx val="0"/>
          <c:order val="0"/>
          <c:tx>
            <c:strRef>
              <c:f>'Indirect labour inputs'!$C$12</c:f>
              <c:strCache>
                <c:ptCount val="1"/>
                <c:pt idx="0">
                  <c:v>NHS Staff</c:v>
                </c:pt>
              </c:strCache>
            </c:strRef>
          </c:tx>
          <c:invertIfNegative val="0"/>
          <c:cat>
            <c:strRef>
              <c:f>'Indirect labour inputs'!$B$13:$B$19</c:f>
              <c:strCache>
                <c:ptCount val="7"/>
                <c:pt idx="0">
                  <c:v>2004/05</c:v>
                </c:pt>
                <c:pt idx="1">
                  <c:v>2005/06</c:v>
                </c:pt>
                <c:pt idx="2">
                  <c:v>2006/07</c:v>
                </c:pt>
                <c:pt idx="3">
                  <c:v>2007/08</c:v>
                </c:pt>
                <c:pt idx="4">
                  <c:v>2008/09</c:v>
                </c:pt>
                <c:pt idx="5">
                  <c:v>2009/10</c:v>
                </c:pt>
                <c:pt idx="6">
                  <c:v>2010/11</c:v>
                </c:pt>
              </c:strCache>
            </c:strRef>
          </c:cat>
          <c:val>
            <c:numRef>
              <c:f>'Indirect labour inputs'!$C$13:$C$19</c:f>
              <c:numCache>
                <c:formatCode>"£"#,##0</c:formatCode>
                <c:ptCount val="7"/>
                <c:pt idx="0">
                  <c:v>31769301.63786776</c:v>
                </c:pt>
                <c:pt idx="1">
                  <c:v>32596060.956325002</c:v>
                </c:pt>
                <c:pt idx="2">
                  <c:v>32455037.131831132</c:v>
                </c:pt>
                <c:pt idx="3">
                  <c:v>33126863</c:v>
                </c:pt>
                <c:pt idx="4">
                  <c:v>34845222</c:v>
                </c:pt>
                <c:pt idx="5">
                  <c:v>36855076</c:v>
                </c:pt>
                <c:pt idx="6">
                  <c:v>37824774</c:v>
                </c:pt>
              </c:numCache>
            </c:numRef>
          </c:val>
        </c:ser>
        <c:ser>
          <c:idx val="1"/>
          <c:order val="1"/>
          <c:tx>
            <c:strRef>
              <c:f>'Indirect labour inputs'!$D$12</c:f>
              <c:strCache>
                <c:ptCount val="1"/>
                <c:pt idx="0">
                  <c:v>Agency Staff</c:v>
                </c:pt>
              </c:strCache>
            </c:strRef>
          </c:tx>
          <c:invertIfNegative val="0"/>
          <c:cat>
            <c:strRef>
              <c:f>'Indirect labour inputs'!$B$13:$B$19</c:f>
              <c:strCache>
                <c:ptCount val="7"/>
                <c:pt idx="0">
                  <c:v>2004/05</c:v>
                </c:pt>
                <c:pt idx="1">
                  <c:v>2005/06</c:v>
                </c:pt>
                <c:pt idx="2">
                  <c:v>2006/07</c:v>
                </c:pt>
                <c:pt idx="3">
                  <c:v>2007/08</c:v>
                </c:pt>
                <c:pt idx="4">
                  <c:v>2008/09</c:v>
                </c:pt>
                <c:pt idx="5">
                  <c:v>2009/10</c:v>
                </c:pt>
                <c:pt idx="6">
                  <c:v>2010/11</c:v>
                </c:pt>
              </c:strCache>
            </c:strRef>
          </c:cat>
          <c:val>
            <c:numRef>
              <c:f>'Indirect labour inputs'!$D$13:$D$19</c:f>
              <c:numCache>
                <c:formatCode>"£"#,##0</c:formatCode>
                <c:ptCount val="7"/>
                <c:pt idx="0">
                  <c:v>1476262.4446027114</c:v>
                </c:pt>
                <c:pt idx="1">
                  <c:v>1261692.6814648334</c:v>
                </c:pt>
                <c:pt idx="2">
                  <c:v>925325.17575166887</c:v>
                </c:pt>
                <c:pt idx="3">
                  <c:v>1041135</c:v>
                </c:pt>
                <c:pt idx="4">
                  <c:v>1506515</c:v>
                </c:pt>
                <c:pt idx="5">
                  <c:v>1804668</c:v>
                </c:pt>
                <c:pt idx="6">
                  <c:v>1753583</c:v>
                </c:pt>
              </c:numCache>
            </c:numRef>
          </c:val>
        </c:ser>
        <c:ser>
          <c:idx val="2"/>
          <c:order val="2"/>
          <c:tx>
            <c:strRef>
              <c:f>'Indirect labour inputs'!$E$12</c:f>
              <c:strCache>
                <c:ptCount val="1"/>
                <c:pt idx="0">
                  <c:v>Chairman &amp; Directors</c:v>
                </c:pt>
              </c:strCache>
            </c:strRef>
          </c:tx>
          <c:invertIfNegative val="0"/>
          <c:cat>
            <c:strRef>
              <c:f>'Indirect labour inputs'!$B$13:$B$19</c:f>
              <c:strCache>
                <c:ptCount val="7"/>
                <c:pt idx="0">
                  <c:v>2004/05</c:v>
                </c:pt>
                <c:pt idx="1">
                  <c:v>2005/06</c:v>
                </c:pt>
                <c:pt idx="2">
                  <c:v>2006/07</c:v>
                </c:pt>
                <c:pt idx="3">
                  <c:v>2007/08</c:v>
                </c:pt>
                <c:pt idx="4">
                  <c:v>2008/09</c:v>
                </c:pt>
                <c:pt idx="5">
                  <c:v>2009/10</c:v>
                </c:pt>
                <c:pt idx="6">
                  <c:v>2010/11</c:v>
                </c:pt>
              </c:strCache>
            </c:strRef>
          </c:cat>
          <c:val>
            <c:numRef>
              <c:f>'Indirect labour inputs'!$E$13:$E$19</c:f>
              <c:numCache>
                <c:formatCode>"£"#,##0</c:formatCode>
                <c:ptCount val="7"/>
                <c:pt idx="0">
                  <c:v>7018981.5785218021</c:v>
                </c:pt>
                <c:pt idx="1">
                  <c:v>7434909.9022415737</c:v>
                </c:pt>
                <c:pt idx="2">
                  <c:v>7324709.9503195798</c:v>
                </c:pt>
                <c:pt idx="3">
                  <c:v>7360897</c:v>
                </c:pt>
                <c:pt idx="4">
                  <c:v>7972458</c:v>
                </c:pt>
                <c:pt idx="5">
                  <c:v>8629035</c:v>
                </c:pt>
                <c:pt idx="6">
                  <c:v>7326514</c:v>
                </c:pt>
              </c:numCache>
            </c:numRef>
          </c:val>
        </c:ser>
        <c:dLbls>
          <c:showLegendKey val="0"/>
          <c:showVal val="0"/>
          <c:showCatName val="0"/>
          <c:showSerName val="0"/>
          <c:showPercent val="0"/>
          <c:showBubbleSize val="0"/>
        </c:dLbls>
        <c:gapWidth val="150"/>
        <c:overlap val="100"/>
        <c:axId val="82608512"/>
        <c:axId val="82610048"/>
      </c:barChart>
      <c:catAx>
        <c:axId val="82608512"/>
        <c:scaling>
          <c:orientation val="minMax"/>
        </c:scaling>
        <c:delete val="0"/>
        <c:axPos val="l"/>
        <c:majorTickMark val="out"/>
        <c:minorTickMark val="none"/>
        <c:tickLblPos val="nextTo"/>
        <c:txPr>
          <a:bodyPr/>
          <a:lstStyle/>
          <a:p>
            <a:pPr>
              <a:defRPr sz="800" b="0">
                <a:latin typeface="Arial Rounded MT Bold" pitchFamily="34" charset="0"/>
              </a:defRPr>
            </a:pPr>
            <a:endParaRPr lang="en-US"/>
          </a:p>
        </c:txPr>
        <c:crossAx val="82610048"/>
        <c:crosses val="autoZero"/>
        <c:auto val="1"/>
        <c:lblAlgn val="ctr"/>
        <c:lblOffset val="100"/>
        <c:noMultiLvlLbl val="0"/>
      </c:catAx>
      <c:valAx>
        <c:axId val="82610048"/>
        <c:scaling>
          <c:orientation val="minMax"/>
        </c:scaling>
        <c:delete val="0"/>
        <c:axPos val="b"/>
        <c:majorGridlines/>
        <c:numFmt formatCode="&quot;£&quot;#,##0" sourceLinked="1"/>
        <c:majorTickMark val="out"/>
        <c:minorTickMark val="none"/>
        <c:tickLblPos val="nextTo"/>
        <c:txPr>
          <a:bodyPr/>
          <a:lstStyle/>
          <a:p>
            <a:pPr>
              <a:defRPr sz="800">
                <a:latin typeface="Arial Rounded MT Bold" pitchFamily="34" charset="0"/>
              </a:defRPr>
            </a:pPr>
            <a:endParaRPr lang="en-US"/>
          </a:p>
        </c:txPr>
        <c:crossAx val="82608512"/>
        <c:crosses val="autoZero"/>
        <c:crossBetween val="between"/>
      </c:valAx>
    </c:plotArea>
    <c:legend>
      <c:legendPos val="b"/>
      <c:layout>
        <c:manualLayout>
          <c:xMode val="edge"/>
          <c:yMode val="edge"/>
          <c:x val="0"/>
          <c:y val="0.76217141688458334"/>
          <c:w val="0.96610870661034964"/>
          <c:h val="0.16361706368982359"/>
        </c:manualLayout>
      </c:layout>
      <c:overlay val="0"/>
      <c:txPr>
        <a:bodyPr/>
        <a:lstStyle/>
        <a:p>
          <a:pPr>
            <a:defRPr sz="800">
              <a:latin typeface="Arial Rounded MT Bold" pitchFamily="34" charset="0"/>
            </a:defRPr>
          </a:pPr>
          <a:endParaRPr lang="en-US"/>
        </a:p>
      </c:txPr>
    </c:legend>
    <c:plotVisOnly val="1"/>
    <c:dispBlanksAs val="gap"/>
    <c:showDLblsOverMax val="0"/>
  </c:chart>
  <c:spPr>
    <a:ln>
      <a:noFill/>
    </a:ln>
  </c:spPr>
  <c:printSettings>
    <c:headerFooter/>
    <c:pageMargins b="0.75000000000000189" l="0.70000000000000062" r="0.70000000000000062" t="0.750000000000001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0.12474969956097832"/>
          <c:y val="4.2105263157894736E-2"/>
          <c:w val="0.80434060797397888"/>
          <c:h val="0.77013068103329185"/>
        </c:manualLayout>
      </c:layout>
      <c:barChart>
        <c:barDir val="bar"/>
        <c:grouping val="stacked"/>
        <c:varyColors val="0"/>
        <c:ser>
          <c:idx val="0"/>
          <c:order val="0"/>
          <c:tx>
            <c:strRef>
              <c:f>'Indirect labour inputs'!$I$12</c:f>
              <c:strCache>
                <c:ptCount val="1"/>
                <c:pt idx="0">
                  <c:v>NHS Staff</c:v>
                </c:pt>
              </c:strCache>
            </c:strRef>
          </c:tx>
          <c:invertIfNegative val="0"/>
          <c:cat>
            <c:strRef>
              <c:f>'Indirect labour inputs'!$H$13:$H$19</c:f>
              <c:strCache>
                <c:ptCount val="7"/>
                <c:pt idx="0">
                  <c:v>2004/05</c:v>
                </c:pt>
                <c:pt idx="1">
                  <c:v>2005/06</c:v>
                </c:pt>
                <c:pt idx="2">
                  <c:v>2006/07</c:v>
                </c:pt>
                <c:pt idx="3">
                  <c:v>2007/08</c:v>
                </c:pt>
                <c:pt idx="4">
                  <c:v>2008/09</c:v>
                </c:pt>
                <c:pt idx="5">
                  <c:v>2009/10</c:v>
                </c:pt>
                <c:pt idx="6">
                  <c:v>2010/11</c:v>
                </c:pt>
              </c:strCache>
            </c:strRef>
          </c:cat>
          <c:val>
            <c:numRef>
              <c:f>'Indirect labour inputs'!$I$13:$I$19</c:f>
              <c:numCache>
                <c:formatCode>"£"#,##0</c:formatCode>
                <c:ptCount val="7"/>
                <c:pt idx="0">
                  <c:v>26085037.644960001</c:v>
                </c:pt>
                <c:pt idx="1">
                  <c:v>28027090.5</c:v>
                </c:pt>
                <c:pt idx="2">
                  <c:v>29049856</c:v>
                </c:pt>
                <c:pt idx="3">
                  <c:v>30306044.70163</c:v>
                </c:pt>
                <c:pt idx="4">
                  <c:v>32572379.139851034</c:v>
                </c:pt>
                <c:pt idx="5">
                  <c:v>34911729.861659989</c:v>
                </c:pt>
                <c:pt idx="6">
                  <c:v>36962626</c:v>
                </c:pt>
              </c:numCache>
            </c:numRef>
          </c:val>
        </c:ser>
        <c:ser>
          <c:idx val="1"/>
          <c:order val="1"/>
          <c:tx>
            <c:strRef>
              <c:f>'Indirect labour inputs'!$J$12</c:f>
              <c:strCache>
                <c:ptCount val="1"/>
                <c:pt idx="0">
                  <c:v>Agency Staff</c:v>
                </c:pt>
              </c:strCache>
            </c:strRef>
          </c:tx>
          <c:invertIfNegative val="0"/>
          <c:cat>
            <c:strRef>
              <c:f>'Indirect labour inputs'!$H$16:$H$19</c:f>
              <c:strCache>
                <c:ptCount val="4"/>
                <c:pt idx="0">
                  <c:v>2007/08</c:v>
                </c:pt>
                <c:pt idx="1">
                  <c:v>2008/09</c:v>
                </c:pt>
                <c:pt idx="2">
                  <c:v>2009/10</c:v>
                </c:pt>
                <c:pt idx="3">
                  <c:v>2010/11</c:v>
                </c:pt>
              </c:strCache>
            </c:strRef>
          </c:cat>
          <c:val>
            <c:numRef>
              <c:f>'Indirect labour inputs'!$J$13:$J$19</c:f>
              <c:numCache>
                <c:formatCode>"£"#,##0</c:formatCode>
                <c:ptCount val="7"/>
                <c:pt idx="0">
                  <c:v>1365244.61427</c:v>
                </c:pt>
                <c:pt idx="1">
                  <c:v>1264450.5</c:v>
                </c:pt>
                <c:pt idx="2">
                  <c:v>995330</c:v>
                </c:pt>
                <c:pt idx="3">
                  <c:v>967707.29836999997</c:v>
                </c:pt>
                <c:pt idx="4">
                  <c:v>1435736.7426</c:v>
                </c:pt>
                <c:pt idx="5">
                  <c:v>1643244.8954399999</c:v>
                </c:pt>
                <c:pt idx="6">
                  <c:v>1753583</c:v>
                </c:pt>
              </c:numCache>
            </c:numRef>
          </c:val>
        </c:ser>
        <c:ser>
          <c:idx val="2"/>
          <c:order val="2"/>
          <c:tx>
            <c:strRef>
              <c:f>'Indirect labour inputs'!$K$12</c:f>
              <c:strCache>
                <c:ptCount val="1"/>
                <c:pt idx="0">
                  <c:v>Chairman &amp; Directors</c:v>
                </c:pt>
              </c:strCache>
            </c:strRef>
          </c:tx>
          <c:invertIfNegative val="0"/>
          <c:cat>
            <c:strRef>
              <c:f>'Indirect labour inputs'!$H$16:$H$19</c:f>
              <c:strCache>
                <c:ptCount val="4"/>
                <c:pt idx="0">
                  <c:v>2007/08</c:v>
                </c:pt>
                <c:pt idx="1">
                  <c:v>2008/09</c:v>
                </c:pt>
                <c:pt idx="2">
                  <c:v>2009/10</c:v>
                </c:pt>
                <c:pt idx="3">
                  <c:v>2010/11</c:v>
                </c:pt>
              </c:strCache>
            </c:strRef>
          </c:cat>
          <c:val>
            <c:numRef>
              <c:f>'Indirect labour inputs'!$K$13:$K$19</c:f>
              <c:numCache>
                <c:formatCode>"£"#,##0</c:formatCode>
                <c:ptCount val="7"/>
                <c:pt idx="0">
                  <c:v>5793300.5154999997</c:v>
                </c:pt>
                <c:pt idx="1">
                  <c:v>6431297.8149999995</c:v>
                </c:pt>
                <c:pt idx="2">
                  <c:v>6599301.125</c:v>
                </c:pt>
                <c:pt idx="3">
                  <c:v>6808830</c:v>
                </c:pt>
                <c:pt idx="4">
                  <c:v>7597741.5569399996</c:v>
                </c:pt>
                <c:pt idx="5">
                  <c:v>8370123.3679799996</c:v>
                </c:pt>
                <c:pt idx="6">
                  <c:v>7326514</c:v>
                </c:pt>
              </c:numCache>
            </c:numRef>
          </c:val>
        </c:ser>
        <c:dLbls>
          <c:showLegendKey val="0"/>
          <c:showVal val="0"/>
          <c:showCatName val="0"/>
          <c:showSerName val="0"/>
          <c:showPercent val="0"/>
          <c:showBubbleSize val="0"/>
        </c:dLbls>
        <c:gapWidth val="150"/>
        <c:overlap val="100"/>
        <c:axId val="96283648"/>
        <c:axId val="96289536"/>
      </c:barChart>
      <c:catAx>
        <c:axId val="96283648"/>
        <c:scaling>
          <c:orientation val="minMax"/>
        </c:scaling>
        <c:delete val="0"/>
        <c:axPos val="l"/>
        <c:majorTickMark val="out"/>
        <c:minorTickMark val="none"/>
        <c:tickLblPos val="nextTo"/>
        <c:txPr>
          <a:bodyPr/>
          <a:lstStyle/>
          <a:p>
            <a:pPr>
              <a:defRPr sz="800">
                <a:latin typeface="Arial Rounded MT Bold" pitchFamily="34" charset="0"/>
              </a:defRPr>
            </a:pPr>
            <a:endParaRPr lang="en-US"/>
          </a:p>
        </c:txPr>
        <c:crossAx val="96289536"/>
        <c:crosses val="autoZero"/>
        <c:auto val="1"/>
        <c:lblAlgn val="ctr"/>
        <c:lblOffset val="100"/>
        <c:noMultiLvlLbl val="0"/>
      </c:catAx>
      <c:valAx>
        <c:axId val="96289536"/>
        <c:scaling>
          <c:orientation val="minMax"/>
        </c:scaling>
        <c:delete val="0"/>
        <c:axPos val="b"/>
        <c:majorGridlines/>
        <c:numFmt formatCode="&quot;£&quot;#,##0" sourceLinked="1"/>
        <c:majorTickMark val="out"/>
        <c:minorTickMark val="none"/>
        <c:tickLblPos val="nextTo"/>
        <c:txPr>
          <a:bodyPr/>
          <a:lstStyle/>
          <a:p>
            <a:pPr>
              <a:defRPr sz="800">
                <a:latin typeface="Arial Rounded MT Bold" pitchFamily="34" charset="0"/>
              </a:defRPr>
            </a:pPr>
            <a:endParaRPr lang="en-US"/>
          </a:p>
        </c:txPr>
        <c:crossAx val="96283648"/>
        <c:crosses val="autoZero"/>
        <c:crossBetween val="between"/>
      </c:valAx>
    </c:plotArea>
    <c:legend>
      <c:legendPos val="b"/>
      <c:layout/>
      <c:overlay val="0"/>
      <c:txPr>
        <a:bodyPr/>
        <a:lstStyle/>
        <a:p>
          <a:pPr>
            <a:defRPr sz="800">
              <a:latin typeface="Arial Rounded MT Bold" pitchFamily="34" charset="0"/>
            </a:defRPr>
          </a:pPr>
          <a:endParaRPr lang="en-US"/>
        </a:p>
      </c:txPr>
    </c:legend>
    <c:plotVisOnly val="1"/>
    <c:dispBlanksAs val="gap"/>
    <c:showDLblsOverMax val="0"/>
  </c:chart>
  <c:spPr>
    <a:ln>
      <a:noFill/>
    </a:ln>
  </c:spPr>
  <c:printSettings>
    <c:headerFooter/>
    <c:pageMargins b="0.75000000000000155" l="0.70000000000000062" r="0.70000000000000062" t="0.75000000000000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0.16512160979877463"/>
          <c:y val="8.3921518006970508E-2"/>
          <c:w val="0.75060130423342231"/>
          <c:h val="0.66269503044482725"/>
        </c:manualLayout>
      </c:layout>
      <c:lineChart>
        <c:grouping val="standard"/>
        <c:varyColors val="0"/>
        <c:ser>
          <c:idx val="0"/>
          <c:order val="0"/>
          <c:tx>
            <c:strRef>
              <c:f>'Capital inputs'!$C$11</c:f>
              <c:strCache>
                <c:ptCount val="1"/>
                <c:pt idx="0">
                  <c:v>PCTs</c:v>
                </c:pt>
              </c:strCache>
            </c:strRef>
          </c:tx>
          <c:marker>
            <c:symbol val="none"/>
          </c:marker>
          <c:cat>
            <c:strRef>
              <c:f>'Capital inputs'!$B$12:$B$18</c:f>
              <c:strCache>
                <c:ptCount val="7"/>
                <c:pt idx="0">
                  <c:v>2004/5</c:v>
                </c:pt>
                <c:pt idx="1">
                  <c:v>2005/6</c:v>
                </c:pt>
                <c:pt idx="2">
                  <c:v>2006/7</c:v>
                </c:pt>
                <c:pt idx="3">
                  <c:v>2007/8</c:v>
                </c:pt>
                <c:pt idx="4">
                  <c:v>2008/9</c:v>
                </c:pt>
                <c:pt idx="5">
                  <c:v>2009/10</c:v>
                </c:pt>
                <c:pt idx="6">
                  <c:v>2010/11</c:v>
                </c:pt>
              </c:strCache>
            </c:strRef>
          </c:cat>
          <c:val>
            <c:numRef>
              <c:f>'Capital inputs'!$C$12:$C$18</c:f>
              <c:numCache>
                <c:formatCode>"£"#,##0_);\("£"#,##0\)</c:formatCode>
                <c:ptCount val="7"/>
                <c:pt idx="0">
                  <c:v>675303.14700003446</c:v>
                </c:pt>
                <c:pt idx="1">
                  <c:v>778520.87100000004</c:v>
                </c:pt>
                <c:pt idx="2">
                  <c:v>859911</c:v>
                </c:pt>
                <c:pt idx="3">
                  <c:v>1174841</c:v>
                </c:pt>
                <c:pt idx="4">
                  <c:v>1109565.85458</c:v>
                </c:pt>
                <c:pt idx="5">
                  <c:v>1099782.3706200002</c:v>
                </c:pt>
                <c:pt idx="6">
                  <c:v>1171813</c:v>
                </c:pt>
              </c:numCache>
            </c:numRef>
          </c:val>
          <c:smooth val="0"/>
        </c:ser>
        <c:ser>
          <c:idx val="1"/>
          <c:order val="1"/>
          <c:tx>
            <c:strRef>
              <c:f>'Capital inputs'!$E$11</c:f>
              <c:strCache>
                <c:ptCount val="1"/>
                <c:pt idx="0">
                  <c:v>All trusts</c:v>
                </c:pt>
              </c:strCache>
            </c:strRef>
          </c:tx>
          <c:marker>
            <c:symbol val="none"/>
          </c:marker>
          <c:cat>
            <c:strRef>
              <c:f>'Capital inputs'!$B$12:$B$18</c:f>
              <c:strCache>
                <c:ptCount val="7"/>
                <c:pt idx="0">
                  <c:v>2004/5</c:v>
                </c:pt>
                <c:pt idx="1">
                  <c:v>2005/6</c:v>
                </c:pt>
                <c:pt idx="2">
                  <c:v>2006/7</c:v>
                </c:pt>
                <c:pt idx="3">
                  <c:v>2007/8</c:v>
                </c:pt>
                <c:pt idx="4">
                  <c:v>2008/9</c:v>
                </c:pt>
                <c:pt idx="5">
                  <c:v>2009/10</c:v>
                </c:pt>
                <c:pt idx="6">
                  <c:v>2010/11</c:v>
                </c:pt>
              </c:strCache>
            </c:strRef>
          </c:cat>
          <c:val>
            <c:numRef>
              <c:f>'Capital inputs'!$E$12:$E$18</c:f>
              <c:numCache>
                <c:formatCode>"£"#,##0_);\("£"#,##0\)</c:formatCode>
                <c:ptCount val="7"/>
                <c:pt idx="0">
                  <c:v>4421465.1339764148</c:v>
                </c:pt>
                <c:pt idx="1">
                  <c:v>5047095.5</c:v>
                </c:pt>
                <c:pt idx="2">
                  <c:v>5692813.6799999997</c:v>
                </c:pt>
                <c:pt idx="3">
                  <c:v>6597634.0729</c:v>
                </c:pt>
                <c:pt idx="4">
                  <c:v>6302210.0633199997</c:v>
                </c:pt>
                <c:pt idx="5">
                  <c:v>6516513.7579399999</c:v>
                </c:pt>
                <c:pt idx="6">
                  <c:v>6839898</c:v>
                </c:pt>
              </c:numCache>
            </c:numRef>
          </c:val>
          <c:smooth val="0"/>
        </c:ser>
        <c:ser>
          <c:idx val="2"/>
          <c:order val="2"/>
          <c:tx>
            <c:strRef>
              <c:f>'Capital inputs'!$F$11</c:f>
              <c:strCache>
                <c:ptCount val="1"/>
                <c:pt idx="0">
                  <c:v>Total NHS</c:v>
                </c:pt>
              </c:strCache>
            </c:strRef>
          </c:tx>
          <c:marker>
            <c:symbol val="none"/>
          </c:marker>
          <c:cat>
            <c:strRef>
              <c:f>'Capital inputs'!$B$12:$B$18</c:f>
              <c:strCache>
                <c:ptCount val="7"/>
                <c:pt idx="0">
                  <c:v>2004/5</c:v>
                </c:pt>
                <c:pt idx="1">
                  <c:v>2005/6</c:v>
                </c:pt>
                <c:pt idx="2">
                  <c:v>2006/7</c:v>
                </c:pt>
                <c:pt idx="3">
                  <c:v>2007/8</c:v>
                </c:pt>
                <c:pt idx="4">
                  <c:v>2008/9</c:v>
                </c:pt>
                <c:pt idx="5">
                  <c:v>2009/10</c:v>
                </c:pt>
                <c:pt idx="6">
                  <c:v>2010/11</c:v>
                </c:pt>
              </c:strCache>
            </c:strRef>
          </c:cat>
          <c:val>
            <c:numRef>
              <c:f>'Capital inputs'!$F$12:$F$18</c:f>
              <c:numCache>
                <c:formatCode>"£"#,##0_);\("£"#,##0\)</c:formatCode>
                <c:ptCount val="7"/>
                <c:pt idx="0">
                  <c:v>5115514.2809764501</c:v>
                </c:pt>
                <c:pt idx="1">
                  <c:v>5839664.3710000003</c:v>
                </c:pt>
                <c:pt idx="2">
                  <c:v>6568362.6799999997</c:v>
                </c:pt>
                <c:pt idx="3">
                  <c:v>7784592.0729</c:v>
                </c:pt>
                <c:pt idx="4">
                  <c:v>7426030.9178999998</c:v>
                </c:pt>
                <c:pt idx="5">
                  <c:v>7635390.1285600001</c:v>
                </c:pt>
                <c:pt idx="6">
                  <c:v>8025361</c:v>
                </c:pt>
              </c:numCache>
            </c:numRef>
          </c:val>
          <c:smooth val="0"/>
        </c:ser>
        <c:dLbls>
          <c:showLegendKey val="0"/>
          <c:showVal val="0"/>
          <c:showCatName val="0"/>
          <c:showSerName val="0"/>
          <c:showPercent val="0"/>
          <c:showBubbleSize val="0"/>
        </c:dLbls>
        <c:marker val="1"/>
        <c:smooth val="0"/>
        <c:axId val="99309824"/>
        <c:axId val="99315712"/>
      </c:lineChart>
      <c:catAx>
        <c:axId val="99309824"/>
        <c:scaling>
          <c:orientation val="minMax"/>
        </c:scaling>
        <c:delete val="0"/>
        <c:axPos val="b"/>
        <c:majorTickMark val="out"/>
        <c:minorTickMark val="none"/>
        <c:tickLblPos val="nextTo"/>
        <c:crossAx val="99315712"/>
        <c:crosses val="autoZero"/>
        <c:auto val="1"/>
        <c:lblAlgn val="ctr"/>
        <c:lblOffset val="100"/>
        <c:noMultiLvlLbl val="0"/>
      </c:catAx>
      <c:valAx>
        <c:axId val="99315712"/>
        <c:scaling>
          <c:orientation val="minMax"/>
        </c:scaling>
        <c:delete val="0"/>
        <c:axPos val="l"/>
        <c:majorGridlines/>
        <c:numFmt formatCode="&quot;£&quot;#,##0_);\(&quot;£&quot;#,##0\)" sourceLinked="1"/>
        <c:majorTickMark val="out"/>
        <c:minorTickMark val="none"/>
        <c:tickLblPos val="nextTo"/>
        <c:crossAx val="99309824"/>
        <c:crosses val="autoZero"/>
        <c:crossBetween val="between"/>
      </c:valAx>
    </c:plotArea>
    <c:legend>
      <c:legendPos val="b"/>
      <c:layout/>
      <c:overlay val="0"/>
    </c:legend>
    <c:plotVisOnly val="1"/>
    <c:dispBlanksAs val="gap"/>
    <c:showDLblsOverMax val="0"/>
  </c:chart>
  <c:spPr>
    <a:ln>
      <a:noFill/>
    </a:ln>
  </c:spPr>
  <c:printSettings>
    <c:headerFooter/>
    <c:pageMargins b="0.75000000000000189" l="0.70000000000000062" r="0.70000000000000062" t="0.7500000000000018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manualLayout>
          <c:layoutTarget val="inner"/>
          <c:xMode val="edge"/>
          <c:yMode val="edge"/>
          <c:x val="0.17712524142029462"/>
          <c:y val="7.2565488137512332E-2"/>
          <c:w val="0.71461768929827163"/>
          <c:h val="0.60615464068592584"/>
        </c:manualLayout>
      </c:layout>
      <c:lineChart>
        <c:grouping val="standard"/>
        <c:varyColors val="0"/>
        <c:ser>
          <c:idx val="0"/>
          <c:order val="0"/>
          <c:tx>
            <c:strRef>
              <c:f>'Indirect intermediates'!$B$11</c:f>
              <c:strCache>
                <c:ptCount val="1"/>
                <c:pt idx="0">
                  <c:v>All trusts</c:v>
                </c:pt>
              </c:strCache>
            </c:strRef>
          </c:tx>
          <c:marker>
            <c:symbol val="none"/>
          </c:marker>
          <c:cat>
            <c:strRef>
              <c:f>'Indirect intermediates'!$C$10:$I$10</c:f>
              <c:strCache>
                <c:ptCount val="7"/>
                <c:pt idx="0">
                  <c:v>2004/5</c:v>
                </c:pt>
                <c:pt idx="1">
                  <c:v>2005/6</c:v>
                </c:pt>
                <c:pt idx="2">
                  <c:v>2006/7</c:v>
                </c:pt>
                <c:pt idx="3">
                  <c:v>2007/8</c:v>
                </c:pt>
                <c:pt idx="4">
                  <c:v>2008/9</c:v>
                </c:pt>
                <c:pt idx="5">
                  <c:v>2009/10</c:v>
                </c:pt>
                <c:pt idx="6">
                  <c:v>2010/11</c:v>
                </c:pt>
              </c:strCache>
            </c:strRef>
          </c:cat>
          <c:val>
            <c:numRef>
              <c:f>'Indirect intermediates'!$C$11:$I$11</c:f>
              <c:numCache>
                <c:formatCode>"£"#,##0</c:formatCode>
                <c:ptCount val="7"/>
                <c:pt idx="0">
                  <c:v>6991023</c:v>
                </c:pt>
                <c:pt idx="1">
                  <c:v>8214109</c:v>
                </c:pt>
                <c:pt idx="2">
                  <c:v>8969197</c:v>
                </c:pt>
                <c:pt idx="3">
                  <c:v>10132245</c:v>
                </c:pt>
                <c:pt idx="4">
                  <c:v>11126240</c:v>
                </c:pt>
                <c:pt idx="5">
                  <c:v>11841634</c:v>
                </c:pt>
                <c:pt idx="6">
                  <c:v>12961219</c:v>
                </c:pt>
              </c:numCache>
            </c:numRef>
          </c:val>
          <c:smooth val="0"/>
        </c:ser>
        <c:ser>
          <c:idx val="1"/>
          <c:order val="1"/>
          <c:tx>
            <c:strRef>
              <c:f>'Indirect intermediates'!$B$12</c:f>
              <c:strCache>
                <c:ptCount val="1"/>
                <c:pt idx="0">
                  <c:v>PCTs</c:v>
                </c:pt>
              </c:strCache>
            </c:strRef>
          </c:tx>
          <c:marker>
            <c:symbol val="none"/>
          </c:marker>
          <c:cat>
            <c:strRef>
              <c:f>'Indirect intermediates'!$C$10:$I$10</c:f>
              <c:strCache>
                <c:ptCount val="7"/>
                <c:pt idx="0">
                  <c:v>2004/5</c:v>
                </c:pt>
                <c:pt idx="1">
                  <c:v>2005/6</c:v>
                </c:pt>
                <c:pt idx="2">
                  <c:v>2006/7</c:v>
                </c:pt>
                <c:pt idx="3">
                  <c:v>2007/8</c:v>
                </c:pt>
                <c:pt idx="4">
                  <c:v>2008/9</c:v>
                </c:pt>
                <c:pt idx="5">
                  <c:v>2009/10</c:v>
                </c:pt>
                <c:pt idx="6">
                  <c:v>2010/11</c:v>
                </c:pt>
              </c:strCache>
            </c:strRef>
          </c:cat>
          <c:val>
            <c:numRef>
              <c:f>'Indirect intermediates'!$C$12:$I$12</c:f>
              <c:numCache>
                <c:formatCode>"£"#,##0</c:formatCode>
                <c:ptCount val="7"/>
                <c:pt idx="0">
                  <c:v>4932251</c:v>
                </c:pt>
                <c:pt idx="1">
                  <c:v>5933214</c:v>
                </c:pt>
                <c:pt idx="2">
                  <c:v>6792028</c:v>
                </c:pt>
                <c:pt idx="3">
                  <c:v>8327705</c:v>
                </c:pt>
                <c:pt idx="4">
                  <c:v>8949262</c:v>
                </c:pt>
                <c:pt idx="5">
                  <c:v>10063998</c:v>
                </c:pt>
                <c:pt idx="6">
                  <c:v>10873841</c:v>
                </c:pt>
              </c:numCache>
            </c:numRef>
          </c:val>
          <c:smooth val="0"/>
        </c:ser>
        <c:ser>
          <c:idx val="2"/>
          <c:order val="2"/>
          <c:tx>
            <c:strRef>
              <c:f>'Indirect intermediates'!$B$13</c:f>
              <c:strCache>
                <c:ptCount val="1"/>
                <c:pt idx="0">
                  <c:v>SHAs</c:v>
                </c:pt>
              </c:strCache>
            </c:strRef>
          </c:tx>
          <c:marker>
            <c:symbol val="none"/>
          </c:marker>
          <c:cat>
            <c:strRef>
              <c:f>'Indirect intermediates'!$C$10:$I$10</c:f>
              <c:strCache>
                <c:ptCount val="7"/>
                <c:pt idx="0">
                  <c:v>2004/5</c:v>
                </c:pt>
                <c:pt idx="1">
                  <c:v>2005/6</c:v>
                </c:pt>
                <c:pt idx="2">
                  <c:v>2006/7</c:v>
                </c:pt>
                <c:pt idx="3">
                  <c:v>2007/8</c:v>
                </c:pt>
                <c:pt idx="4">
                  <c:v>2008/9</c:v>
                </c:pt>
                <c:pt idx="5">
                  <c:v>2009/10</c:v>
                </c:pt>
                <c:pt idx="6">
                  <c:v>2010/11</c:v>
                </c:pt>
              </c:strCache>
            </c:strRef>
          </c:cat>
          <c:val>
            <c:numRef>
              <c:f>'Indirect intermediates'!$C$13:$I$13</c:f>
              <c:numCache>
                <c:formatCode>"£"#,##0</c:formatCode>
                <c:ptCount val="7"/>
                <c:pt idx="0">
                  <c:v>58721</c:v>
                </c:pt>
                <c:pt idx="1">
                  <c:v>67368</c:v>
                </c:pt>
                <c:pt idx="2">
                  <c:v>72493</c:v>
                </c:pt>
                <c:pt idx="3">
                  <c:v>94749</c:v>
                </c:pt>
                <c:pt idx="4">
                  <c:v>109351</c:v>
                </c:pt>
                <c:pt idx="5">
                  <c:v>111812</c:v>
                </c:pt>
                <c:pt idx="6">
                  <c:v>96254</c:v>
                </c:pt>
              </c:numCache>
            </c:numRef>
          </c:val>
          <c:smooth val="0"/>
        </c:ser>
        <c:dLbls>
          <c:showLegendKey val="0"/>
          <c:showVal val="0"/>
          <c:showCatName val="0"/>
          <c:showSerName val="0"/>
          <c:showPercent val="0"/>
          <c:showBubbleSize val="0"/>
        </c:dLbls>
        <c:marker val="1"/>
        <c:smooth val="0"/>
        <c:axId val="100803712"/>
        <c:axId val="100805248"/>
      </c:lineChart>
      <c:catAx>
        <c:axId val="100803712"/>
        <c:scaling>
          <c:orientation val="minMax"/>
        </c:scaling>
        <c:delete val="0"/>
        <c:axPos val="b"/>
        <c:majorTickMark val="out"/>
        <c:minorTickMark val="none"/>
        <c:tickLblPos val="nextTo"/>
        <c:crossAx val="100805248"/>
        <c:crosses val="autoZero"/>
        <c:auto val="1"/>
        <c:lblAlgn val="ctr"/>
        <c:lblOffset val="100"/>
        <c:noMultiLvlLbl val="0"/>
      </c:catAx>
      <c:valAx>
        <c:axId val="100805248"/>
        <c:scaling>
          <c:orientation val="minMax"/>
        </c:scaling>
        <c:delete val="0"/>
        <c:axPos val="l"/>
        <c:majorGridlines/>
        <c:numFmt formatCode="&quot;£&quot;#,##0" sourceLinked="1"/>
        <c:majorTickMark val="out"/>
        <c:minorTickMark val="none"/>
        <c:tickLblPos val="nextTo"/>
        <c:crossAx val="100803712"/>
        <c:crosses val="autoZero"/>
        <c:crossBetween val="between"/>
      </c:valAx>
    </c:plotArea>
    <c:legend>
      <c:legendPos val="b"/>
      <c:layout>
        <c:manualLayout>
          <c:xMode val="edge"/>
          <c:yMode val="edge"/>
          <c:x val="0.25730686481091375"/>
          <c:y val="0.88181102362204722"/>
          <c:w val="0.55733967216362268"/>
          <c:h val="0.10004373725237702"/>
        </c:manualLayout>
      </c:layout>
      <c:overlay val="0"/>
    </c:legend>
    <c:plotVisOnly val="1"/>
    <c:dispBlanksAs val="gap"/>
    <c:showDLblsOverMax val="0"/>
  </c:chart>
  <c:spPr>
    <a:ln>
      <a:noFill/>
    </a:ln>
  </c:spPr>
  <c:printSettings>
    <c:headerFooter/>
    <c:pageMargins b="0.75000000000000155" l="0.70000000000000062" r="0.70000000000000062" t="0.750000000000001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0439632545932"/>
          <c:y val="0"/>
          <c:w val="0.78104636920384951"/>
          <c:h val="0.70577026829979783"/>
        </c:manualLayout>
      </c:layout>
      <c:barChart>
        <c:barDir val="bar"/>
        <c:grouping val="stacked"/>
        <c:varyColors val="0"/>
        <c:ser>
          <c:idx val="0"/>
          <c:order val="0"/>
          <c:tx>
            <c:strRef>
              <c:f>'Indirect intermediates'!$B$22</c:f>
              <c:strCache>
                <c:ptCount val="1"/>
                <c:pt idx="0">
                  <c:v>Drugs &amp; gases</c:v>
                </c:pt>
              </c:strCache>
            </c:strRef>
          </c:tx>
          <c:invertIfNegative val="0"/>
          <c:cat>
            <c:strRef>
              <c:f>'Indirect intermediates'!$C$21:$I$21</c:f>
              <c:strCache>
                <c:ptCount val="7"/>
                <c:pt idx="0">
                  <c:v>2004/5</c:v>
                </c:pt>
                <c:pt idx="1">
                  <c:v>2005/6</c:v>
                </c:pt>
                <c:pt idx="2">
                  <c:v>2006/7</c:v>
                </c:pt>
                <c:pt idx="3">
                  <c:v>2007/8</c:v>
                </c:pt>
                <c:pt idx="4">
                  <c:v>2008/9</c:v>
                </c:pt>
                <c:pt idx="5">
                  <c:v>2009/10</c:v>
                </c:pt>
                <c:pt idx="6">
                  <c:v>2010/11</c:v>
                </c:pt>
              </c:strCache>
            </c:strRef>
          </c:cat>
          <c:val>
            <c:numRef>
              <c:f>'Indirect intermediates'!$C$22:$I$22</c:f>
              <c:numCache>
                <c:formatCode>#,##0</c:formatCode>
                <c:ptCount val="7"/>
                <c:pt idx="0">
                  <c:v>2591885</c:v>
                </c:pt>
                <c:pt idx="1">
                  <c:v>2647598</c:v>
                </c:pt>
                <c:pt idx="2">
                  <c:v>2814027</c:v>
                </c:pt>
                <c:pt idx="3">
                  <c:v>3115381</c:v>
                </c:pt>
                <c:pt idx="4">
                  <c:v>3460008</c:v>
                </c:pt>
                <c:pt idx="5">
                  <c:v>3773131</c:v>
                </c:pt>
                <c:pt idx="6">
                  <c:v>4111128</c:v>
                </c:pt>
              </c:numCache>
            </c:numRef>
          </c:val>
        </c:ser>
        <c:ser>
          <c:idx val="1"/>
          <c:order val="1"/>
          <c:tx>
            <c:strRef>
              <c:f>'Indirect intermediates'!$B$23</c:f>
              <c:strCache>
                <c:ptCount val="1"/>
                <c:pt idx="0">
                  <c:v>Clinical supplies &amp; services</c:v>
                </c:pt>
              </c:strCache>
            </c:strRef>
          </c:tx>
          <c:invertIfNegative val="0"/>
          <c:cat>
            <c:strRef>
              <c:f>'Indirect intermediates'!$C$21:$I$21</c:f>
              <c:strCache>
                <c:ptCount val="7"/>
                <c:pt idx="0">
                  <c:v>2004/5</c:v>
                </c:pt>
                <c:pt idx="1">
                  <c:v>2005/6</c:v>
                </c:pt>
                <c:pt idx="2">
                  <c:v>2006/7</c:v>
                </c:pt>
                <c:pt idx="3">
                  <c:v>2007/8</c:v>
                </c:pt>
                <c:pt idx="4">
                  <c:v>2008/9</c:v>
                </c:pt>
                <c:pt idx="5">
                  <c:v>2009/10</c:v>
                </c:pt>
                <c:pt idx="6">
                  <c:v>2010/11</c:v>
                </c:pt>
              </c:strCache>
            </c:strRef>
          </c:cat>
          <c:val>
            <c:numRef>
              <c:f>'Indirect intermediates'!$C$23:$I$23</c:f>
              <c:numCache>
                <c:formatCode>#,##0</c:formatCode>
                <c:ptCount val="7"/>
                <c:pt idx="0">
                  <c:v>405985</c:v>
                </c:pt>
                <c:pt idx="1">
                  <c:v>594689</c:v>
                </c:pt>
                <c:pt idx="2">
                  <c:v>748493</c:v>
                </c:pt>
                <c:pt idx="3">
                  <c:v>942142</c:v>
                </c:pt>
                <c:pt idx="4">
                  <c:v>1119410</c:v>
                </c:pt>
                <c:pt idx="5">
                  <c:v>1307254</c:v>
                </c:pt>
                <c:pt idx="6">
                  <c:v>1455860</c:v>
                </c:pt>
              </c:numCache>
            </c:numRef>
          </c:val>
        </c:ser>
        <c:ser>
          <c:idx val="2"/>
          <c:order val="2"/>
          <c:tx>
            <c:strRef>
              <c:f>'Indirect intermediates'!$B$24</c:f>
              <c:strCache>
                <c:ptCount val="1"/>
                <c:pt idx="0">
                  <c:v>General supplies &amp; services</c:v>
                </c:pt>
              </c:strCache>
            </c:strRef>
          </c:tx>
          <c:invertIfNegative val="0"/>
          <c:cat>
            <c:strRef>
              <c:f>'Indirect intermediates'!$C$21:$I$21</c:f>
              <c:strCache>
                <c:ptCount val="7"/>
                <c:pt idx="0">
                  <c:v>2004/5</c:v>
                </c:pt>
                <c:pt idx="1">
                  <c:v>2005/6</c:v>
                </c:pt>
                <c:pt idx="2">
                  <c:v>2006/7</c:v>
                </c:pt>
                <c:pt idx="3">
                  <c:v>2007/8</c:v>
                </c:pt>
                <c:pt idx="4">
                  <c:v>2008/9</c:v>
                </c:pt>
                <c:pt idx="5">
                  <c:v>2009/10</c:v>
                </c:pt>
                <c:pt idx="6">
                  <c:v>2010/11</c:v>
                </c:pt>
              </c:strCache>
            </c:strRef>
          </c:cat>
          <c:val>
            <c:numRef>
              <c:f>'Indirect intermediates'!$C$24:$I$24</c:f>
              <c:numCache>
                <c:formatCode>#,##0</c:formatCode>
                <c:ptCount val="7"/>
                <c:pt idx="0">
                  <c:v>743426</c:v>
                </c:pt>
                <c:pt idx="1">
                  <c:v>853397</c:v>
                </c:pt>
                <c:pt idx="2">
                  <c:v>911504</c:v>
                </c:pt>
                <c:pt idx="3">
                  <c:v>1045835</c:v>
                </c:pt>
                <c:pt idx="4">
                  <c:v>1119750</c:v>
                </c:pt>
                <c:pt idx="5">
                  <c:v>1177681</c:v>
                </c:pt>
                <c:pt idx="6">
                  <c:v>1226148</c:v>
                </c:pt>
              </c:numCache>
            </c:numRef>
          </c:val>
        </c:ser>
        <c:ser>
          <c:idx val="3"/>
          <c:order val="3"/>
          <c:tx>
            <c:strRef>
              <c:f>'Indirect intermediates'!$B$25</c:f>
              <c:strCache>
                <c:ptCount val="1"/>
                <c:pt idx="0">
                  <c:v>Establishment</c:v>
                </c:pt>
              </c:strCache>
            </c:strRef>
          </c:tx>
          <c:invertIfNegative val="0"/>
          <c:cat>
            <c:strRef>
              <c:f>'Indirect intermediates'!$C$21:$I$21</c:f>
              <c:strCache>
                <c:ptCount val="7"/>
                <c:pt idx="0">
                  <c:v>2004/5</c:v>
                </c:pt>
                <c:pt idx="1">
                  <c:v>2005/6</c:v>
                </c:pt>
                <c:pt idx="2">
                  <c:v>2006/7</c:v>
                </c:pt>
                <c:pt idx="3">
                  <c:v>2007/8</c:v>
                </c:pt>
                <c:pt idx="4">
                  <c:v>2008/9</c:v>
                </c:pt>
                <c:pt idx="5">
                  <c:v>2009/10</c:v>
                </c:pt>
                <c:pt idx="6">
                  <c:v>2010/11</c:v>
                </c:pt>
              </c:strCache>
            </c:strRef>
          </c:cat>
          <c:val>
            <c:numRef>
              <c:f>'Indirect intermediates'!$C$25:$I$25</c:f>
              <c:numCache>
                <c:formatCode>#,##0</c:formatCode>
                <c:ptCount val="7"/>
                <c:pt idx="0">
                  <c:v>951971</c:v>
                </c:pt>
                <c:pt idx="1">
                  <c:v>981559</c:v>
                </c:pt>
                <c:pt idx="2">
                  <c:v>982216</c:v>
                </c:pt>
                <c:pt idx="3">
                  <c:v>1085634</c:v>
                </c:pt>
                <c:pt idx="4">
                  <c:v>1104583</c:v>
                </c:pt>
                <c:pt idx="5">
                  <c:v>1099538</c:v>
                </c:pt>
                <c:pt idx="6">
                  <c:v>1163635</c:v>
                </c:pt>
              </c:numCache>
            </c:numRef>
          </c:val>
        </c:ser>
        <c:ser>
          <c:idx val="4"/>
          <c:order val="4"/>
          <c:tx>
            <c:strRef>
              <c:f>'Indirect intermediates'!$B$26</c:f>
              <c:strCache>
                <c:ptCount val="1"/>
                <c:pt idx="0">
                  <c:v>Energy &amp; premises</c:v>
                </c:pt>
              </c:strCache>
            </c:strRef>
          </c:tx>
          <c:invertIfNegative val="0"/>
          <c:cat>
            <c:strRef>
              <c:f>'Indirect intermediates'!$C$21:$I$21</c:f>
              <c:strCache>
                <c:ptCount val="7"/>
                <c:pt idx="0">
                  <c:v>2004/5</c:v>
                </c:pt>
                <c:pt idx="1">
                  <c:v>2005/6</c:v>
                </c:pt>
                <c:pt idx="2">
                  <c:v>2006/7</c:v>
                </c:pt>
                <c:pt idx="3">
                  <c:v>2007/8</c:v>
                </c:pt>
                <c:pt idx="4">
                  <c:v>2008/9</c:v>
                </c:pt>
                <c:pt idx="5">
                  <c:v>2009/10</c:v>
                </c:pt>
                <c:pt idx="6">
                  <c:v>2010/11</c:v>
                </c:pt>
              </c:strCache>
            </c:strRef>
          </c:cat>
          <c:val>
            <c:numRef>
              <c:f>'Indirect intermediates'!$C$26:$I$26</c:f>
              <c:numCache>
                <c:formatCode>#,##0</c:formatCode>
                <c:ptCount val="7"/>
                <c:pt idx="0">
                  <c:v>799962</c:v>
                </c:pt>
                <c:pt idx="1">
                  <c:v>1031786</c:v>
                </c:pt>
                <c:pt idx="2">
                  <c:v>1161463</c:v>
                </c:pt>
                <c:pt idx="3">
                  <c:v>1279173</c:v>
                </c:pt>
                <c:pt idx="4">
                  <c:v>1506901</c:v>
                </c:pt>
                <c:pt idx="5">
                  <c:v>1289767</c:v>
                </c:pt>
                <c:pt idx="6">
                  <c:v>1436318</c:v>
                </c:pt>
              </c:numCache>
            </c:numRef>
          </c:val>
        </c:ser>
        <c:ser>
          <c:idx val="5"/>
          <c:order val="5"/>
          <c:tx>
            <c:strRef>
              <c:f>'Indirect intermediates'!$B$27</c:f>
              <c:strCache>
                <c:ptCount val="1"/>
                <c:pt idx="0">
                  <c:v>External purchasing</c:v>
                </c:pt>
              </c:strCache>
            </c:strRef>
          </c:tx>
          <c:invertIfNegative val="0"/>
          <c:cat>
            <c:strRef>
              <c:f>'Indirect intermediates'!$C$21:$I$21</c:f>
              <c:strCache>
                <c:ptCount val="7"/>
                <c:pt idx="0">
                  <c:v>2004/5</c:v>
                </c:pt>
                <c:pt idx="1">
                  <c:v>2005/6</c:v>
                </c:pt>
                <c:pt idx="2">
                  <c:v>2006/7</c:v>
                </c:pt>
                <c:pt idx="3">
                  <c:v>2007/8</c:v>
                </c:pt>
                <c:pt idx="4">
                  <c:v>2008/9</c:v>
                </c:pt>
                <c:pt idx="5">
                  <c:v>2009/10</c:v>
                </c:pt>
                <c:pt idx="6">
                  <c:v>2010/11</c:v>
                </c:pt>
              </c:strCache>
            </c:strRef>
          </c:cat>
          <c:val>
            <c:numRef>
              <c:f>'Indirect intermediates'!$C$27:$I$27</c:f>
              <c:numCache>
                <c:formatCode>#,##0</c:formatCode>
                <c:ptCount val="7"/>
                <c:pt idx="0">
                  <c:v>609215</c:v>
                </c:pt>
                <c:pt idx="1">
                  <c:v>669508</c:v>
                </c:pt>
                <c:pt idx="2">
                  <c:v>738923</c:v>
                </c:pt>
                <c:pt idx="3">
                  <c:v>916352</c:v>
                </c:pt>
                <c:pt idx="4">
                  <c:v>962768</c:v>
                </c:pt>
                <c:pt idx="5">
                  <c:v>950531</c:v>
                </c:pt>
                <c:pt idx="6">
                  <c:v>1061324</c:v>
                </c:pt>
              </c:numCache>
            </c:numRef>
          </c:val>
        </c:ser>
        <c:ser>
          <c:idx val="6"/>
          <c:order val="6"/>
          <c:tx>
            <c:strRef>
              <c:f>'Indirect intermediates'!$B$28</c:f>
              <c:strCache>
                <c:ptCount val="1"/>
                <c:pt idx="0">
                  <c:v>Miscellaneous</c:v>
                </c:pt>
              </c:strCache>
            </c:strRef>
          </c:tx>
          <c:invertIfNegative val="0"/>
          <c:cat>
            <c:strRef>
              <c:f>'Indirect intermediates'!$C$21:$I$21</c:f>
              <c:strCache>
                <c:ptCount val="7"/>
                <c:pt idx="0">
                  <c:v>2004/5</c:v>
                </c:pt>
                <c:pt idx="1">
                  <c:v>2005/6</c:v>
                </c:pt>
                <c:pt idx="2">
                  <c:v>2006/7</c:v>
                </c:pt>
                <c:pt idx="3">
                  <c:v>2007/8</c:v>
                </c:pt>
                <c:pt idx="4">
                  <c:v>2008/9</c:v>
                </c:pt>
                <c:pt idx="5">
                  <c:v>2009/10</c:v>
                </c:pt>
                <c:pt idx="6">
                  <c:v>2010/11</c:v>
                </c:pt>
              </c:strCache>
            </c:strRef>
          </c:cat>
          <c:val>
            <c:numRef>
              <c:f>'Indirect intermediates'!$C$28:$I$28</c:f>
              <c:numCache>
                <c:formatCode>#,##0</c:formatCode>
                <c:ptCount val="7"/>
                <c:pt idx="0">
                  <c:v>888577</c:v>
                </c:pt>
                <c:pt idx="1">
                  <c:v>1435572</c:v>
                </c:pt>
                <c:pt idx="2">
                  <c:v>1612571</c:v>
                </c:pt>
                <c:pt idx="3">
                  <c:v>1747727</c:v>
                </c:pt>
                <c:pt idx="4">
                  <c:v>1852820</c:v>
                </c:pt>
                <c:pt idx="5">
                  <c:v>2243732</c:v>
                </c:pt>
                <c:pt idx="6">
                  <c:v>2506806</c:v>
                </c:pt>
              </c:numCache>
            </c:numRef>
          </c:val>
        </c:ser>
        <c:dLbls>
          <c:showLegendKey val="0"/>
          <c:showVal val="0"/>
          <c:showCatName val="0"/>
          <c:showSerName val="0"/>
          <c:showPercent val="0"/>
          <c:showBubbleSize val="0"/>
        </c:dLbls>
        <c:gapWidth val="150"/>
        <c:overlap val="100"/>
        <c:axId val="100846592"/>
        <c:axId val="101200640"/>
      </c:barChart>
      <c:catAx>
        <c:axId val="100846592"/>
        <c:scaling>
          <c:orientation val="minMax"/>
        </c:scaling>
        <c:delete val="0"/>
        <c:axPos val="l"/>
        <c:majorTickMark val="out"/>
        <c:minorTickMark val="none"/>
        <c:tickLblPos val="nextTo"/>
        <c:crossAx val="101200640"/>
        <c:crosses val="autoZero"/>
        <c:auto val="1"/>
        <c:lblAlgn val="ctr"/>
        <c:lblOffset val="100"/>
        <c:noMultiLvlLbl val="0"/>
      </c:catAx>
      <c:valAx>
        <c:axId val="101200640"/>
        <c:scaling>
          <c:orientation val="minMax"/>
        </c:scaling>
        <c:delete val="0"/>
        <c:axPos val="b"/>
        <c:majorGridlines/>
        <c:numFmt formatCode="#,##0" sourceLinked="1"/>
        <c:majorTickMark val="out"/>
        <c:minorTickMark val="none"/>
        <c:tickLblPos val="nextTo"/>
        <c:crossAx val="100846592"/>
        <c:crosses val="autoZero"/>
        <c:crossBetween val="between"/>
      </c:valAx>
    </c:plotArea>
    <c:legend>
      <c:legendPos val="b"/>
      <c:layout>
        <c:manualLayout>
          <c:xMode val="edge"/>
          <c:yMode val="edge"/>
          <c:x val="0"/>
          <c:y val="0.77855715952172644"/>
          <c:w val="1"/>
          <c:h val="0.19366506270049591"/>
        </c:manualLayout>
      </c:layout>
      <c:overlay val="0"/>
    </c:legend>
    <c:plotVisOnly val="1"/>
    <c:dispBlanksAs val="gap"/>
    <c:showDLblsOverMax val="0"/>
  </c:chart>
  <c:spPr>
    <a:ln>
      <a:noFill/>
    </a:ln>
  </c:spPr>
  <c:printSettings>
    <c:headerFooter/>
    <c:pageMargins b="0.75000000000000155" l="0.70000000000000062" r="0.70000000000000062" t="0.750000000000001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85108897811622"/>
          <c:y val="5.1118210862619813E-2"/>
          <c:w val="0.67425144704594064"/>
          <c:h val="0.79666576020138524"/>
        </c:manualLayout>
      </c:layout>
      <c:barChart>
        <c:barDir val="bar"/>
        <c:grouping val="percentStacked"/>
        <c:varyColors val="0"/>
        <c:ser>
          <c:idx val="0"/>
          <c:order val="0"/>
          <c:tx>
            <c:strRef>
              <c:f>'Total indirect inputs'!$B$14</c:f>
              <c:strCache>
                <c:ptCount val="1"/>
                <c:pt idx="0">
                  <c:v>NHS staff</c:v>
                </c:pt>
              </c:strCache>
            </c:strRef>
          </c:tx>
          <c:invertIfNegative val="0"/>
          <c:cat>
            <c:strRef>
              <c:f>'Total indirect inputs'!$C$12:$I$12</c:f>
              <c:strCache>
                <c:ptCount val="7"/>
                <c:pt idx="0">
                  <c:v>2004/5</c:v>
                </c:pt>
                <c:pt idx="1">
                  <c:v>2005/6</c:v>
                </c:pt>
                <c:pt idx="2">
                  <c:v>2006/7</c:v>
                </c:pt>
                <c:pt idx="3">
                  <c:v>2007/8</c:v>
                </c:pt>
                <c:pt idx="4">
                  <c:v>2008/9</c:v>
                </c:pt>
                <c:pt idx="5">
                  <c:v>2009/10</c:v>
                </c:pt>
                <c:pt idx="6">
                  <c:v>2010/11</c:v>
                </c:pt>
              </c:strCache>
            </c:strRef>
          </c:cat>
          <c:val>
            <c:numRef>
              <c:f>'Total indirect inputs'!$C$14:$I$14</c:f>
              <c:numCache>
                <c:formatCode>"£"#,##0</c:formatCode>
                <c:ptCount val="7"/>
                <c:pt idx="0">
                  <c:v>31334252.480110005</c:v>
                </c:pt>
                <c:pt idx="1">
                  <c:v>33926746.314999998</c:v>
                </c:pt>
                <c:pt idx="2">
                  <c:v>35177509.125</c:v>
                </c:pt>
                <c:pt idx="3">
                  <c:v>36539983.701629996</c:v>
                </c:pt>
                <c:pt idx="4">
                  <c:v>39213453.649081036</c:v>
                </c:pt>
                <c:pt idx="5">
                  <c:v>42145100.102129996</c:v>
                </c:pt>
                <c:pt idx="6">
                  <c:v>43513839</c:v>
                </c:pt>
              </c:numCache>
            </c:numRef>
          </c:val>
        </c:ser>
        <c:ser>
          <c:idx val="1"/>
          <c:order val="1"/>
          <c:tx>
            <c:strRef>
              <c:f>'Total indirect inputs'!$B$15</c:f>
              <c:strCache>
                <c:ptCount val="1"/>
                <c:pt idx="0">
                  <c:v>Agency staff</c:v>
                </c:pt>
              </c:strCache>
            </c:strRef>
          </c:tx>
          <c:invertIfNegative val="0"/>
          <c:cat>
            <c:strRef>
              <c:f>'Total indirect inputs'!$C$12:$I$12</c:f>
              <c:strCache>
                <c:ptCount val="7"/>
                <c:pt idx="0">
                  <c:v>2004/5</c:v>
                </c:pt>
                <c:pt idx="1">
                  <c:v>2005/6</c:v>
                </c:pt>
                <c:pt idx="2">
                  <c:v>2006/7</c:v>
                </c:pt>
                <c:pt idx="3">
                  <c:v>2007/8</c:v>
                </c:pt>
                <c:pt idx="4">
                  <c:v>2008/9</c:v>
                </c:pt>
                <c:pt idx="5">
                  <c:v>2009/10</c:v>
                </c:pt>
                <c:pt idx="6">
                  <c:v>2010/11</c:v>
                </c:pt>
              </c:strCache>
            </c:strRef>
          </c:cat>
          <c:val>
            <c:numRef>
              <c:f>'Total indirect inputs'!$C$15:$I$15</c:f>
              <c:numCache>
                <c:formatCode>"£"#,##0</c:formatCode>
                <c:ptCount val="7"/>
                <c:pt idx="0">
                  <c:v>1557282.4487299998</c:v>
                </c:pt>
                <c:pt idx="1">
                  <c:v>1459935.5</c:v>
                </c:pt>
                <c:pt idx="2">
                  <c:v>1185244</c:v>
                </c:pt>
                <c:pt idx="3">
                  <c:v>1354520.29837</c:v>
                </c:pt>
                <c:pt idx="4">
                  <c:v>1895451.8837600001</c:v>
                </c:pt>
                <c:pt idx="5">
                  <c:v>2195295.3909299998</c:v>
                </c:pt>
                <c:pt idx="6">
                  <c:v>2127889</c:v>
                </c:pt>
              </c:numCache>
            </c:numRef>
          </c:val>
        </c:ser>
        <c:ser>
          <c:idx val="2"/>
          <c:order val="2"/>
          <c:tx>
            <c:strRef>
              <c:f>'Total indirect inputs'!$B$16</c:f>
              <c:strCache>
                <c:ptCount val="1"/>
                <c:pt idx="0">
                  <c:v>Intermediates (RC)</c:v>
                </c:pt>
              </c:strCache>
            </c:strRef>
          </c:tx>
          <c:invertIfNegative val="0"/>
          <c:cat>
            <c:strRef>
              <c:f>'Total indirect inputs'!$C$12:$I$12</c:f>
              <c:strCache>
                <c:ptCount val="7"/>
                <c:pt idx="0">
                  <c:v>2004/5</c:v>
                </c:pt>
                <c:pt idx="1">
                  <c:v>2005/6</c:v>
                </c:pt>
                <c:pt idx="2">
                  <c:v>2006/7</c:v>
                </c:pt>
                <c:pt idx="3">
                  <c:v>2007/8</c:v>
                </c:pt>
                <c:pt idx="4">
                  <c:v>2008/9</c:v>
                </c:pt>
                <c:pt idx="5">
                  <c:v>2009/10</c:v>
                </c:pt>
                <c:pt idx="6">
                  <c:v>2010/11</c:v>
                </c:pt>
              </c:strCache>
            </c:strRef>
          </c:cat>
          <c:val>
            <c:numRef>
              <c:f>'Total indirect inputs'!$C$16:$I$16</c:f>
              <c:numCache>
                <c:formatCode>"£"#,##0</c:formatCode>
                <c:ptCount val="7"/>
                <c:pt idx="0">
                  <c:v>8757990</c:v>
                </c:pt>
                <c:pt idx="1">
                  <c:v>10271344</c:v>
                </c:pt>
                <c:pt idx="2">
                  <c:v>11378727</c:v>
                </c:pt>
                <c:pt idx="3">
                  <c:v>13036200</c:v>
                </c:pt>
                <c:pt idx="4">
                  <c:v>13991803</c:v>
                </c:pt>
                <c:pt idx="5">
                  <c:v>14911074</c:v>
                </c:pt>
                <c:pt idx="6">
                  <c:v>16077609</c:v>
                </c:pt>
              </c:numCache>
            </c:numRef>
          </c:val>
        </c:ser>
        <c:ser>
          <c:idx val="3"/>
          <c:order val="3"/>
          <c:tx>
            <c:strRef>
              <c:f>'Total indirect inputs'!$B$17</c:f>
              <c:strCache>
                <c:ptCount val="1"/>
                <c:pt idx="0">
                  <c:v>Capital</c:v>
                </c:pt>
              </c:strCache>
            </c:strRef>
          </c:tx>
          <c:invertIfNegative val="0"/>
          <c:cat>
            <c:strRef>
              <c:f>'Total indirect inputs'!$C$12:$I$12</c:f>
              <c:strCache>
                <c:ptCount val="7"/>
                <c:pt idx="0">
                  <c:v>2004/5</c:v>
                </c:pt>
                <c:pt idx="1">
                  <c:v>2005/6</c:v>
                </c:pt>
                <c:pt idx="2">
                  <c:v>2006/7</c:v>
                </c:pt>
                <c:pt idx="3">
                  <c:v>2007/8</c:v>
                </c:pt>
                <c:pt idx="4">
                  <c:v>2008/9</c:v>
                </c:pt>
                <c:pt idx="5">
                  <c:v>2009/10</c:v>
                </c:pt>
                <c:pt idx="6">
                  <c:v>2010/11</c:v>
                </c:pt>
              </c:strCache>
            </c:strRef>
          </c:cat>
          <c:val>
            <c:numRef>
              <c:f>'Total indirect inputs'!$C$17:$I$17</c:f>
              <c:numCache>
                <c:formatCode>"£"#,##0</c:formatCode>
                <c:ptCount val="7"/>
                <c:pt idx="0">
                  <c:v>5115514.2809764491</c:v>
                </c:pt>
                <c:pt idx="1">
                  <c:v>5839664.3710000003</c:v>
                </c:pt>
                <c:pt idx="2">
                  <c:v>6568362.6799999997</c:v>
                </c:pt>
                <c:pt idx="3">
                  <c:v>7784592.0729</c:v>
                </c:pt>
                <c:pt idx="4">
                  <c:v>7426030.9178999998</c:v>
                </c:pt>
                <c:pt idx="5">
                  <c:v>7635390.1285600001</c:v>
                </c:pt>
                <c:pt idx="6">
                  <c:v>8025361</c:v>
                </c:pt>
              </c:numCache>
            </c:numRef>
          </c:val>
        </c:ser>
        <c:ser>
          <c:idx val="4"/>
          <c:order val="4"/>
          <c:tx>
            <c:strRef>
              <c:f>'Total indirect inputs'!$B$18</c:f>
              <c:strCache>
                <c:ptCount val="1"/>
                <c:pt idx="0">
                  <c:v>Prescribing</c:v>
                </c:pt>
              </c:strCache>
            </c:strRef>
          </c:tx>
          <c:invertIfNegative val="0"/>
          <c:cat>
            <c:strRef>
              <c:f>'Total indirect inputs'!$C$12:$I$12</c:f>
              <c:strCache>
                <c:ptCount val="7"/>
                <c:pt idx="0">
                  <c:v>2004/5</c:v>
                </c:pt>
                <c:pt idx="1">
                  <c:v>2005/6</c:v>
                </c:pt>
                <c:pt idx="2">
                  <c:v>2006/7</c:v>
                </c:pt>
                <c:pt idx="3">
                  <c:v>2007/8</c:v>
                </c:pt>
                <c:pt idx="4">
                  <c:v>2008/9</c:v>
                </c:pt>
                <c:pt idx="5">
                  <c:v>2009/10</c:v>
                </c:pt>
                <c:pt idx="6">
                  <c:v>2010/11</c:v>
                </c:pt>
              </c:strCache>
            </c:strRef>
          </c:cat>
          <c:val>
            <c:numRef>
              <c:f>'Total indirect inputs'!$C$18:$I$18</c:f>
              <c:numCache>
                <c:formatCode>"£"#,##0</c:formatCode>
                <c:ptCount val="7"/>
                <c:pt idx="0">
                  <c:v>8094174.9440000001</c:v>
                </c:pt>
                <c:pt idx="1">
                  <c:v>8013483.2259999998</c:v>
                </c:pt>
                <c:pt idx="2">
                  <c:v>8250323.8930000002</c:v>
                </c:pt>
                <c:pt idx="3">
                  <c:v>8303500.9179999996</c:v>
                </c:pt>
                <c:pt idx="4">
                  <c:v>8376264.432</c:v>
                </c:pt>
                <c:pt idx="5">
                  <c:v>8621421.1300000008</c:v>
                </c:pt>
                <c:pt idx="6">
                  <c:v>8880735.3440000005</c:v>
                </c:pt>
              </c:numCache>
            </c:numRef>
          </c:val>
        </c:ser>
        <c:ser>
          <c:idx val="5"/>
          <c:order val="5"/>
          <c:tx>
            <c:strRef>
              <c:f>'Total indirect inputs'!$B$19</c:f>
              <c:strCache>
                <c:ptCount val="1"/>
                <c:pt idx="0">
                  <c:v>Primary Care</c:v>
                </c:pt>
              </c:strCache>
            </c:strRef>
          </c:tx>
          <c:invertIfNegative val="0"/>
          <c:cat>
            <c:strRef>
              <c:f>'Total indirect inputs'!$C$12:$I$12</c:f>
              <c:strCache>
                <c:ptCount val="7"/>
                <c:pt idx="0">
                  <c:v>2004/5</c:v>
                </c:pt>
                <c:pt idx="1">
                  <c:v>2005/6</c:v>
                </c:pt>
                <c:pt idx="2">
                  <c:v>2006/7</c:v>
                </c:pt>
                <c:pt idx="3">
                  <c:v>2007/8</c:v>
                </c:pt>
                <c:pt idx="4">
                  <c:v>2008/9</c:v>
                </c:pt>
                <c:pt idx="5">
                  <c:v>2009/10</c:v>
                </c:pt>
                <c:pt idx="6">
                  <c:v>2010/11</c:v>
                </c:pt>
              </c:strCache>
            </c:strRef>
          </c:cat>
          <c:val>
            <c:numRef>
              <c:f>'Total indirect inputs'!$C$19:$I$19</c:f>
              <c:numCache>
                <c:formatCode>"£"#,##0</c:formatCode>
                <c:ptCount val="7"/>
                <c:pt idx="0">
                  <c:v>9569836</c:v>
                </c:pt>
                <c:pt idx="1">
                  <c:v>11162141</c:v>
                </c:pt>
                <c:pt idx="2">
                  <c:v>11209422</c:v>
                </c:pt>
                <c:pt idx="3">
                  <c:v>11697639</c:v>
                </c:pt>
                <c:pt idx="4">
                  <c:v>12074672</c:v>
                </c:pt>
                <c:pt idx="5">
                  <c:v>12683418</c:v>
                </c:pt>
                <c:pt idx="6">
                  <c:v>12962081</c:v>
                </c:pt>
              </c:numCache>
            </c:numRef>
          </c:val>
        </c:ser>
        <c:ser>
          <c:idx val="6"/>
          <c:order val="6"/>
          <c:tx>
            <c:strRef>
              <c:f>'Total indirect inputs'!$B$20</c:f>
              <c:strCache>
                <c:ptCount val="1"/>
                <c:pt idx="0">
                  <c:v>DH Administration</c:v>
                </c:pt>
              </c:strCache>
            </c:strRef>
          </c:tx>
          <c:invertIfNegative val="0"/>
          <c:cat>
            <c:strRef>
              <c:f>'Total indirect inputs'!$C$12:$I$12</c:f>
              <c:strCache>
                <c:ptCount val="7"/>
                <c:pt idx="0">
                  <c:v>2004/5</c:v>
                </c:pt>
                <c:pt idx="1">
                  <c:v>2005/6</c:v>
                </c:pt>
                <c:pt idx="2">
                  <c:v>2006/7</c:v>
                </c:pt>
                <c:pt idx="3">
                  <c:v>2007/8</c:v>
                </c:pt>
                <c:pt idx="4">
                  <c:v>2008/9</c:v>
                </c:pt>
                <c:pt idx="5">
                  <c:v>2009/10</c:v>
                </c:pt>
                <c:pt idx="6">
                  <c:v>2010/11</c:v>
                </c:pt>
              </c:strCache>
            </c:strRef>
          </c:cat>
          <c:val>
            <c:numRef>
              <c:f>'Total indirect inputs'!$C$20:$I$20</c:f>
              <c:numCache>
                <c:formatCode>"£"#,##0</c:formatCode>
                <c:ptCount val="7"/>
                <c:pt idx="0">
                  <c:v>278000</c:v>
                </c:pt>
                <c:pt idx="1">
                  <c:v>262000</c:v>
                </c:pt>
                <c:pt idx="2">
                  <c:v>229000</c:v>
                </c:pt>
                <c:pt idx="3">
                  <c:v>226000</c:v>
                </c:pt>
                <c:pt idx="4">
                  <c:v>242958</c:v>
                </c:pt>
                <c:pt idx="5">
                  <c:v>241608</c:v>
                </c:pt>
                <c:pt idx="6">
                  <c:v>212245</c:v>
                </c:pt>
              </c:numCache>
            </c:numRef>
          </c:val>
        </c:ser>
        <c:dLbls>
          <c:showLegendKey val="0"/>
          <c:showVal val="0"/>
          <c:showCatName val="0"/>
          <c:showSerName val="0"/>
          <c:showPercent val="0"/>
          <c:showBubbleSize val="0"/>
        </c:dLbls>
        <c:gapWidth val="150"/>
        <c:overlap val="100"/>
        <c:axId val="82721408"/>
        <c:axId val="82731392"/>
      </c:barChart>
      <c:catAx>
        <c:axId val="82721408"/>
        <c:scaling>
          <c:orientation val="minMax"/>
        </c:scaling>
        <c:delete val="0"/>
        <c:axPos val="l"/>
        <c:majorTickMark val="out"/>
        <c:minorTickMark val="none"/>
        <c:tickLblPos val="nextTo"/>
        <c:crossAx val="82731392"/>
        <c:crosses val="autoZero"/>
        <c:auto val="1"/>
        <c:lblAlgn val="ctr"/>
        <c:lblOffset val="100"/>
        <c:noMultiLvlLbl val="0"/>
      </c:catAx>
      <c:valAx>
        <c:axId val="82731392"/>
        <c:scaling>
          <c:orientation val="minMax"/>
        </c:scaling>
        <c:delete val="0"/>
        <c:axPos val="b"/>
        <c:majorGridlines/>
        <c:numFmt formatCode="0%" sourceLinked="1"/>
        <c:majorTickMark val="out"/>
        <c:minorTickMark val="none"/>
        <c:tickLblPos val="nextTo"/>
        <c:crossAx val="82721408"/>
        <c:crosses val="autoZero"/>
        <c:crossBetween val="between"/>
      </c:valAx>
    </c:plotArea>
    <c:legend>
      <c:legendPos val="tr"/>
      <c:layout>
        <c:manualLayout>
          <c:xMode val="edge"/>
          <c:yMode val="edge"/>
          <c:x val="0.80833685151058265"/>
          <c:y val="4.7851104986440532E-2"/>
          <c:w val="0.17233856637485517"/>
          <c:h val="0.89133980962650361"/>
        </c:manualLayout>
      </c:layout>
      <c:overlay val="0"/>
    </c:legend>
    <c:plotVisOnly val="1"/>
    <c:dispBlanksAs val="gap"/>
    <c:showDLblsOverMax val="0"/>
  </c:chart>
  <c:spPr>
    <a:ln>
      <a:noFill/>
    </a:ln>
  </c:spPr>
  <c:printSettings>
    <c:headerFooter/>
    <c:pageMargins b="0.75000000000000178" l="0.70000000000000062" r="0.70000000000000062" t="0.7500000000000017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lineChart>
        <c:grouping val="standard"/>
        <c:varyColors val="0"/>
        <c:ser>
          <c:idx val="0"/>
          <c:order val="0"/>
          <c:tx>
            <c:v>Quantity</c:v>
          </c:tx>
          <c:spPr>
            <a:ln w="50800"/>
          </c:spPr>
          <c:marker>
            <c:symbol val="none"/>
          </c:marker>
          <c:cat>
            <c:multiLvlStrRef>
              <c:f>'Reference Costs Output (4)'!#REF!</c:f>
            </c:multiLvlStrRef>
          </c:cat>
          <c:val>
            <c:numRef>
              <c:f>'Reference Costs Output (4)'!#REF!</c:f>
              <c:numCache>
                <c:formatCode>General</c:formatCode>
                <c:ptCount val="1"/>
                <c:pt idx="0">
                  <c:v>1</c:v>
                </c:pt>
              </c:numCache>
            </c:numRef>
          </c:val>
          <c:smooth val="0"/>
        </c:ser>
        <c:ser>
          <c:idx val="1"/>
          <c:order val="1"/>
          <c:tx>
            <c:v>Cost</c:v>
          </c:tx>
          <c:spPr>
            <a:ln w="50800"/>
          </c:spPr>
          <c:marker>
            <c:symbol val="none"/>
          </c:marker>
          <c:cat>
            <c:multiLvlStrRef>
              <c:f>'Reference Costs Output (4)'!#REF!</c:f>
            </c:multiLvlStrRef>
          </c:cat>
          <c:val>
            <c:numRef>
              <c:f>'Reference Costs Output (4)'!#REF!</c:f>
              <c:numCache>
                <c:formatCode>General</c:formatCode>
                <c:ptCount val="1"/>
                <c:pt idx="0">
                  <c:v>1</c:v>
                </c:pt>
              </c:numCache>
            </c:numRef>
          </c:val>
          <c:smooth val="0"/>
        </c:ser>
        <c:dLbls>
          <c:showLegendKey val="0"/>
          <c:showVal val="0"/>
          <c:showCatName val="0"/>
          <c:showSerName val="0"/>
          <c:showPercent val="0"/>
          <c:showBubbleSize val="0"/>
        </c:dLbls>
        <c:marker val="1"/>
        <c:smooth val="0"/>
        <c:axId val="99682560"/>
        <c:axId val="99688448"/>
      </c:lineChart>
      <c:catAx>
        <c:axId val="99682560"/>
        <c:scaling>
          <c:orientation val="minMax"/>
        </c:scaling>
        <c:delete val="0"/>
        <c:axPos val="b"/>
        <c:majorTickMark val="out"/>
        <c:minorTickMark val="none"/>
        <c:tickLblPos val="nextTo"/>
        <c:txPr>
          <a:bodyPr/>
          <a:lstStyle/>
          <a:p>
            <a:pPr>
              <a:defRPr sz="1300">
                <a:latin typeface="Arial Rounded MT Bold" pitchFamily="34" charset="0"/>
              </a:defRPr>
            </a:pPr>
            <a:endParaRPr lang="en-US"/>
          </a:p>
        </c:txPr>
        <c:crossAx val="99688448"/>
        <c:crosses val="autoZero"/>
        <c:auto val="1"/>
        <c:lblAlgn val="ctr"/>
        <c:lblOffset val="100"/>
        <c:noMultiLvlLbl val="0"/>
      </c:catAx>
      <c:valAx>
        <c:axId val="99688448"/>
        <c:scaling>
          <c:orientation val="minMax"/>
          <c:min val="0.9"/>
        </c:scaling>
        <c:delete val="0"/>
        <c:axPos val="l"/>
        <c:majorGridlines/>
        <c:numFmt formatCode="General" sourceLinked="1"/>
        <c:majorTickMark val="out"/>
        <c:minorTickMark val="none"/>
        <c:tickLblPos val="nextTo"/>
        <c:txPr>
          <a:bodyPr/>
          <a:lstStyle/>
          <a:p>
            <a:pPr>
              <a:defRPr sz="1300">
                <a:latin typeface="Arial Rounded MT Bold" pitchFamily="34" charset="0"/>
              </a:defRPr>
            </a:pPr>
            <a:endParaRPr lang="en-US"/>
          </a:p>
        </c:txPr>
        <c:crossAx val="99682560"/>
        <c:crosses val="autoZero"/>
        <c:crossBetween val="between"/>
        <c:majorUnit val="0.1"/>
      </c:valAx>
    </c:plotArea>
    <c:legend>
      <c:legendPos val="b"/>
      <c:overlay val="0"/>
      <c:txPr>
        <a:bodyPr/>
        <a:lstStyle/>
        <a:p>
          <a:pPr>
            <a:defRPr sz="1200">
              <a:latin typeface="Arial Rounded MT Bold" pitchFamily="34" charset="0"/>
            </a:defRPr>
          </a:pPr>
          <a:endParaRPr lang="en-US"/>
        </a:p>
      </c:txPr>
    </c:legend>
    <c:plotVisOnly val="1"/>
    <c:dispBlanksAs val="zero"/>
    <c:showDLblsOverMax val="0"/>
  </c:chart>
  <c:spPr>
    <a:ln>
      <a:noFill/>
    </a:ln>
  </c:spPr>
  <c:printSettings>
    <c:headerFooter/>
    <c:pageMargins b="0.75000000000000244" l="0.70000000000000062" r="0.70000000000000062" t="0.75000000000000244" header="0.30000000000000032" footer="0.30000000000000032"/>
    <c:pageSetup/>
  </c:printSettings>
</c:chartSpace>
</file>

<file path=xl/ctrlProps/ctrlProp1.xml><?xml version="1.0" encoding="utf-8"?>
<formControlPr xmlns="http://schemas.microsoft.com/office/spreadsheetml/2009/9/main" objectType="Radio" firstButton="1" fmlaLink="$A$7"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checked="Checked" firstButton="1" fmlaLink="$D$7"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Scroll" dx="15" fmlaLink="$I$12" horiz="1" max="100" page="10" val="44"/>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checked="Checked" firstButton="1" fmlaLink="$D$7"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A$7"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firstButton="1" fmlaLink="$A$22"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checked="Checked" firstButton="1" fmlaLink="$D$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jpeg"/><Relationship Id="rId1" Type="http://schemas.openxmlformats.org/officeDocument/2006/relationships/chart" Target="../charts/chart3.xml"/><Relationship Id="rId4"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jpeg"/><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4.png"/><Relationship Id="rId1" Type="http://schemas.openxmlformats.org/officeDocument/2006/relationships/image" Target="../media/image1.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8.xml"/><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jpe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hyperlink" Target="http://www.dh.gov.uk/en/Publicationsandstatistics/Publications/PublicationsPolicyAndGuidance/DH_122803" TargetMode="External"/><Relationship Id="rId2" Type="http://schemas.openxmlformats.org/officeDocument/2006/relationships/image" Target="../media/image1.jpeg"/><Relationship Id="rId1" Type="http://schemas.openxmlformats.org/officeDocument/2006/relationships/chart" Target="../charts/chart12.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image" Target="../media/image4.png"/></Relationships>
</file>

<file path=xl/drawings/_rels/drawing2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jpeg"/><Relationship Id="rId1" Type="http://schemas.openxmlformats.org/officeDocument/2006/relationships/chart" Target="../charts/chart15.xml"/></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image" Target="../media/image4.png"/><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3" Type="http://schemas.openxmlformats.org/officeDocument/2006/relationships/hyperlink" Target="http://www.dh.gov.uk/en/Publicationsandstatistics/Publications/PublicationsPolicyAndGuidance/DH_122803" TargetMode="External"/><Relationship Id="rId2" Type="http://schemas.openxmlformats.org/officeDocument/2006/relationships/image" Target="../media/image1.jpeg"/><Relationship Id="rId1" Type="http://schemas.openxmlformats.org/officeDocument/2006/relationships/chart" Target="../charts/chart17.xml"/><Relationship Id="rId4" Type="http://schemas.openxmlformats.org/officeDocument/2006/relationships/image" Target="../media/image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8.xml"/></Relationships>
</file>

<file path=xl/drawings/_rels/drawing2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9.xml"/><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20.xm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jpeg"/><Relationship Id="rId1" Type="http://schemas.openxmlformats.org/officeDocument/2006/relationships/chart" Target="../charts/chart23.xml"/></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4.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jpeg"/><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13</xdr:col>
      <xdr:colOff>438150</xdr:colOff>
      <xdr:row>2</xdr:row>
      <xdr:rowOff>142875</xdr:rowOff>
    </xdr:from>
    <xdr:to>
      <xdr:col>17</xdr:col>
      <xdr:colOff>547522</xdr:colOff>
      <xdr:row>6</xdr:row>
      <xdr:rowOff>57150</xdr:rowOff>
    </xdr:to>
    <xdr:pic>
      <xdr:nvPicPr>
        <xdr:cNvPr id="3" name="Picture 2"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8362950" y="523875"/>
          <a:ext cx="2547772" cy="1066800"/>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1909185</xdr:colOff>
      <xdr:row>2</xdr:row>
      <xdr:rowOff>1</xdr:rowOff>
    </xdr:from>
    <xdr:to>
      <xdr:col>14</xdr:col>
      <xdr:colOff>866775</xdr:colOff>
      <xdr:row>8</xdr:row>
      <xdr:rowOff>142875</xdr:rowOff>
    </xdr:to>
    <xdr:pic>
      <xdr:nvPicPr>
        <xdr:cNvPr id="2" name="Picture 1"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13767810" y="381001"/>
          <a:ext cx="5853690" cy="2428874"/>
        </a:xfrm>
        <a:prstGeom prst="rect">
          <a:avLst/>
        </a:prstGeom>
        <a:noFill/>
      </xdr:spPr>
    </xdr:pic>
    <xdr:clientData/>
  </xdr:twoCellAnchor>
  <xdr:oneCellAnchor>
    <xdr:from>
      <xdr:col>6</xdr:col>
      <xdr:colOff>1158875</xdr:colOff>
      <xdr:row>3</xdr:row>
      <xdr:rowOff>95250</xdr:rowOff>
    </xdr:from>
    <xdr:ext cx="184731" cy="264560"/>
    <xdr:sp macro="" textlink="">
      <xdr:nvSpPr>
        <xdr:cNvPr id="3" name="TextBox 2"/>
        <xdr:cNvSpPr txBox="1"/>
      </xdr:nvSpPr>
      <xdr:spPr>
        <a:xfrm>
          <a:off x="9474200"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4</xdr:col>
      <xdr:colOff>1158875</xdr:colOff>
      <xdr:row>3</xdr:row>
      <xdr:rowOff>95250</xdr:rowOff>
    </xdr:from>
    <xdr:ext cx="184731" cy="264560"/>
    <xdr:sp macro="" textlink="">
      <xdr:nvSpPr>
        <xdr:cNvPr id="3" name="TextBox 2"/>
        <xdr:cNvSpPr txBox="1"/>
      </xdr:nvSpPr>
      <xdr:spPr>
        <a:xfrm>
          <a:off x="6750050"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xdr:from>
      <xdr:col>0</xdr:col>
      <xdr:colOff>542925</xdr:colOff>
      <xdr:row>23</xdr:row>
      <xdr:rowOff>139701</xdr:rowOff>
    </xdr:from>
    <xdr:to>
      <xdr:col>6</xdr:col>
      <xdr:colOff>85725</xdr:colOff>
      <xdr:row>38</xdr:row>
      <xdr:rowOff>114300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971550</xdr:colOff>
      <xdr:row>1</xdr:row>
      <xdr:rowOff>85725</xdr:rowOff>
    </xdr:from>
    <xdr:to>
      <xdr:col>12</xdr:col>
      <xdr:colOff>1090447</xdr:colOff>
      <xdr:row>5</xdr:row>
      <xdr:rowOff>161925</xdr:rowOff>
    </xdr:to>
    <xdr:pic>
      <xdr:nvPicPr>
        <xdr:cNvPr id="6" name="Picture 5" descr="http://www.york.ac.uk/che/staff/staff.ltd/CHE%20Logo%20High%20Resolution.jpg"/>
        <xdr:cNvPicPr>
          <a:picLocks noChangeAspect="1" noChangeArrowheads="1"/>
        </xdr:cNvPicPr>
      </xdr:nvPicPr>
      <xdr:blipFill>
        <a:blip xmlns:r="http://schemas.openxmlformats.org/officeDocument/2006/relationships" r:embed="rId2" cstate="print"/>
        <a:srcRect/>
        <a:stretch>
          <a:fillRect/>
        </a:stretch>
      </xdr:blipFill>
      <xdr:spPr bwMode="auto">
        <a:xfrm>
          <a:off x="9239250" y="276225"/>
          <a:ext cx="2557297" cy="1066800"/>
        </a:xfrm>
        <a:prstGeom prst="rect">
          <a:avLst/>
        </a:prstGeom>
        <a:noFill/>
      </xdr:spPr>
    </xdr:pic>
    <xdr:clientData/>
  </xdr:twoCellAnchor>
  <xdr:twoCellAnchor>
    <xdr:from>
      <xdr:col>8</xdr:col>
      <xdr:colOff>247650</xdr:colOff>
      <xdr:row>5</xdr:row>
      <xdr:rowOff>9526</xdr:rowOff>
    </xdr:from>
    <xdr:to>
      <xdr:col>10</xdr:col>
      <xdr:colOff>685800</xdr:colOff>
      <xdr:row>9</xdr:row>
      <xdr:rowOff>133350</xdr:rowOff>
    </xdr:to>
    <xdr:sp macro="" textlink="">
      <xdr:nvSpPr>
        <xdr:cNvPr id="7" name="TextBox 6"/>
        <xdr:cNvSpPr txBox="1"/>
      </xdr:nvSpPr>
      <xdr:spPr>
        <a:xfrm>
          <a:off x="6524625" y="1190626"/>
          <a:ext cx="1895475" cy="1038224"/>
        </a:xfrm>
        <a:prstGeom prst="rect">
          <a:avLst/>
        </a:prstGeom>
        <a:solidFill>
          <a:schemeClr val="lt1"/>
        </a:solidFill>
        <a:ln w="254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900">
              <a:latin typeface="Arial Rounded MT Bold" pitchFamily="34" charset="0"/>
            </a:rPr>
            <a:t>Expenditure</a:t>
          </a:r>
          <a:r>
            <a:rPr lang="en-GB" sz="900" baseline="0">
              <a:latin typeface="Arial Rounded MT Bold" pitchFamily="34" charset="0"/>
            </a:rPr>
            <a:t> data can be used to construct the NHS input index, the so-called 'indirect' measure. These data are available from the financial returns made hospitals (NHS and Foundation Trusts), PCTs and SHAs.  </a:t>
          </a:r>
        </a:p>
        <a:p>
          <a:r>
            <a:rPr lang="en-GB" sz="900" baseline="0">
              <a:latin typeface="Arial Rounded MT Bold" pitchFamily="34" charset="0"/>
            </a:rPr>
            <a:t>More detail about the indirect index can be found in the report, page </a:t>
          </a:r>
          <a:endParaRPr lang="en-GB" sz="900">
            <a:latin typeface="Arial Rounded MT Bold" pitchFamily="34" charset="0"/>
          </a:endParaRPr>
        </a:p>
      </xdr:txBody>
    </xdr:sp>
    <xdr:clientData/>
  </xdr:twoCellAnchor>
  <xdr:twoCellAnchor editAs="oneCell">
    <xdr:from>
      <xdr:col>8</xdr:col>
      <xdr:colOff>95250</xdr:colOff>
      <xdr:row>4</xdr:row>
      <xdr:rowOff>85725</xdr:rowOff>
    </xdr:from>
    <xdr:to>
      <xdr:col>8</xdr:col>
      <xdr:colOff>371475</xdr:colOff>
      <xdr:row>5</xdr:row>
      <xdr:rowOff>133350</xdr:rowOff>
    </xdr:to>
    <xdr:pic>
      <xdr:nvPicPr>
        <xdr:cNvPr id="8" name="Picture 11" descr="C:\Documents and Settings\kg716\Local Settings\Temporary Internet Files\Content.IE5\OYX2V2G0\MC900442164[1].png"/>
        <xdr:cNvPicPr>
          <a:picLocks noChangeAspect="1" noChangeArrowheads="1"/>
        </xdr:cNvPicPr>
      </xdr:nvPicPr>
      <xdr:blipFill>
        <a:blip xmlns:r="http://schemas.openxmlformats.org/officeDocument/2006/relationships" r:embed="rId3" cstate="print"/>
        <a:srcRect/>
        <a:stretch>
          <a:fillRect/>
        </a:stretch>
      </xdr:blipFill>
      <xdr:spPr bwMode="auto">
        <a:xfrm flipH="1">
          <a:off x="6372225" y="1038225"/>
          <a:ext cx="276225" cy="276225"/>
        </a:xfrm>
        <a:prstGeom prst="rect">
          <a:avLst/>
        </a:prstGeom>
        <a:noFill/>
      </xdr:spPr>
    </xdr:pic>
    <xdr:clientData/>
  </xdr:twoCellAnchor>
  <xdr:twoCellAnchor>
    <xdr:from>
      <xdr:col>6</xdr:col>
      <xdr:colOff>628649</xdr:colOff>
      <xdr:row>23</xdr:row>
      <xdr:rowOff>152399</xdr:rowOff>
    </xdr:from>
    <xdr:to>
      <xdr:col>12</xdr:col>
      <xdr:colOff>495300</xdr:colOff>
      <xdr:row>36</xdr:row>
      <xdr:rowOff>161924</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4</xdr:col>
      <xdr:colOff>1158875</xdr:colOff>
      <xdr:row>3</xdr:row>
      <xdr:rowOff>95250</xdr:rowOff>
    </xdr:from>
    <xdr:ext cx="184731" cy="264560"/>
    <xdr:sp macro="" textlink="">
      <xdr:nvSpPr>
        <xdr:cNvPr id="2" name="TextBox 1"/>
        <xdr:cNvSpPr txBox="1"/>
      </xdr:nvSpPr>
      <xdr:spPr>
        <a:xfrm>
          <a:off x="5159375"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editAs="oneCell">
    <xdr:from>
      <xdr:col>9</xdr:col>
      <xdr:colOff>95250</xdr:colOff>
      <xdr:row>1</xdr:row>
      <xdr:rowOff>69850</xdr:rowOff>
    </xdr:from>
    <xdr:to>
      <xdr:col>13</xdr:col>
      <xdr:colOff>204622</xdr:colOff>
      <xdr:row>5</xdr:row>
      <xdr:rowOff>146050</xdr:rowOff>
    </xdr:to>
    <xdr:pic>
      <xdr:nvPicPr>
        <xdr:cNvPr id="3" name="Picture 2"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9144000" y="260350"/>
          <a:ext cx="2547772" cy="1066800"/>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xdr:col>
          <xdr:colOff>0</xdr:colOff>
          <xdr:row>7</xdr:row>
          <xdr:rowOff>28575</xdr:rowOff>
        </xdr:from>
        <xdr:to>
          <xdr:col>2</xdr:col>
          <xdr:colOff>85725</xdr:colOff>
          <xdr:row>8</xdr:row>
          <xdr:rowOff>19050</xdr:rowOff>
        </xdr:to>
        <xdr:sp macro="" textlink="">
          <xdr:nvSpPr>
            <xdr:cNvPr id="38913" name="Option Button 1" hidden="1">
              <a:extLst>
                <a:ext uri="{63B3BB69-23CF-44E3-9099-C40C66FF867C}">
                  <a14:compatExt spid="_x0000_s389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Trusts Financial Returns (TFR)</a:t>
              </a:r>
              <a:endParaRPr lang="en-GB"/>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19050</xdr:rowOff>
        </xdr:from>
        <xdr:to>
          <xdr:col>1</xdr:col>
          <xdr:colOff>1257300</xdr:colOff>
          <xdr:row>9</xdr:row>
          <xdr:rowOff>9525</xdr:rowOff>
        </xdr:to>
        <xdr:sp macro="" textlink="">
          <xdr:nvSpPr>
            <xdr:cNvPr id="38914" name="Option Button 2" hidden="1">
              <a:extLst>
                <a:ext uri="{63B3BB69-23CF-44E3-9099-C40C66FF867C}">
                  <a14:compatExt spid="_x0000_s389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Reference Costs (RC)</a:t>
              </a:r>
              <a:endParaRPr lang="en-GB"/>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xdr:oneCellAnchor>
    <xdr:from>
      <xdr:col>4</xdr:col>
      <xdr:colOff>1158875</xdr:colOff>
      <xdr:row>3</xdr:row>
      <xdr:rowOff>95250</xdr:rowOff>
    </xdr:from>
    <xdr:ext cx="184731" cy="264560"/>
    <xdr:sp macro="" textlink="">
      <xdr:nvSpPr>
        <xdr:cNvPr id="3" name="TextBox 2"/>
        <xdr:cNvSpPr txBox="1"/>
      </xdr:nvSpPr>
      <xdr:spPr>
        <a:xfrm>
          <a:off x="12426950"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xdr:from>
      <xdr:col>6</xdr:col>
      <xdr:colOff>152400</xdr:colOff>
      <xdr:row>11</xdr:row>
      <xdr:rowOff>228599</xdr:rowOff>
    </xdr:from>
    <xdr:to>
      <xdr:col>13</xdr:col>
      <xdr:colOff>561975</xdr:colOff>
      <xdr:row>23</xdr:row>
      <xdr:rowOff>85724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114300</xdr:colOff>
      <xdr:row>0</xdr:row>
      <xdr:rowOff>155575</xdr:rowOff>
    </xdr:from>
    <xdr:to>
      <xdr:col>14</xdr:col>
      <xdr:colOff>223672</xdr:colOff>
      <xdr:row>5</xdr:row>
      <xdr:rowOff>41275</xdr:rowOff>
    </xdr:to>
    <xdr:pic>
      <xdr:nvPicPr>
        <xdr:cNvPr id="5" name="Picture 4" descr="http://www.york.ac.uk/che/staff/staff.ltd/CHE%20Logo%20High%20Resolution.jpg"/>
        <xdr:cNvPicPr>
          <a:picLocks noChangeAspect="1" noChangeArrowheads="1"/>
        </xdr:cNvPicPr>
      </xdr:nvPicPr>
      <xdr:blipFill>
        <a:blip xmlns:r="http://schemas.openxmlformats.org/officeDocument/2006/relationships" r:embed="rId2" cstate="print"/>
        <a:srcRect/>
        <a:stretch>
          <a:fillRect/>
        </a:stretch>
      </xdr:blipFill>
      <xdr:spPr bwMode="auto">
        <a:xfrm>
          <a:off x="9001125" y="155575"/>
          <a:ext cx="2547772" cy="1066800"/>
        </a:xfrm>
        <a:prstGeom prst="rect">
          <a:avLst/>
        </a:prstGeom>
        <a:noFill/>
      </xdr:spPr>
    </xdr:pic>
    <xdr:clientData/>
  </xdr:twoCellAnchor>
  <xdr:twoCellAnchor>
    <xdr:from>
      <xdr:col>4</xdr:col>
      <xdr:colOff>561976</xdr:colOff>
      <xdr:row>3</xdr:row>
      <xdr:rowOff>180975</xdr:rowOff>
    </xdr:from>
    <xdr:to>
      <xdr:col>8</xdr:col>
      <xdr:colOff>209550</xdr:colOff>
      <xdr:row>7</xdr:row>
      <xdr:rowOff>142875</xdr:rowOff>
    </xdr:to>
    <xdr:sp macro="" textlink="">
      <xdr:nvSpPr>
        <xdr:cNvPr id="6" name="TextBox 5"/>
        <xdr:cNvSpPr txBox="1"/>
      </xdr:nvSpPr>
      <xdr:spPr>
        <a:xfrm>
          <a:off x="4914901" y="752475"/>
          <a:ext cx="2924174" cy="1028700"/>
        </a:xfrm>
        <a:prstGeom prst="rect">
          <a:avLst/>
        </a:prstGeom>
        <a:noFill/>
        <a:ln w="254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900">
              <a:latin typeface="Arial Rounded MT Bold" pitchFamily="34" charset="0"/>
            </a:rPr>
            <a:t>The use</a:t>
          </a:r>
          <a:r>
            <a:rPr lang="en-GB" sz="900" baseline="0">
              <a:latin typeface="Arial Rounded MT Bold" pitchFamily="34" charset="0"/>
            </a:rPr>
            <a:t> of c</a:t>
          </a:r>
          <a:r>
            <a:rPr lang="en-GB" sz="900">
              <a:latin typeface="Arial Rounded MT Bold" pitchFamily="34" charset="0"/>
            </a:rPr>
            <a:t>apital resources costs is calculated from hospital</a:t>
          </a:r>
          <a:r>
            <a:rPr lang="en-GB" sz="900" baseline="0">
              <a:latin typeface="Arial Rounded MT Bold" pitchFamily="34" charset="0"/>
            </a:rPr>
            <a:t> and PCT </a:t>
          </a:r>
          <a:r>
            <a:rPr lang="en-GB" sz="900">
              <a:latin typeface="Arial Rounded MT Bold" pitchFamily="34" charset="0"/>
            </a:rPr>
            <a:t>financial returns.  These</a:t>
          </a:r>
          <a:r>
            <a:rPr lang="en-GB" sz="900" baseline="0">
              <a:latin typeface="Arial Rounded MT Bold" pitchFamily="34" charset="0"/>
            </a:rPr>
            <a:t> report expenditure on equipment and  premises by asset type. Depreciation of the existing stock is also accounted for in </a:t>
          </a:r>
          <a:r>
            <a:rPr lang="en-GB" sz="900" baseline="0">
              <a:solidFill>
                <a:sysClr val="windowText" lastClr="000000"/>
              </a:solidFill>
              <a:latin typeface="Arial Rounded MT Bold" pitchFamily="34" charset="0"/>
            </a:rPr>
            <a:t>the construction of the input index.</a:t>
          </a:r>
          <a:r>
            <a:rPr lang="en-GB" sz="900" baseline="0">
              <a:latin typeface="Arial Rounded MT Bold" pitchFamily="34" charset="0"/>
            </a:rPr>
            <a:t> </a:t>
          </a:r>
        </a:p>
        <a:p>
          <a:r>
            <a:rPr lang="en-GB" sz="900" baseline="0">
              <a:latin typeface="Arial Rounded MT Bold" pitchFamily="34" charset="0"/>
            </a:rPr>
            <a:t>More on this in the report, page 21.</a:t>
          </a:r>
          <a:endParaRPr lang="en-GB" sz="900">
            <a:latin typeface="Arial Rounded MT Bold" pitchFamily="34" charset="0"/>
          </a:endParaRPr>
        </a:p>
      </xdr:txBody>
    </xdr:sp>
    <xdr:clientData/>
  </xdr:twoCellAnchor>
  <xdr:twoCellAnchor editAs="oneCell">
    <xdr:from>
      <xdr:col>4</xdr:col>
      <xdr:colOff>409575</xdr:colOff>
      <xdr:row>3</xdr:row>
      <xdr:rowOff>28575</xdr:rowOff>
    </xdr:from>
    <xdr:to>
      <xdr:col>4</xdr:col>
      <xdr:colOff>685800</xdr:colOff>
      <xdr:row>3</xdr:row>
      <xdr:rowOff>304800</xdr:rowOff>
    </xdr:to>
    <xdr:pic>
      <xdr:nvPicPr>
        <xdr:cNvPr id="7" name="Picture 11" descr="C:\Documents and Settings\kg716\Local Settings\Temporary Internet Files\Content.IE5\OYX2V2G0\MC900442164[1].png"/>
        <xdr:cNvPicPr>
          <a:picLocks noChangeAspect="1" noChangeArrowheads="1"/>
        </xdr:cNvPicPr>
      </xdr:nvPicPr>
      <xdr:blipFill>
        <a:blip xmlns:r="http://schemas.openxmlformats.org/officeDocument/2006/relationships" r:embed="rId3" cstate="print"/>
        <a:srcRect/>
        <a:stretch>
          <a:fillRect/>
        </a:stretch>
      </xdr:blipFill>
      <xdr:spPr bwMode="auto">
        <a:xfrm flipH="1">
          <a:off x="4762500" y="600075"/>
          <a:ext cx="276225" cy="276225"/>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401060</xdr:colOff>
      <xdr:row>1</xdr:row>
      <xdr:rowOff>174626</xdr:rowOff>
    </xdr:from>
    <xdr:to>
      <xdr:col>10</xdr:col>
      <xdr:colOff>682625</xdr:colOff>
      <xdr:row>7</xdr:row>
      <xdr:rowOff>142875</xdr:rowOff>
    </xdr:to>
    <xdr:pic>
      <xdr:nvPicPr>
        <xdr:cNvPr id="2" name="Picture 1"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13482060" y="365126"/>
          <a:ext cx="5853690" cy="2428874"/>
        </a:xfrm>
        <a:prstGeom prst="rect">
          <a:avLst/>
        </a:prstGeom>
        <a:noFill/>
      </xdr:spPr>
    </xdr:pic>
    <xdr:clientData/>
  </xdr:twoCellAnchor>
  <xdr:oneCellAnchor>
    <xdr:from>
      <xdr:col>6</xdr:col>
      <xdr:colOff>1158875</xdr:colOff>
      <xdr:row>3</xdr:row>
      <xdr:rowOff>95250</xdr:rowOff>
    </xdr:from>
    <xdr:ext cx="184731" cy="264560"/>
    <xdr:sp macro="" textlink="">
      <xdr:nvSpPr>
        <xdr:cNvPr id="3" name="TextBox 2"/>
        <xdr:cNvSpPr txBox="1"/>
      </xdr:nvSpPr>
      <xdr:spPr>
        <a:xfrm>
          <a:off x="6750050"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wsDr>
</file>

<file path=xl/drawings/drawing15.xml><?xml version="1.0" encoding="utf-8"?>
<xdr:wsDr xmlns:xdr="http://schemas.openxmlformats.org/drawingml/2006/spreadsheetDrawing" xmlns:a="http://schemas.openxmlformats.org/drawingml/2006/main">
  <xdr:twoCellAnchor editAs="oneCell">
    <xdr:from>
      <xdr:col>9</xdr:col>
      <xdr:colOff>147060</xdr:colOff>
      <xdr:row>3</xdr:row>
      <xdr:rowOff>15876</xdr:rowOff>
    </xdr:from>
    <xdr:to>
      <xdr:col>17</xdr:col>
      <xdr:colOff>254000</xdr:colOff>
      <xdr:row>8</xdr:row>
      <xdr:rowOff>95250</xdr:rowOff>
    </xdr:to>
    <xdr:pic>
      <xdr:nvPicPr>
        <xdr:cNvPr id="2" name="Picture 1"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13643985" y="587376"/>
          <a:ext cx="5879090" cy="2441574"/>
        </a:xfrm>
        <a:prstGeom prst="rect">
          <a:avLst/>
        </a:prstGeom>
        <a:noFill/>
      </xdr:spPr>
    </xdr:pic>
    <xdr:clientData/>
  </xdr:twoCellAnchor>
  <xdr:oneCellAnchor>
    <xdr:from>
      <xdr:col>6</xdr:col>
      <xdr:colOff>1158875</xdr:colOff>
      <xdr:row>3</xdr:row>
      <xdr:rowOff>95250</xdr:rowOff>
    </xdr:from>
    <xdr:ext cx="184731" cy="264560"/>
    <xdr:sp macro="" textlink="">
      <xdr:nvSpPr>
        <xdr:cNvPr id="3" name="TextBox 2"/>
        <xdr:cNvSpPr txBox="1"/>
      </xdr:nvSpPr>
      <xdr:spPr>
        <a:xfrm>
          <a:off x="9788525"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4</xdr:col>
      <xdr:colOff>1158875</xdr:colOff>
      <xdr:row>3</xdr:row>
      <xdr:rowOff>95250</xdr:rowOff>
    </xdr:from>
    <xdr:ext cx="184731" cy="264560"/>
    <xdr:sp macro="" textlink="">
      <xdr:nvSpPr>
        <xdr:cNvPr id="2" name="TextBox 1" hidden="1"/>
        <xdr:cNvSpPr txBox="1"/>
      </xdr:nvSpPr>
      <xdr:spPr>
        <a:xfrm>
          <a:off x="5597525"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editAs="oneCell">
    <xdr:from>
      <xdr:col>7</xdr:col>
      <xdr:colOff>833004</xdr:colOff>
      <xdr:row>1</xdr:row>
      <xdr:rowOff>147204</xdr:rowOff>
    </xdr:from>
    <xdr:to>
      <xdr:col>9</xdr:col>
      <xdr:colOff>1776246</xdr:colOff>
      <xdr:row>6</xdr:row>
      <xdr:rowOff>50511</xdr:rowOff>
    </xdr:to>
    <xdr:pic>
      <xdr:nvPicPr>
        <xdr:cNvPr id="4" name="Picture 3"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8453004" y="337704"/>
          <a:ext cx="2572017" cy="1046307"/>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1</xdr:col>
          <xdr:colOff>1000125</xdr:colOff>
          <xdr:row>7</xdr:row>
          <xdr:rowOff>19050</xdr:rowOff>
        </xdr:to>
        <xdr:sp macro="" textlink="">
          <xdr:nvSpPr>
            <xdr:cNvPr id="33864" name="Option Button 72" hidden="1">
              <a:extLst>
                <a:ext uri="{63B3BB69-23CF-44E3-9099-C40C66FF867C}">
                  <a14:compatExt spid="_x0000_s338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Rederence Costs</a:t>
              </a:r>
              <a:endParaRPr lang="en-GB"/>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19050</xdr:rowOff>
        </xdr:from>
        <xdr:to>
          <xdr:col>1</xdr:col>
          <xdr:colOff>1000125</xdr:colOff>
          <xdr:row>8</xdr:row>
          <xdr:rowOff>38100</xdr:rowOff>
        </xdr:to>
        <xdr:sp macro="" textlink="">
          <xdr:nvSpPr>
            <xdr:cNvPr id="33865" name="Option Button 73" hidden="1">
              <a:extLst>
                <a:ext uri="{63B3BB69-23CF-44E3-9099-C40C66FF867C}">
                  <a14:compatExt spid="_x0000_s338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Financial Returns</a:t>
              </a:r>
              <a:endParaRPr lang="en-GB"/>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xdr:oneCellAnchor>
    <xdr:from>
      <xdr:col>4</xdr:col>
      <xdr:colOff>1158875</xdr:colOff>
      <xdr:row>3</xdr:row>
      <xdr:rowOff>95250</xdr:rowOff>
    </xdr:from>
    <xdr:ext cx="184731" cy="264560"/>
    <xdr:sp macro="" textlink="">
      <xdr:nvSpPr>
        <xdr:cNvPr id="2" name="TextBox 1"/>
        <xdr:cNvSpPr txBox="1"/>
      </xdr:nvSpPr>
      <xdr:spPr>
        <a:xfrm>
          <a:off x="5159375"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editAs="oneCell">
    <xdr:from>
      <xdr:col>11</xdr:col>
      <xdr:colOff>504825</xdr:colOff>
      <xdr:row>1</xdr:row>
      <xdr:rowOff>3175</xdr:rowOff>
    </xdr:from>
    <xdr:to>
      <xdr:col>16</xdr:col>
      <xdr:colOff>4597</xdr:colOff>
      <xdr:row>5</xdr:row>
      <xdr:rowOff>79375</xdr:rowOff>
    </xdr:to>
    <xdr:pic>
      <xdr:nvPicPr>
        <xdr:cNvPr id="3" name="Picture 2"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9182100" y="193675"/>
          <a:ext cx="2547772" cy="1066800"/>
        </a:xfrm>
        <a:prstGeom prst="rect">
          <a:avLst/>
        </a:prstGeom>
        <a:noFill/>
      </xdr:spPr>
    </xdr:pic>
    <xdr:clientData/>
  </xdr:twoCellAnchor>
  <xdr:oneCellAnchor>
    <xdr:from>
      <xdr:col>6</xdr:col>
      <xdr:colOff>495301</xdr:colOff>
      <xdr:row>3</xdr:row>
      <xdr:rowOff>85725</xdr:rowOff>
    </xdr:from>
    <xdr:ext cx="3095624" cy="771526"/>
    <xdr:sp macro="" textlink="">
      <xdr:nvSpPr>
        <xdr:cNvPr id="5" name="TextBox 4"/>
        <xdr:cNvSpPr txBox="1"/>
      </xdr:nvSpPr>
      <xdr:spPr>
        <a:xfrm>
          <a:off x="5562601" y="657225"/>
          <a:ext cx="3095624" cy="771526"/>
        </a:xfrm>
        <a:prstGeom prst="rect">
          <a:avLst/>
        </a:prstGeom>
        <a:noFill/>
        <a:ln w="2540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t>We calculate</a:t>
          </a:r>
          <a:r>
            <a:rPr lang="en-GB" sz="1100" baseline="0"/>
            <a:t> intermediates from the financial returns  of the provides.</a:t>
          </a:r>
        </a:p>
        <a:p>
          <a:r>
            <a:rPr lang="en-GB" sz="1100" baseline="0"/>
            <a:t>More on this can be found in the report, page 21.</a:t>
          </a:r>
        </a:p>
        <a:p>
          <a:r>
            <a:rPr lang="en-GB" sz="1100" baseline="0"/>
            <a:t> </a:t>
          </a:r>
          <a:endParaRPr lang="en-GB" sz="1100"/>
        </a:p>
        <a:p>
          <a:endParaRPr lang="en-GB" sz="1100"/>
        </a:p>
      </xdr:txBody>
    </xdr:sp>
    <xdr:clientData/>
  </xdr:oneCellAnchor>
  <xdr:twoCellAnchor editAs="oneCell">
    <xdr:from>
      <xdr:col>6</xdr:col>
      <xdr:colOff>361950</xdr:colOff>
      <xdr:row>2</xdr:row>
      <xdr:rowOff>142875</xdr:rowOff>
    </xdr:from>
    <xdr:to>
      <xdr:col>6</xdr:col>
      <xdr:colOff>638175</xdr:colOff>
      <xdr:row>3</xdr:row>
      <xdr:rowOff>228600</xdr:rowOff>
    </xdr:to>
    <xdr:pic>
      <xdr:nvPicPr>
        <xdr:cNvPr id="6" name="Picture 11" descr="C:\Documents and Settings\kg716\Local Settings\Temporary Internet Files\Content.IE5\OYX2V2G0\MC900442164[1].png"/>
        <xdr:cNvPicPr>
          <a:picLocks noChangeAspect="1" noChangeArrowheads="1"/>
        </xdr:cNvPicPr>
      </xdr:nvPicPr>
      <xdr:blipFill>
        <a:blip xmlns:r="http://schemas.openxmlformats.org/officeDocument/2006/relationships" r:embed="rId2" cstate="print"/>
        <a:srcRect/>
        <a:stretch>
          <a:fillRect/>
        </a:stretch>
      </xdr:blipFill>
      <xdr:spPr bwMode="auto">
        <a:xfrm flipH="1">
          <a:off x="5429250" y="523875"/>
          <a:ext cx="276225" cy="276225"/>
        </a:xfrm>
        <a:prstGeom prst="rect">
          <a:avLst/>
        </a:prstGeom>
        <a:noFill/>
      </xdr:spPr>
    </xdr:pic>
    <xdr:clientData/>
  </xdr:twoCellAnchor>
  <xdr:twoCellAnchor>
    <xdr:from>
      <xdr:col>9</xdr:col>
      <xdr:colOff>390525</xdr:colOff>
      <xdr:row>7</xdr:row>
      <xdr:rowOff>190499</xdr:rowOff>
    </xdr:from>
    <xdr:to>
      <xdr:col>16</xdr:col>
      <xdr:colOff>161925</xdr:colOff>
      <xdr:row>18</xdr:row>
      <xdr:rowOff>161925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323850</xdr:colOff>
      <xdr:row>19</xdr:row>
      <xdr:rowOff>161925</xdr:rowOff>
    </xdr:from>
    <xdr:to>
      <xdr:col>16</xdr:col>
      <xdr:colOff>381000</xdr:colOff>
      <xdr:row>33</xdr:row>
      <xdr:rowOff>161925</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4</xdr:col>
      <xdr:colOff>1158875</xdr:colOff>
      <xdr:row>3</xdr:row>
      <xdr:rowOff>95250</xdr:rowOff>
    </xdr:from>
    <xdr:ext cx="184731" cy="264560"/>
    <xdr:sp macro="" textlink="">
      <xdr:nvSpPr>
        <xdr:cNvPr id="2" name="TextBox 1"/>
        <xdr:cNvSpPr txBox="1"/>
      </xdr:nvSpPr>
      <xdr:spPr>
        <a:xfrm>
          <a:off x="5511800"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editAs="oneCell">
    <xdr:from>
      <xdr:col>9</xdr:col>
      <xdr:colOff>95250</xdr:colOff>
      <xdr:row>0</xdr:row>
      <xdr:rowOff>184150</xdr:rowOff>
    </xdr:from>
    <xdr:to>
      <xdr:col>13</xdr:col>
      <xdr:colOff>204622</xdr:colOff>
      <xdr:row>5</xdr:row>
      <xdr:rowOff>69850</xdr:rowOff>
    </xdr:to>
    <xdr:pic>
      <xdr:nvPicPr>
        <xdr:cNvPr id="4" name="Picture 3"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9144000" y="184150"/>
          <a:ext cx="2547772" cy="1066800"/>
        </a:xfrm>
        <a:prstGeom prst="rect">
          <a:avLst/>
        </a:prstGeom>
        <a:noFill/>
      </xdr:spPr>
    </xdr:pic>
    <xdr:clientData/>
  </xdr:twoCellAnchor>
  <xdr:twoCellAnchor>
    <xdr:from>
      <xdr:col>0</xdr:col>
      <xdr:colOff>552450</xdr:colOff>
      <xdr:row>33</xdr:row>
      <xdr:rowOff>95249</xdr:rowOff>
    </xdr:from>
    <xdr:to>
      <xdr:col>6</xdr:col>
      <xdr:colOff>171450</xdr:colOff>
      <xdr:row>43</xdr:row>
      <xdr:rowOff>85724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9</xdr:col>
      <xdr:colOff>381001</xdr:colOff>
      <xdr:row>11</xdr:row>
      <xdr:rowOff>9525</xdr:rowOff>
    </xdr:from>
    <xdr:ext cx="2095500" cy="2076450"/>
    <xdr:sp macro="" textlink="">
      <xdr:nvSpPr>
        <xdr:cNvPr id="6" name="TextBox 5"/>
        <xdr:cNvSpPr txBox="1"/>
      </xdr:nvSpPr>
      <xdr:spPr>
        <a:xfrm>
          <a:off x="9429751" y="2562225"/>
          <a:ext cx="2095500" cy="2076450"/>
        </a:xfrm>
        <a:prstGeom prst="rect">
          <a:avLst/>
        </a:prstGeom>
        <a:noFill/>
        <a:ln w="2540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baseline="0"/>
            <a:t>There is dispute about whether activities provided by non-NHS bodies are (or should be) captured by the Output Index. Use Reference Cost data to ensure the Input and Output indices are consistent; the TFRs report total expenditure on non-NHS bodies.</a:t>
          </a:r>
        </a:p>
        <a:p>
          <a:r>
            <a:rPr lang="en-GB" sz="1100" baseline="0"/>
            <a:t>More on this in the productivity report, page 23.</a:t>
          </a:r>
        </a:p>
        <a:p>
          <a:endParaRPr lang="en-GB" sz="1100"/>
        </a:p>
      </xdr:txBody>
    </xdr:sp>
    <xdr:clientData/>
  </xdr:oneCellAnchor>
  <xdr:twoCellAnchor editAs="oneCell">
    <xdr:from>
      <xdr:col>9</xdr:col>
      <xdr:colOff>247650</xdr:colOff>
      <xdr:row>10</xdr:row>
      <xdr:rowOff>85725</xdr:rowOff>
    </xdr:from>
    <xdr:to>
      <xdr:col>9</xdr:col>
      <xdr:colOff>523875</xdr:colOff>
      <xdr:row>11</xdr:row>
      <xdr:rowOff>133350</xdr:rowOff>
    </xdr:to>
    <xdr:pic>
      <xdr:nvPicPr>
        <xdr:cNvPr id="7" name="Picture 11" descr="C:\Documents and Settings\kg716\Local Settings\Temporary Internet Files\Content.IE5\OYX2V2G0\MC900442164[1].png"/>
        <xdr:cNvPicPr>
          <a:picLocks noChangeAspect="1" noChangeArrowheads="1"/>
        </xdr:cNvPicPr>
      </xdr:nvPicPr>
      <xdr:blipFill>
        <a:blip xmlns:r="http://schemas.openxmlformats.org/officeDocument/2006/relationships" r:embed="rId3" cstate="print"/>
        <a:srcRect/>
        <a:stretch>
          <a:fillRect/>
        </a:stretch>
      </xdr:blipFill>
      <xdr:spPr bwMode="auto">
        <a:xfrm flipH="1">
          <a:off x="9296400" y="2409825"/>
          <a:ext cx="276225" cy="27622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xdr:col>
          <xdr:colOff>0</xdr:colOff>
          <xdr:row>7</xdr:row>
          <xdr:rowOff>28575</xdr:rowOff>
        </xdr:from>
        <xdr:to>
          <xdr:col>2</xdr:col>
          <xdr:colOff>85725</xdr:colOff>
          <xdr:row>8</xdr:row>
          <xdr:rowOff>19050</xdr:rowOff>
        </xdr:to>
        <xdr:sp macro="" textlink="">
          <xdr:nvSpPr>
            <xdr:cNvPr id="37890" name="Option Button 2" hidden="1">
              <a:extLst>
                <a:ext uri="{63B3BB69-23CF-44E3-9099-C40C66FF867C}">
                  <a14:compatExt spid="_x0000_s378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Trusts Financial Returns (TFR)</a:t>
              </a:r>
              <a:endParaRPr lang="en-GB"/>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19050</xdr:rowOff>
        </xdr:from>
        <xdr:to>
          <xdr:col>1</xdr:col>
          <xdr:colOff>1257300</xdr:colOff>
          <xdr:row>9</xdr:row>
          <xdr:rowOff>9525</xdr:rowOff>
        </xdr:to>
        <xdr:sp macro="" textlink="">
          <xdr:nvSpPr>
            <xdr:cNvPr id="37891" name="Option Button 3" hidden="1">
              <a:extLst>
                <a:ext uri="{63B3BB69-23CF-44E3-9099-C40C66FF867C}">
                  <a14:compatExt spid="_x0000_s378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Reference Costs (RC)</a:t>
              </a:r>
              <a:endParaRPr lang="en-GB"/>
            </a:p>
          </xdr:txBody>
        </xdr:sp>
        <xdr:clientData/>
      </xdr:twoCellAnchor>
    </mc:Choice>
    <mc:Fallback/>
  </mc:AlternateContent>
</xdr:wsDr>
</file>

<file path=xl/drawings/drawing19.xml><?xml version="1.0" encoding="utf-8"?>
<xdr:wsDr xmlns:xdr="http://schemas.openxmlformats.org/drawingml/2006/spreadsheetDrawing" xmlns:a="http://schemas.openxmlformats.org/drawingml/2006/main">
  <xdr:oneCellAnchor>
    <xdr:from>
      <xdr:col>4</xdr:col>
      <xdr:colOff>1158875</xdr:colOff>
      <xdr:row>3</xdr:row>
      <xdr:rowOff>95250</xdr:rowOff>
    </xdr:from>
    <xdr:ext cx="184731" cy="264560"/>
    <xdr:sp macro="" textlink="">
      <xdr:nvSpPr>
        <xdr:cNvPr id="3" name="TextBox 2"/>
        <xdr:cNvSpPr txBox="1"/>
      </xdr:nvSpPr>
      <xdr:spPr>
        <a:xfrm>
          <a:off x="7254875"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xdr:from>
      <xdr:col>0</xdr:col>
      <xdr:colOff>555625</xdr:colOff>
      <xdr:row>22</xdr:row>
      <xdr:rowOff>95250</xdr:rowOff>
    </xdr:from>
    <xdr:to>
      <xdr:col>1</xdr:col>
      <xdr:colOff>0</xdr:colOff>
      <xdr:row>36</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15</xdr:row>
      <xdr:rowOff>95250</xdr:rowOff>
    </xdr:from>
    <xdr:ext cx="184731" cy="264560"/>
    <xdr:sp macro="" textlink="">
      <xdr:nvSpPr>
        <xdr:cNvPr id="5" name="TextBox 4"/>
        <xdr:cNvSpPr txBox="1"/>
      </xdr:nvSpPr>
      <xdr:spPr>
        <a:xfrm>
          <a:off x="1828800"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xdr:from>
      <xdr:col>0</xdr:col>
      <xdr:colOff>381000</xdr:colOff>
      <xdr:row>10</xdr:row>
      <xdr:rowOff>174624</xdr:rowOff>
    </xdr:from>
    <xdr:to>
      <xdr:col>4</xdr:col>
      <xdr:colOff>333375</xdr:colOff>
      <xdr:row>28</xdr:row>
      <xdr:rowOff>19050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333376</xdr:colOff>
      <xdr:row>40</xdr:row>
      <xdr:rowOff>133350</xdr:rowOff>
    </xdr:from>
    <xdr:to>
      <xdr:col>6</xdr:col>
      <xdr:colOff>447676</xdr:colOff>
      <xdr:row>62</xdr:row>
      <xdr:rowOff>111124</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295275</xdr:colOff>
      <xdr:row>2</xdr:row>
      <xdr:rowOff>34925</xdr:rowOff>
    </xdr:from>
    <xdr:to>
      <xdr:col>7</xdr:col>
      <xdr:colOff>1163472</xdr:colOff>
      <xdr:row>6</xdr:row>
      <xdr:rowOff>104775</xdr:rowOff>
    </xdr:to>
    <xdr:pic>
      <xdr:nvPicPr>
        <xdr:cNvPr id="8" name="Picture 7" descr="http://www.york.ac.uk/che/staff/staff.ltd/CHE%20Logo%20High%20Resolution.jpg"/>
        <xdr:cNvPicPr>
          <a:picLocks noChangeAspect="1" noChangeArrowheads="1"/>
        </xdr:cNvPicPr>
      </xdr:nvPicPr>
      <xdr:blipFill>
        <a:blip xmlns:r="http://schemas.openxmlformats.org/officeDocument/2006/relationships" r:embed="rId4" cstate="print"/>
        <a:srcRect/>
        <a:stretch>
          <a:fillRect/>
        </a:stretch>
      </xdr:blipFill>
      <xdr:spPr bwMode="auto">
        <a:xfrm>
          <a:off x="8562975" y="415925"/>
          <a:ext cx="2563647" cy="10604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476250</xdr:colOff>
      <xdr:row>1</xdr:row>
      <xdr:rowOff>95250</xdr:rowOff>
    </xdr:from>
    <xdr:to>
      <xdr:col>18</xdr:col>
      <xdr:colOff>585622</xdr:colOff>
      <xdr:row>5</xdr:row>
      <xdr:rowOff>114300</xdr:rowOff>
    </xdr:to>
    <xdr:pic>
      <xdr:nvPicPr>
        <xdr:cNvPr id="2" name="Picture 1"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9010650" y="285750"/>
          <a:ext cx="2547772" cy="1066800"/>
        </a:xfrm>
        <a:prstGeom prst="rect">
          <a:avLst/>
        </a:prstGeom>
        <a:noFill/>
      </xdr:spPr>
    </xdr:pic>
    <xdr:clientData/>
  </xdr:twoCellAnchor>
  <xdr:oneCellAnchor>
    <xdr:from>
      <xdr:col>8</xdr:col>
      <xdr:colOff>438150</xdr:colOff>
      <xdr:row>14</xdr:row>
      <xdr:rowOff>19050</xdr:rowOff>
    </xdr:from>
    <xdr:ext cx="184731" cy="264560"/>
    <xdr:sp macro="" textlink="">
      <xdr:nvSpPr>
        <xdr:cNvPr id="3" name="TextBox 2"/>
        <xdr:cNvSpPr txBox="1"/>
      </xdr:nvSpPr>
      <xdr:spPr>
        <a:xfrm>
          <a:off x="531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editAs="oneCell">
    <xdr:from>
      <xdr:col>1</xdr:col>
      <xdr:colOff>0</xdr:colOff>
      <xdr:row>20</xdr:row>
      <xdr:rowOff>19050</xdr:rowOff>
    </xdr:from>
    <xdr:to>
      <xdr:col>7</xdr:col>
      <xdr:colOff>28575</xdr:colOff>
      <xdr:row>25</xdr:row>
      <xdr:rowOff>123825</xdr:rowOff>
    </xdr:to>
    <xdr:pic>
      <xdr:nvPicPr>
        <xdr:cNvPr id="2253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09600" y="4686300"/>
          <a:ext cx="3686175" cy="1276350"/>
        </a:xfrm>
        <a:prstGeom prst="rect">
          <a:avLst/>
        </a:prstGeom>
        <a:noFill/>
      </xdr:spPr>
    </xdr:pic>
    <xdr:clientData/>
  </xdr:twoCellAnchor>
  <xdr:twoCellAnchor>
    <xdr:from>
      <xdr:col>5</xdr:col>
      <xdr:colOff>590551</xdr:colOff>
      <xdr:row>23</xdr:row>
      <xdr:rowOff>28576</xdr:rowOff>
    </xdr:from>
    <xdr:to>
      <xdr:col>8</xdr:col>
      <xdr:colOff>180976</xdr:colOff>
      <xdr:row>23</xdr:row>
      <xdr:rowOff>95251</xdr:rowOff>
    </xdr:to>
    <xdr:sp macro="" textlink="">
      <xdr:nvSpPr>
        <xdr:cNvPr id="6" name="Right Arrow 5"/>
        <xdr:cNvSpPr/>
      </xdr:nvSpPr>
      <xdr:spPr>
        <a:xfrm rot="12185878">
          <a:off x="3638551" y="5486401"/>
          <a:ext cx="1419225" cy="66675"/>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editAs="oneCell">
    <xdr:from>
      <xdr:col>1</xdr:col>
      <xdr:colOff>95249</xdr:colOff>
      <xdr:row>28</xdr:row>
      <xdr:rowOff>9525</xdr:rowOff>
    </xdr:from>
    <xdr:to>
      <xdr:col>1</xdr:col>
      <xdr:colOff>533399</xdr:colOff>
      <xdr:row>30</xdr:row>
      <xdr:rowOff>66675</xdr:rowOff>
    </xdr:to>
    <xdr:pic>
      <xdr:nvPicPr>
        <xdr:cNvPr id="7" name="Picture 11" descr="C:\Documents and Settings\kg716\Local Settings\Temporary Internet Files\Content.IE5\OYX2V2G0\MC900442164[1].png"/>
        <xdr:cNvPicPr>
          <a:picLocks noChangeAspect="1" noChangeArrowheads="1"/>
        </xdr:cNvPicPr>
      </xdr:nvPicPr>
      <xdr:blipFill>
        <a:blip xmlns:r="http://schemas.openxmlformats.org/officeDocument/2006/relationships" r:embed="rId3" cstate="print"/>
        <a:srcRect/>
        <a:stretch>
          <a:fillRect/>
        </a:stretch>
      </xdr:blipFill>
      <xdr:spPr bwMode="auto">
        <a:xfrm flipH="1">
          <a:off x="704849" y="6419850"/>
          <a:ext cx="438150" cy="438150"/>
        </a:xfrm>
        <a:prstGeom prst="rect">
          <a:avLst/>
        </a:prstGeom>
        <a:noFill/>
      </xdr:spPr>
    </xdr:pic>
    <xdr:clientData/>
  </xdr:twoCellAnchor>
  <xdr:twoCellAnchor editAs="oneCell">
    <xdr:from>
      <xdr:col>1</xdr:col>
      <xdr:colOff>38100</xdr:colOff>
      <xdr:row>32</xdr:row>
      <xdr:rowOff>38100</xdr:rowOff>
    </xdr:from>
    <xdr:to>
      <xdr:col>7</xdr:col>
      <xdr:colOff>114300</xdr:colOff>
      <xdr:row>37</xdr:row>
      <xdr:rowOff>66675</xdr:rowOff>
    </xdr:to>
    <xdr:pic>
      <xdr:nvPicPr>
        <xdr:cNvPr id="14" name="Picture 13"/>
        <xdr:cNvPicPr/>
      </xdr:nvPicPr>
      <xdr:blipFill>
        <a:blip xmlns:r="http://schemas.openxmlformats.org/officeDocument/2006/relationships" r:embed="rId4" cstate="print"/>
        <a:srcRect/>
        <a:stretch>
          <a:fillRect/>
        </a:stretch>
      </xdr:blipFill>
      <xdr:spPr bwMode="auto">
        <a:xfrm>
          <a:off x="647700" y="7210425"/>
          <a:ext cx="3733800" cy="1352550"/>
        </a:xfrm>
        <a:prstGeom prst="rect">
          <a:avLst/>
        </a:prstGeom>
        <a:noFill/>
        <a:ln w="9525">
          <a:noFill/>
          <a:miter lim="800000"/>
          <a:headEnd/>
          <a:tailEnd/>
        </a:ln>
      </xdr:spPr>
    </xdr:pic>
    <xdr:clientData/>
  </xdr:twoCellAnchor>
  <xdr:twoCellAnchor>
    <xdr:from>
      <xdr:col>3</xdr:col>
      <xdr:colOff>224618</xdr:colOff>
      <xdr:row>32</xdr:row>
      <xdr:rowOff>379859</xdr:rowOff>
    </xdr:from>
    <xdr:to>
      <xdr:col>7</xdr:col>
      <xdr:colOff>592173</xdr:colOff>
      <xdr:row>32</xdr:row>
      <xdr:rowOff>442639</xdr:rowOff>
    </xdr:to>
    <xdr:sp macro="" textlink="">
      <xdr:nvSpPr>
        <xdr:cNvPr id="17" name="Right Arrow 16"/>
        <xdr:cNvSpPr/>
      </xdr:nvSpPr>
      <xdr:spPr>
        <a:xfrm rot="11214342">
          <a:off x="2053418" y="7552184"/>
          <a:ext cx="2805955" cy="62780"/>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4</xdr:col>
      <xdr:colOff>1158875</xdr:colOff>
      <xdr:row>3</xdr:row>
      <xdr:rowOff>95250</xdr:rowOff>
    </xdr:from>
    <xdr:ext cx="184731" cy="264560"/>
    <xdr:sp macro="" textlink="">
      <xdr:nvSpPr>
        <xdr:cNvPr id="2" name="TextBox 1"/>
        <xdr:cNvSpPr txBox="1"/>
      </xdr:nvSpPr>
      <xdr:spPr>
        <a:xfrm>
          <a:off x="4302125"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xdr:from>
      <xdr:col>7</xdr:col>
      <xdr:colOff>895350</xdr:colOff>
      <xdr:row>7</xdr:row>
      <xdr:rowOff>276224</xdr:rowOff>
    </xdr:from>
    <xdr:to>
      <xdr:col>10</xdr:col>
      <xdr:colOff>952500</xdr:colOff>
      <xdr:row>20</xdr:row>
      <xdr:rowOff>257174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0</xdr:colOff>
      <xdr:row>16</xdr:row>
      <xdr:rowOff>95250</xdr:rowOff>
    </xdr:from>
    <xdr:ext cx="184731" cy="264560"/>
    <xdr:sp macro="" textlink="">
      <xdr:nvSpPr>
        <xdr:cNvPr id="4" name="TextBox 3"/>
        <xdr:cNvSpPr txBox="1"/>
      </xdr:nvSpPr>
      <xdr:spPr>
        <a:xfrm>
          <a:off x="3209925" y="354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editAs="oneCell">
    <xdr:from>
      <xdr:col>8</xdr:col>
      <xdr:colOff>1019175</xdr:colOff>
      <xdr:row>1</xdr:row>
      <xdr:rowOff>123825</xdr:rowOff>
    </xdr:from>
    <xdr:to>
      <xdr:col>10</xdr:col>
      <xdr:colOff>661822</xdr:colOff>
      <xdr:row>5</xdr:row>
      <xdr:rowOff>238125</xdr:rowOff>
    </xdr:to>
    <xdr:pic>
      <xdr:nvPicPr>
        <xdr:cNvPr id="5" name="Picture 4" descr="http://www.york.ac.uk/che/staff/staff.ltd/CHE%20Logo%20High%20Resolution.jpg"/>
        <xdr:cNvPicPr>
          <a:picLocks noChangeAspect="1" noChangeArrowheads="1"/>
        </xdr:cNvPicPr>
      </xdr:nvPicPr>
      <xdr:blipFill>
        <a:blip xmlns:r="http://schemas.openxmlformats.org/officeDocument/2006/relationships" r:embed="rId2" cstate="print"/>
        <a:srcRect/>
        <a:stretch>
          <a:fillRect/>
        </a:stretch>
      </xdr:blipFill>
      <xdr:spPr bwMode="auto">
        <a:xfrm>
          <a:off x="8648700" y="314325"/>
          <a:ext cx="2557297" cy="1066800"/>
        </a:xfrm>
        <a:prstGeom prst="rect">
          <a:avLst/>
        </a:prstGeom>
        <a:noFill/>
      </xdr:spPr>
    </xdr:pic>
    <xdr:clientData/>
  </xdr:twoCellAnchor>
  <xdr:twoCellAnchor>
    <xdr:from>
      <xdr:col>5</xdr:col>
      <xdr:colOff>342900</xdr:colOff>
      <xdr:row>8</xdr:row>
      <xdr:rowOff>190499</xdr:rowOff>
    </xdr:from>
    <xdr:to>
      <xdr:col>7</xdr:col>
      <xdr:colOff>714375</xdr:colOff>
      <xdr:row>18</xdr:row>
      <xdr:rowOff>95250</xdr:rowOff>
    </xdr:to>
    <xdr:sp macro="" textlink="">
      <xdr:nvSpPr>
        <xdr:cNvPr id="6" name="TextBox 5">
          <a:hlinkClick xmlns:r="http://schemas.openxmlformats.org/officeDocument/2006/relationships" r:id="rId3"/>
        </xdr:cNvPr>
        <xdr:cNvSpPr txBox="1"/>
      </xdr:nvSpPr>
      <xdr:spPr>
        <a:xfrm>
          <a:off x="4648200" y="2114549"/>
          <a:ext cx="2562225" cy="1809751"/>
        </a:xfrm>
        <a:prstGeom prst="rect">
          <a:avLst/>
        </a:prstGeom>
        <a:solidFill>
          <a:schemeClr val="lt1"/>
        </a:solidFill>
        <a:ln w="254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Reference Costs database provides detailed  c</a:t>
          </a:r>
          <a:r>
            <a:rPr lang="en-GB" sz="1100" baseline="0"/>
            <a:t>ost data about activity and unit costs of specific services provided in different settings.</a:t>
          </a:r>
        </a:p>
        <a:p>
          <a:r>
            <a:rPr lang="en-GB" sz="1100" baseline="0"/>
            <a:t>The setting 'Other' includes activity and unit costs in any other setting than the ones listed. A detailed breakdown and explanation can be found in the Reference Costs guid </a:t>
          </a:r>
          <a:r>
            <a:rPr lang="en-GB" sz="1100" baseline="0">
              <a:solidFill>
                <a:schemeClr val="dk1"/>
              </a:solidFill>
              <a:latin typeface="+mn-lt"/>
              <a:ea typeface="+mn-ea"/>
              <a:cs typeface="+mn-cs"/>
            </a:rPr>
            <a:t>ebook, available </a:t>
          </a:r>
          <a:r>
            <a:rPr lang="en-GB" sz="1100" u="sng" baseline="0">
              <a:solidFill>
                <a:schemeClr val="tx2"/>
              </a:solidFill>
              <a:latin typeface="+mn-lt"/>
              <a:ea typeface="+mn-ea"/>
              <a:cs typeface="+mn-cs"/>
            </a:rPr>
            <a:t>here. </a:t>
          </a:r>
          <a:endParaRPr lang="en-GB" sz="1100" u="sng">
            <a:solidFill>
              <a:schemeClr val="tx2"/>
            </a:solidFill>
          </a:endParaRPr>
        </a:p>
      </xdr:txBody>
    </xdr:sp>
    <xdr:clientData/>
  </xdr:twoCellAnchor>
  <xdr:twoCellAnchor editAs="oneCell">
    <xdr:from>
      <xdr:col>5</xdr:col>
      <xdr:colOff>209550</xdr:colOff>
      <xdr:row>8</xdr:row>
      <xdr:rowOff>47625</xdr:rowOff>
    </xdr:from>
    <xdr:to>
      <xdr:col>5</xdr:col>
      <xdr:colOff>485775</xdr:colOff>
      <xdr:row>9</xdr:row>
      <xdr:rowOff>133350</xdr:rowOff>
    </xdr:to>
    <xdr:pic>
      <xdr:nvPicPr>
        <xdr:cNvPr id="7" name="Picture 11" descr="C:\Documents and Settings\kg716\Local Settings\Temporary Internet Files\Content.IE5\OYX2V2G0\MC900442164[1].png"/>
        <xdr:cNvPicPr>
          <a:picLocks noChangeAspect="1" noChangeArrowheads="1"/>
        </xdr:cNvPicPr>
      </xdr:nvPicPr>
      <xdr:blipFill>
        <a:blip xmlns:r="http://schemas.openxmlformats.org/officeDocument/2006/relationships" r:embed="rId4" cstate="print"/>
        <a:srcRect/>
        <a:stretch>
          <a:fillRect/>
        </a:stretch>
      </xdr:blipFill>
      <xdr:spPr bwMode="auto">
        <a:xfrm flipH="1">
          <a:off x="4514850" y="1971675"/>
          <a:ext cx="276225" cy="276225"/>
        </a:xfrm>
        <a:prstGeom prst="rect">
          <a:avLst/>
        </a:prstGeom>
        <a:noFill/>
      </xdr:spPr>
    </xdr:pic>
    <xdr:clientData/>
  </xdr:twoCellAnchor>
  <xdr:twoCellAnchor>
    <xdr:from>
      <xdr:col>0</xdr:col>
      <xdr:colOff>495300</xdr:colOff>
      <xdr:row>21</xdr:row>
      <xdr:rowOff>152400</xdr:rowOff>
    </xdr:from>
    <xdr:to>
      <xdr:col>6</xdr:col>
      <xdr:colOff>409575</xdr:colOff>
      <xdr:row>40</xdr:row>
      <xdr:rowOff>180975</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790576</xdr:colOff>
      <xdr:row>21</xdr:row>
      <xdr:rowOff>85724</xdr:rowOff>
    </xdr:from>
    <xdr:to>
      <xdr:col>10</xdr:col>
      <xdr:colOff>1352550</xdr:colOff>
      <xdr:row>39</xdr:row>
      <xdr:rowOff>76199</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1.xml><?xml version="1.0" encoding="utf-8"?>
<xdr:wsDr xmlns:xdr="http://schemas.openxmlformats.org/drawingml/2006/spreadsheetDrawing" xmlns:a="http://schemas.openxmlformats.org/drawingml/2006/main">
  <xdr:oneCellAnchor>
    <xdr:from>
      <xdr:col>4</xdr:col>
      <xdr:colOff>1158875</xdr:colOff>
      <xdr:row>3</xdr:row>
      <xdr:rowOff>95250</xdr:rowOff>
    </xdr:from>
    <xdr:ext cx="184731" cy="264560"/>
    <xdr:sp macro="" textlink="">
      <xdr:nvSpPr>
        <xdr:cNvPr id="3" name="TextBox 2"/>
        <xdr:cNvSpPr txBox="1"/>
      </xdr:nvSpPr>
      <xdr:spPr>
        <a:xfrm>
          <a:off x="10207625"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xdr:from>
      <xdr:col>0</xdr:col>
      <xdr:colOff>571499</xdr:colOff>
      <xdr:row>20</xdr:row>
      <xdr:rowOff>114300</xdr:rowOff>
    </xdr:from>
    <xdr:to>
      <xdr:col>5</xdr:col>
      <xdr:colOff>0</xdr:colOff>
      <xdr:row>36</xdr:row>
      <xdr:rowOff>142876</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942975</xdr:colOff>
      <xdr:row>1</xdr:row>
      <xdr:rowOff>63500</xdr:rowOff>
    </xdr:from>
    <xdr:to>
      <xdr:col>8</xdr:col>
      <xdr:colOff>680872</xdr:colOff>
      <xdr:row>5</xdr:row>
      <xdr:rowOff>60325</xdr:rowOff>
    </xdr:to>
    <xdr:pic>
      <xdr:nvPicPr>
        <xdr:cNvPr id="5" name="Picture 4" descr="http://www.york.ac.uk/che/staff/staff.ltd/CHE%20Logo%20High%20Resolution.jpg"/>
        <xdr:cNvPicPr>
          <a:picLocks noChangeAspect="1" noChangeArrowheads="1"/>
        </xdr:cNvPicPr>
      </xdr:nvPicPr>
      <xdr:blipFill>
        <a:blip xmlns:r="http://schemas.openxmlformats.org/officeDocument/2006/relationships" r:embed="rId2" cstate="print"/>
        <a:srcRect/>
        <a:stretch>
          <a:fillRect/>
        </a:stretch>
      </xdr:blipFill>
      <xdr:spPr bwMode="auto">
        <a:xfrm>
          <a:off x="8610600" y="254000"/>
          <a:ext cx="2576347" cy="1054100"/>
        </a:xfrm>
        <a:prstGeom prst="rect">
          <a:avLst/>
        </a:prstGeom>
        <a:noFill/>
      </xdr:spPr>
    </xdr:pic>
    <xdr:clientData/>
  </xdr:twoCellAnchor>
  <xdr:oneCellAnchor>
    <xdr:from>
      <xdr:col>5</xdr:col>
      <xdr:colOff>0</xdr:colOff>
      <xdr:row>21</xdr:row>
      <xdr:rowOff>9525</xdr:rowOff>
    </xdr:from>
    <xdr:ext cx="3419475" cy="790575"/>
    <xdr:sp macro="" textlink="">
      <xdr:nvSpPr>
        <xdr:cNvPr id="6" name="TextBox 5"/>
        <xdr:cNvSpPr txBox="1"/>
      </xdr:nvSpPr>
      <xdr:spPr>
        <a:xfrm>
          <a:off x="6924674" y="4124325"/>
          <a:ext cx="3419475" cy="790575"/>
        </a:xfrm>
        <a:prstGeom prst="rect">
          <a:avLst/>
        </a:prstGeom>
        <a:noFill/>
        <a:ln w="2540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en-GB" sz="900">
              <a:latin typeface="Arial Rounded MT Bold" pitchFamily="34" charset="0"/>
            </a:rPr>
            <a:t>We</a:t>
          </a:r>
          <a:r>
            <a:rPr lang="en-GB" sz="900" baseline="0">
              <a:latin typeface="Arial Rounded MT Bold" pitchFamily="34" charset="0"/>
            </a:rPr>
            <a:t> use Hospital Episode Statistics (HES) data to calculate hospital activity, survival rates and waiting times. </a:t>
          </a:r>
        </a:p>
        <a:p>
          <a:pPr marL="0" marR="0" indent="0" defTabSz="914400" eaLnBrk="1" fontAlgn="auto" latinLnBrk="0" hangingPunct="1">
            <a:lnSpc>
              <a:spcPct val="100000"/>
            </a:lnSpc>
            <a:spcBef>
              <a:spcPts val="0"/>
            </a:spcBef>
            <a:spcAft>
              <a:spcPts val="0"/>
            </a:spcAft>
            <a:buClrTx/>
            <a:buSzTx/>
            <a:buFontTx/>
            <a:buNone/>
            <a:tabLst/>
            <a:defRPr/>
          </a:pPr>
          <a:endParaRPr lang="en-GB" sz="900">
            <a:latin typeface="Arial Rounded MT Bold"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900">
              <a:latin typeface="Arial Rounded MT Bold" pitchFamily="34" charset="0"/>
            </a:rPr>
            <a:t>More on</a:t>
          </a:r>
          <a:r>
            <a:rPr lang="en-GB" sz="900" baseline="0">
              <a:latin typeface="Arial Rounded MT Bold" pitchFamily="34" charset="0"/>
            </a:rPr>
            <a:t> this in the National Productivity Report, pages</a:t>
          </a:r>
        </a:p>
        <a:p>
          <a:pPr marL="0" marR="0" indent="0" defTabSz="914400" eaLnBrk="1" fontAlgn="auto" latinLnBrk="0" hangingPunct="1">
            <a:lnSpc>
              <a:spcPct val="100000"/>
            </a:lnSpc>
            <a:spcBef>
              <a:spcPts val="0"/>
            </a:spcBef>
            <a:spcAft>
              <a:spcPts val="0"/>
            </a:spcAft>
            <a:buClrTx/>
            <a:buSzTx/>
            <a:buFontTx/>
            <a:buNone/>
            <a:tabLst/>
            <a:defRPr/>
          </a:pPr>
          <a:r>
            <a:rPr lang="en-GB" sz="900" baseline="0">
              <a:latin typeface="Arial Rounded MT Bold" pitchFamily="34" charset="0"/>
            </a:rPr>
            <a:t>8-15.</a:t>
          </a:r>
          <a:endParaRPr lang="en-GB" sz="900">
            <a:latin typeface="Arial Rounded MT Bold" pitchFamily="34" charset="0"/>
          </a:endParaRPr>
        </a:p>
      </xdr:txBody>
    </xdr:sp>
    <xdr:clientData/>
  </xdr:oneCellAnchor>
  <xdr:twoCellAnchor editAs="oneCell">
    <xdr:from>
      <xdr:col>4</xdr:col>
      <xdr:colOff>1019175</xdr:colOff>
      <xdr:row>20</xdr:row>
      <xdr:rowOff>28575</xdr:rowOff>
    </xdr:from>
    <xdr:to>
      <xdr:col>5</xdr:col>
      <xdr:colOff>142875</xdr:colOff>
      <xdr:row>21</xdr:row>
      <xdr:rowOff>114300</xdr:rowOff>
    </xdr:to>
    <xdr:pic>
      <xdr:nvPicPr>
        <xdr:cNvPr id="7" name="Picture 11" descr="C:\Documents and Settings\kg716\Local Settings\Temporary Internet Files\Content.IE5\OYX2V2G0\MC900442164[1].png"/>
        <xdr:cNvPicPr>
          <a:picLocks noChangeAspect="1" noChangeArrowheads="1"/>
        </xdr:cNvPicPr>
      </xdr:nvPicPr>
      <xdr:blipFill>
        <a:blip xmlns:r="http://schemas.openxmlformats.org/officeDocument/2006/relationships" r:embed="rId3" cstate="print"/>
        <a:srcRect/>
        <a:stretch>
          <a:fillRect/>
        </a:stretch>
      </xdr:blipFill>
      <xdr:spPr bwMode="auto">
        <a:xfrm flipH="1">
          <a:off x="5838825" y="5038725"/>
          <a:ext cx="276225" cy="276225"/>
        </a:xfrm>
        <a:prstGeom prst="rect">
          <a:avLst/>
        </a:prstGeom>
        <a:noFill/>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10</xdr:col>
      <xdr:colOff>512185</xdr:colOff>
      <xdr:row>1</xdr:row>
      <xdr:rowOff>142876</xdr:rowOff>
    </xdr:from>
    <xdr:to>
      <xdr:col>12</xdr:col>
      <xdr:colOff>1841500</xdr:colOff>
      <xdr:row>8</xdr:row>
      <xdr:rowOff>15875</xdr:rowOff>
    </xdr:to>
    <xdr:pic>
      <xdr:nvPicPr>
        <xdr:cNvPr id="2" name="Picture 1"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15904585" y="333376"/>
          <a:ext cx="5844165" cy="2435224"/>
        </a:xfrm>
        <a:prstGeom prst="rect">
          <a:avLst/>
        </a:prstGeom>
        <a:noFill/>
      </xdr:spPr>
    </xdr:pic>
    <xdr:clientData/>
  </xdr:twoCellAnchor>
  <xdr:oneCellAnchor>
    <xdr:from>
      <xdr:col>6</xdr:col>
      <xdr:colOff>1158875</xdr:colOff>
      <xdr:row>3</xdr:row>
      <xdr:rowOff>95250</xdr:rowOff>
    </xdr:from>
    <xdr:ext cx="184731" cy="264560"/>
    <xdr:sp macro="" textlink="">
      <xdr:nvSpPr>
        <xdr:cNvPr id="3" name="TextBox 2"/>
        <xdr:cNvSpPr txBox="1"/>
      </xdr:nvSpPr>
      <xdr:spPr>
        <a:xfrm>
          <a:off x="7178675"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4</xdr:col>
      <xdr:colOff>1158875</xdr:colOff>
      <xdr:row>3</xdr:row>
      <xdr:rowOff>95250</xdr:rowOff>
    </xdr:from>
    <xdr:ext cx="184731" cy="264560"/>
    <xdr:sp macro="" textlink="">
      <xdr:nvSpPr>
        <xdr:cNvPr id="2" name="TextBox 1"/>
        <xdr:cNvSpPr txBox="1"/>
      </xdr:nvSpPr>
      <xdr:spPr>
        <a:xfrm>
          <a:off x="5969000"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editAs="oneCell">
    <xdr:from>
      <xdr:col>9</xdr:col>
      <xdr:colOff>638175</xdr:colOff>
      <xdr:row>1</xdr:row>
      <xdr:rowOff>82550</xdr:rowOff>
    </xdr:from>
    <xdr:to>
      <xdr:col>11</xdr:col>
      <xdr:colOff>376072</xdr:colOff>
      <xdr:row>5</xdr:row>
      <xdr:rowOff>79375</xdr:rowOff>
    </xdr:to>
    <xdr:pic>
      <xdr:nvPicPr>
        <xdr:cNvPr id="4" name="Picture 3"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8943975" y="273050"/>
          <a:ext cx="2576347" cy="1054100"/>
        </a:xfrm>
        <a:prstGeom prst="rect">
          <a:avLst/>
        </a:prstGeom>
        <a:noFill/>
      </xdr:spPr>
    </xdr:pic>
    <xdr:clientData/>
  </xdr:twoCellAnchor>
  <xdr:oneCellAnchor>
    <xdr:from>
      <xdr:col>2</xdr:col>
      <xdr:colOff>285749</xdr:colOff>
      <xdr:row>19</xdr:row>
      <xdr:rowOff>114300</xdr:rowOff>
    </xdr:from>
    <xdr:ext cx="3371851" cy="1114425"/>
    <xdr:sp macro="" textlink="">
      <xdr:nvSpPr>
        <xdr:cNvPr id="5" name="TextBox 4"/>
        <xdr:cNvSpPr txBox="1"/>
      </xdr:nvSpPr>
      <xdr:spPr>
        <a:xfrm>
          <a:off x="1457324" y="4867275"/>
          <a:ext cx="3371851" cy="1114425"/>
        </a:xfrm>
        <a:prstGeom prst="rect">
          <a:avLst/>
        </a:prstGeom>
        <a:noFill/>
        <a:ln w="2540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en-GB" sz="900">
              <a:latin typeface="Arial Rounded MT Bold" pitchFamily="34" charset="0"/>
            </a:rPr>
            <a:t>We use different</a:t>
          </a:r>
          <a:r>
            <a:rPr lang="en-GB" sz="900" baseline="0">
              <a:latin typeface="Arial Rounded MT Bold" pitchFamily="34" charset="0"/>
            </a:rPr>
            <a:t> quality adjusters for HES, Outpatient and Primary care data. More about different kinds of adjusters can be found in the report, pages 3-7.</a:t>
          </a:r>
        </a:p>
        <a:p>
          <a:pPr marL="0" marR="0" indent="0" algn="l" defTabSz="914400" eaLnBrk="1" fontAlgn="auto" latinLnBrk="0" hangingPunct="1">
            <a:lnSpc>
              <a:spcPct val="100000"/>
            </a:lnSpc>
            <a:spcBef>
              <a:spcPts val="0"/>
            </a:spcBef>
            <a:spcAft>
              <a:spcPts val="0"/>
            </a:spcAft>
            <a:buClrTx/>
            <a:buSzTx/>
            <a:buFontTx/>
            <a:buNone/>
            <a:tabLst/>
            <a:defRPr/>
          </a:pPr>
          <a:endParaRPr lang="en-GB" sz="900" baseline="0">
            <a:latin typeface="Arial Rounded MT Bold"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GB" sz="900">
              <a:latin typeface="Arial Rounded MT Bold" pitchFamily="34" charset="0"/>
            </a:rPr>
            <a:t>Costs are not reported for patients hospitalised with mental health problems. We revised our method for estimating these costs in 2007/8.</a:t>
          </a:r>
        </a:p>
      </xdr:txBody>
    </xdr:sp>
    <xdr:clientData/>
  </xdr:oneCellAnchor>
  <xdr:twoCellAnchor editAs="oneCell">
    <xdr:from>
      <xdr:col>2</xdr:col>
      <xdr:colOff>152400</xdr:colOff>
      <xdr:row>18</xdr:row>
      <xdr:rowOff>171450</xdr:rowOff>
    </xdr:from>
    <xdr:to>
      <xdr:col>2</xdr:col>
      <xdr:colOff>428625</xdr:colOff>
      <xdr:row>20</xdr:row>
      <xdr:rowOff>66675</xdr:rowOff>
    </xdr:to>
    <xdr:pic>
      <xdr:nvPicPr>
        <xdr:cNvPr id="6" name="Picture 11" descr="C:\Documents and Settings\kg716\Local Settings\Temporary Internet Files\Content.IE5\OYX2V2G0\MC900442164[1].png"/>
        <xdr:cNvPicPr>
          <a:picLocks noChangeAspect="1" noChangeArrowheads="1"/>
        </xdr:cNvPicPr>
      </xdr:nvPicPr>
      <xdr:blipFill>
        <a:blip xmlns:r="http://schemas.openxmlformats.org/officeDocument/2006/relationships" r:embed="rId2" cstate="print"/>
        <a:srcRect/>
        <a:stretch>
          <a:fillRect/>
        </a:stretch>
      </xdr:blipFill>
      <xdr:spPr bwMode="auto">
        <a:xfrm flipH="1">
          <a:off x="1323975" y="3876675"/>
          <a:ext cx="276225" cy="276225"/>
        </a:xfrm>
        <a:prstGeom prst="rect">
          <a:avLst/>
        </a:prstGeom>
        <a:noFill/>
      </xdr:spPr>
    </xdr:pic>
    <xdr:clientData/>
  </xdr:twoCellAnchor>
  <xdr:twoCellAnchor>
    <xdr:from>
      <xdr:col>6</xdr:col>
      <xdr:colOff>323850</xdr:colOff>
      <xdr:row>10</xdr:row>
      <xdr:rowOff>0</xdr:rowOff>
    </xdr:from>
    <xdr:to>
      <xdr:col>9</xdr:col>
      <xdr:colOff>1219200</xdr:colOff>
      <xdr:row>24</xdr:row>
      <xdr:rowOff>38100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oneCellAnchor>
    <xdr:from>
      <xdr:col>5</xdr:col>
      <xdr:colOff>1158875</xdr:colOff>
      <xdr:row>3</xdr:row>
      <xdr:rowOff>95250</xdr:rowOff>
    </xdr:from>
    <xdr:ext cx="184731" cy="264560"/>
    <xdr:sp macro="" textlink="">
      <xdr:nvSpPr>
        <xdr:cNvPr id="3" name="TextBox 2"/>
        <xdr:cNvSpPr txBox="1"/>
      </xdr:nvSpPr>
      <xdr:spPr>
        <a:xfrm>
          <a:off x="7178675"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xdr:from>
      <xdr:col>0</xdr:col>
      <xdr:colOff>600075</xdr:colOff>
      <xdr:row>23</xdr:row>
      <xdr:rowOff>266699</xdr:rowOff>
    </xdr:from>
    <xdr:to>
      <xdr:col>7</xdr:col>
      <xdr:colOff>171450</xdr:colOff>
      <xdr:row>42</xdr:row>
      <xdr:rowOff>38100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0</xdr:colOff>
      <xdr:row>19</xdr:row>
      <xdr:rowOff>95250</xdr:rowOff>
    </xdr:from>
    <xdr:ext cx="184731" cy="264560"/>
    <xdr:sp macro="" textlink="">
      <xdr:nvSpPr>
        <xdr:cNvPr id="10" name="TextBox 9"/>
        <xdr:cNvSpPr txBox="1"/>
      </xdr:nvSpPr>
      <xdr:spPr>
        <a:xfrm>
          <a:off x="7239000"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editAs="oneCell">
    <xdr:from>
      <xdr:col>9</xdr:col>
      <xdr:colOff>1019175</xdr:colOff>
      <xdr:row>1</xdr:row>
      <xdr:rowOff>123825</xdr:rowOff>
    </xdr:from>
    <xdr:to>
      <xdr:col>11</xdr:col>
      <xdr:colOff>661822</xdr:colOff>
      <xdr:row>5</xdr:row>
      <xdr:rowOff>238125</xdr:rowOff>
    </xdr:to>
    <xdr:pic>
      <xdr:nvPicPr>
        <xdr:cNvPr id="11" name="Picture 10" descr="http://www.york.ac.uk/che/staff/staff.ltd/CHE%20Logo%20High%20Resolution.jpg"/>
        <xdr:cNvPicPr>
          <a:picLocks noChangeAspect="1" noChangeArrowheads="1"/>
        </xdr:cNvPicPr>
      </xdr:nvPicPr>
      <xdr:blipFill>
        <a:blip xmlns:r="http://schemas.openxmlformats.org/officeDocument/2006/relationships" r:embed="rId2" cstate="print"/>
        <a:srcRect/>
        <a:stretch>
          <a:fillRect/>
        </a:stretch>
      </xdr:blipFill>
      <xdr:spPr bwMode="auto">
        <a:xfrm>
          <a:off x="8648700" y="314325"/>
          <a:ext cx="2557297" cy="1066800"/>
        </a:xfrm>
        <a:prstGeom prst="rect">
          <a:avLst/>
        </a:prstGeom>
        <a:noFill/>
      </xdr:spPr>
    </xdr:pic>
    <xdr:clientData/>
  </xdr:twoCellAnchor>
  <xdr:twoCellAnchor>
    <xdr:from>
      <xdr:col>6</xdr:col>
      <xdr:colOff>1095374</xdr:colOff>
      <xdr:row>8</xdr:row>
      <xdr:rowOff>161925</xdr:rowOff>
    </xdr:from>
    <xdr:to>
      <xdr:col>10</xdr:col>
      <xdr:colOff>1181100</xdr:colOff>
      <xdr:row>20</xdr:row>
      <xdr:rowOff>9525</xdr:rowOff>
    </xdr:to>
    <xdr:sp macro="" textlink="">
      <xdr:nvSpPr>
        <xdr:cNvPr id="6" name="TextBox 5">
          <a:hlinkClick xmlns:r="http://schemas.openxmlformats.org/officeDocument/2006/relationships" r:id="rId3"/>
        </xdr:cNvPr>
        <xdr:cNvSpPr txBox="1"/>
      </xdr:nvSpPr>
      <xdr:spPr>
        <a:xfrm>
          <a:off x="6496049" y="2085975"/>
          <a:ext cx="4438651" cy="2133600"/>
        </a:xfrm>
        <a:prstGeom prst="rect">
          <a:avLst/>
        </a:prstGeom>
        <a:solidFill>
          <a:schemeClr val="lt1"/>
        </a:solidFill>
        <a:ln w="254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GB" sz="1100" b="0">
              <a:solidFill>
                <a:sysClr val="windowText" lastClr="000000"/>
              </a:solidFill>
            </a:rPr>
            <a:t>Reference Costs database provides detailed  c</a:t>
          </a:r>
          <a:r>
            <a:rPr lang="en-GB" sz="1100" b="0" baseline="0">
              <a:solidFill>
                <a:sysClr val="windowText" lastClr="000000"/>
              </a:solidFill>
            </a:rPr>
            <a:t>ost data about activity and unit costs of specific services provided in different settings.</a:t>
          </a:r>
        </a:p>
        <a:p>
          <a:r>
            <a:rPr lang="en-GB" sz="1100" b="0" baseline="0">
              <a:solidFill>
                <a:sysClr val="windowText" lastClr="000000"/>
              </a:solidFill>
            </a:rPr>
            <a:t>The setting 'Other' includes activity and unit costs in any other setting than the ones listed. A detailed breakdown and explanation can be found in the Reference Costs guid </a:t>
          </a:r>
          <a:r>
            <a:rPr lang="en-GB" sz="1100" b="0" baseline="0">
              <a:solidFill>
                <a:sysClr val="windowText" lastClr="000000"/>
              </a:solidFill>
              <a:latin typeface="+mn-lt"/>
              <a:ea typeface="+mn-ea"/>
              <a:cs typeface="+mn-cs"/>
            </a:rPr>
            <a:t>e book, available </a:t>
          </a:r>
          <a:r>
            <a:rPr lang="en-GB" sz="1100" b="0" u="sng" baseline="0">
              <a:solidFill>
                <a:sysClr val="windowText" lastClr="000000"/>
              </a:solidFill>
              <a:latin typeface="+mn-lt"/>
              <a:ea typeface="+mn-ea"/>
              <a:cs typeface="+mn-cs"/>
            </a:rPr>
            <a:t>here. </a:t>
          </a:r>
        </a:p>
        <a:p>
          <a:endParaRPr lang="en-GB" sz="1100" b="0" i="0">
            <a:solidFill>
              <a:sysClr val="windowText" lastClr="000000"/>
            </a:solidFill>
            <a:effectLst/>
            <a:latin typeface="+mn-lt"/>
            <a:ea typeface="+mn-ea"/>
            <a:cs typeface="+mn-cs"/>
          </a:endParaRPr>
        </a:p>
        <a:p>
          <a:r>
            <a:rPr lang="en-GB" sz="1100" b="0" i="0">
              <a:solidFill>
                <a:sysClr val="windowText" lastClr="000000"/>
              </a:solidFill>
              <a:effectLst/>
              <a:latin typeface="+mn-lt"/>
              <a:ea typeface="+mn-ea"/>
              <a:cs typeface="+mn-cs"/>
            </a:rPr>
            <a:t>Between 2006/7 and 2007/8 major changes were made to the way that Reference Costs were collected. Consequently </a:t>
          </a:r>
          <a:r>
            <a:rPr lang="en-GB" sz="1100" b="0" i="0" baseline="0">
              <a:solidFill>
                <a:sysClr val="windowText" lastClr="000000"/>
              </a:solidFill>
              <a:effectLst/>
              <a:latin typeface="+mn-lt"/>
              <a:ea typeface="+mn-ea"/>
              <a:cs typeface="+mn-cs"/>
            </a:rPr>
            <a:t> </a:t>
          </a:r>
          <a:r>
            <a:rPr lang="en-GB" sz="1100" b="0" i="0">
              <a:solidFill>
                <a:sysClr val="windowText" lastClr="000000"/>
              </a:solidFill>
              <a:effectLst/>
              <a:latin typeface="+mn-lt"/>
              <a:ea typeface="+mn-ea"/>
              <a:cs typeface="+mn-cs"/>
            </a:rPr>
            <a:t>the values</a:t>
          </a:r>
          <a:r>
            <a:rPr lang="en-GB" sz="1100" b="0" i="0" baseline="0">
              <a:solidFill>
                <a:sysClr val="windowText" lastClr="000000"/>
              </a:solidFill>
              <a:effectLst/>
              <a:latin typeface="+mn-lt"/>
              <a:ea typeface="+mn-ea"/>
              <a:cs typeface="+mn-cs"/>
            </a:rPr>
            <a:t> for years prior to the changes are not directly comparable , especially in the "Reference Costs Activities" category. This data  should be used with care</a:t>
          </a:r>
          <a:r>
            <a:rPr lang="en-GB" sz="1100" b="0" i="0">
              <a:solidFill>
                <a:sysClr val="windowText" lastClr="000000"/>
              </a:solidFill>
              <a:effectLst/>
              <a:latin typeface="+mn-lt"/>
              <a:ea typeface="+mn-ea"/>
              <a:cs typeface="+mn-cs"/>
            </a:rPr>
            <a:t>.</a:t>
          </a:r>
          <a:endParaRPr lang="en-GB" sz="1100" b="0" u="sng">
            <a:solidFill>
              <a:sysClr val="windowText" lastClr="000000"/>
            </a:solidFill>
          </a:endParaRPr>
        </a:p>
      </xdr:txBody>
    </xdr:sp>
    <xdr:clientData/>
  </xdr:twoCellAnchor>
  <xdr:twoCellAnchor editAs="oneCell">
    <xdr:from>
      <xdr:col>6</xdr:col>
      <xdr:colOff>952500</xdr:colOff>
      <xdr:row>8</xdr:row>
      <xdr:rowOff>47625</xdr:rowOff>
    </xdr:from>
    <xdr:to>
      <xdr:col>7</xdr:col>
      <xdr:colOff>133350</xdr:colOff>
      <xdr:row>9</xdr:row>
      <xdr:rowOff>133350</xdr:rowOff>
    </xdr:to>
    <xdr:pic>
      <xdr:nvPicPr>
        <xdr:cNvPr id="7" name="Picture 11" descr="C:\Documents and Settings\kg716\Local Settings\Temporary Internet Files\Content.IE5\OYX2V2G0\MC900442164[1].png"/>
        <xdr:cNvPicPr>
          <a:picLocks noChangeAspect="1" noChangeArrowheads="1"/>
        </xdr:cNvPicPr>
      </xdr:nvPicPr>
      <xdr:blipFill>
        <a:blip xmlns:r="http://schemas.openxmlformats.org/officeDocument/2006/relationships" r:embed="rId4" cstate="print"/>
        <a:srcRect/>
        <a:stretch>
          <a:fillRect/>
        </a:stretch>
      </xdr:blipFill>
      <xdr:spPr bwMode="auto">
        <a:xfrm flipH="1">
          <a:off x="6353175" y="1971675"/>
          <a:ext cx="276225" cy="276225"/>
        </a:xfrm>
        <a:prstGeom prst="rect">
          <a:avLst/>
        </a:prstGeom>
        <a:noFill/>
      </xdr:spPr>
    </xdr:pic>
    <xdr:clientData/>
  </xdr:twoCellAnchor>
</xdr:wsDr>
</file>

<file path=xl/drawings/drawing25.xml><?xml version="1.0" encoding="utf-8"?>
<xdr:wsDr xmlns:xdr="http://schemas.openxmlformats.org/drawingml/2006/spreadsheetDrawing" xmlns:a="http://schemas.openxmlformats.org/drawingml/2006/main">
  <xdr:oneCellAnchor>
    <xdr:from>
      <xdr:col>4</xdr:col>
      <xdr:colOff>1158875</xdr:colOff>
      <xdr:row>3</xdr:row>
      <xdr:rowOff>95250</xdr:rowOff>
    </xdr:from>
    <xdr:ext cx="184731" cy="264560"/>
    <xdr:sp macro="" textlink="">
      <xdr:nvSpPr>
        <xdr:cNvPr id="2" name="TextBox 1"/>
        <xdr:cNvSpPr txBox="1"/>
      </xdr:nvSpPr>
      <xdr:spPr>
        <a:xfrm>
          <a:off x="5683250"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editAs="oneCell">
    <xdr:from>
      <xdr:col>5</xdr:col>
      <xdr:colOff>3025775</xdr:colOff>
      <xdr:row>0</xdr:row>
      <xdr:rowOff>184150</xdr:rowOff>
    </xdr:from>
    <xdr:to>
      <xdr:col>11</xdr:col>
      <xdr:colOff>366547</xdr:colOff>
      <xdr:row>5</xdr:row>
      <xdr:rowOff>95250</xdr:rowOff>
    </xdr:to>
    <xdr:pic>
      <xdr:nvPicPr>
        <xdr:cNvPr id="3" name="Picture 2"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8874125" y="184150"/>
          <a:ext cx="2560472" cy="1054100"/>
        </a:xfrm>
        <a:prstGeom prst="rect">
          <a:avLst/>
        </a:prstGeom>
        <a:noFill/>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10</xdr:col>
      <xdr:colOff>512185</xdr:colOff>
      <xdr:row>1</xdr:row>
      <xdr:rowOff>142876</xdr:rowOff>
    </xdr:from>
    <xdr:to>
      <xdr:col>12</xdr:col>
      <xdr:colOff>1555750</xdr:colOff>
      <xdr:row>8</xdr:row>
      <xdr:rowOff>15875</xdr:rowOff>
    </xdr:to>
    <xdr:pic>
      <xdr:nvPicPr>
        <xdr:cNvPr id="2" name="Picture 1"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15056860" y="333376"/>
          <a:ext cx="5844165" cy="2435224"/>
        </a:xfrm>
        <a:prstGeom prst="rect">
          <a:avLst/>
        </a:prstGeom>
        <a:noFill/>
      </xdr:spPr>
    </xdr:pic>
    <xdr:clientData/>
  </xdr:twoCellAnchor>
  <xdr:oneCellAnchor>
    <xdr:from>
      <xdr:col>6</xdr:col>
      <xdr:colOff>1158875</xdr:colOff>
      <xdr:row>3</xdr:row>
      <xdr:rowOff>95250</xdr:rowOff>
    </xdr:from>
    <xdr:ext cx="184731" cy="264560"/>
    <xdr:sp macro="" textlink="">
      <xdr:nvSpPr>
        <xdr:cNvPr id="3" name="TextBox 2"/>
        <xdr:cNvSpPr txBox="1"/>
      </xdr:nvSpPr>
      <xdr:spPr>
        <a:xfrm>
          <a:off x="7292975"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4</xdr:col>
      <xdr:colOff>1158875</xdr:colOff>
      <xdr:row>3</xdr:row>
      <xdr:rowOff>95250</xdr:rowOff>
    </xdr:from>
    <xdr:ext cx="184731" cy="264560"/>
    <xdr:sp macro="" textlink="">
      <xdr:nvSpPr>
        <xdr:cNvPr id="3" name="TextBox 2"/>
        <xdr:cNvSpPr txBox="1"/>
      </xdr:nvSpPr>
      <xdr:spPr>
        <a:xfrm>
          <a:off x="10207625"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xdr:from>
      <xdr:col>5</xdr:col>
      <xdr:colOff>276225</xdr:colOff>
      <xdr:row>8</xdr:row>
      <xdr:rowOff>76200</xdr:rowOff>
    </xdr:from>
    <xdr:to>
      <xdr:col>6</xdr:col>
      <xdr:colOff>2371726</xdr:colOff>
      <xdr:row>25</xdr:row>
      <xdr:rowOff>104775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3025775</xdr:colOff>
      <xdr:row>0</xdr:row>
      <xdr:rowOff>184150</xdr:rowOff>
    </xdr:from>
    <xdr:to>
      <xdr:col>6</xdr:col>
      <xdr:colOff>2414422</xdr:colOff>
      <xdr:row>5</xdr:row>
      <xdr:rowOff>95250</xdr:rowOff>
    </xdr:to>
    <xdr:pic>
      <xdr:nvPicPr>
        <xdr:cNvPr id="6" name="Picture 5" descr="http://www.york.ac.uk/che/staff/staff.ltd/CHE%20Logo%20High%20Resolution.jpg"/>
        <xdr:cNvPicPr>
          <a:picLocks noChangeAspect="1" noChangeArrowheads="1"/>
        </xdr:cNvPicPr>
      </xdr:nvPicPr>
      <xdr:blipFill>
        <a:blip xmlns:r="http://schemas.openxmlformats.org/officeDocument/2006/relationships" r:embed="rId2" cstate="print"/>
        <a:srcRect/>
        <a:stretch>
          <a:fillRect/>
        </a:stretch>
      </xdr:blipFill>
      <xdr:spPr bwMode="auto">
        <a:xfrm>
          <a:off x="8874125" y="184150"/>
          <a:ext cx="2560472" cy="1054100"/>
        </a:xfrm>
        <a:prstGeom prst="rect">
          <a:avLst/>
        </a:prstGeom>
        <a:noFill/>
      </xdr:spPr>
    </xdr:pic>
    <xdr:clientData/>
  </xdr:twoCellAnchor>
</xdr:wsDr>
</file>

<file path=xl/drawings/drawing28.xml><?xml version="1.0" encoding="utf-8"?>
<xdr:wsDr xmlns:xdr="http://schemas.openxmlformats.org/drawingml/2006/spreadsheetDrawing" xmlns:a="http://schemas.openxmlformats.org/drawingml/2006/main">
  <xdr:oneCellAnchor>
    <xdr:from>
      <xdr:col>4</xdr:col>
      <xdr:colOff>1158875</xdr:colOff>
      <xdr:row>3</xdr:row>
      <xdr:rowOff>95250</xdr:rowOff>
    </xdr:from>
    <xdr:ext cx="184731" cy="264560"/>
    <xdr:sp macro="" textlink="">
      <xdr:nvSpPr>
        <xdr:cNvPr id="2" name="TextBox 1"/>
        <xdr:cNvSpPr txBox="1"/>
      </xdr:nvSpPr>
      <xdr:spPr>
        <a:xfrm>
          <a:off x="5683250"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editAs="oneCell">
    <xdr:from>
      <xdr:col>10</xdr:col>
      <xdr:colOff>835025</xdr:colOff>
      <xdr:row>1</xdr:row>
      <xdr:rowOff>31750</xdr:rowOff>
    </xdr:from>
    <xdr:to>
      <xdr:col>13</xdr:col>
      <xdr:colOff>690397</xdr:colOff>
      <xdr:row>5</xdr:row>
      <xdr:rowOff>133350</xdr:rowOff>
    </xdr:to>
    <xdr:pic>
      <xdr:nvPicPr>
        <xdr:cNvPr id="5" name="Picture 4"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9045575" y="222250"/>
          <a:ext cx="2560472" cy="1054100"/>
        </a:xfrm>
        <a:prstGeom prst="rect">
          <a:avLst/>
        </a:prstGeom>
        <a:noFill/>
      </xdr:spPr>
    </xdr:pic>
    <xdr:clientData/>
  </xdr:twoCellAnchor>
  <xdr:twoCellAnchor>
    <xdr:from>
      <xdr:col>1</xdr:col>
      <xdr:colOff>66675</xdr:colOff>
      <xdr:row>20</xdr:row>
      <xdr:rowOff>76200</xdr:rowOff>
    </xdr:from>
    <xdr:to>
      <xdr:col>8</xdr:col>
      <xdr:colOff>133350</xdr:colOff>
      <xdr:row>37</xdr:row>
      <xdr:rowOff>66675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10</xdr:col>
      <xdr:colOff>0</xdr:colOff>
      <xdr:row>10</xdr:row>
      <xdr:rowOff>190499</xdr:rowOff>
    </xdr:from>
    <xdr:ext cx="2657475" cy="1295401"/>
    <xdr:sp macro="" textlink="">
      <xdr:nvSpPr>
        <xdr:cNvPr id="7" name="TextBox 6"/>
        <xdr:cNvSpPr txBox="1"/>
      </xdr:nvSpPr>
      <xdr:spPr>
        <a:xfrm>
          <a:off x="8210550" y="2390774"/>
          <a:ext cx="2657475" cy="1295401"/>
        </a:xfrm>
        <a:prstGeom prst="rect">
          <a:avLst/>
        </a:prstGeom>
        <a:noFill/>
        <a:ln w="2540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t>Currently,</a:t>
          </a:r>
          <a:r>
            <a:rPr lang="en-GB" sz="1100" baseline="0"/>
            <a:t> there are no comprehensive data on GP activities. We have to therefore rely on Patient Surveys, together with QResearch data. </a:t>
          </a:r>
        </a:p>
        <a:p>
          <a:r>
            <a:rPr lang="en-GB" sz="1100" baseline="0"/>
            <a:t>Further details can be found in the report, pages 5-6 and 13-15.</a:t>
          </a:r>
          <a:endParaRPr lang="en-GB" sz="1100"/>
        </a:p>
      </xdr:txBody>
    </xdr:sp>
    <xdr:clientData/>
  </xdr:oneCellAnchor>
  <xdr:twoCellAnchor editAs="oneCell">
    <xdr:from>
      <xdr:col>9</xdr:col>
      <xdr:colOff>514350</xdr:colOff>
      <xdr:row>10</xdr:row>
      <xdr:rowOff>47625</xdr:rowOff>
    </xdr:from>
    <xdr:to>
      <xdr:col>10</xdr:col>
      <xdr:colOff>142875</xdr:colOff>
      <xdr:row>11</xdr:row>
      <xdr:rowOff>133350</xdr:rowOff>
    </xdr:to>
    <xdr:pic>
      <xdr:nvPicPr>
        <xdr:cNvPr id="8" name="Picture 11" descr="C:\Documents and Settings\kg716\Local Settings\Temporary Internet Files\Content.IE5\OYX2V2G0\MC900442164[1].png"/>
        <xdr:cNvPicPr>
          <a:picLocks noChangeAspect="1" noChangeArrowheads="1"/>
        </xdr:cNvPicPr>
      </xdr:nvPicPr>
      <xdr:blipFill>
        <a:blip xmlns:r="http://schemas.openxmlformats.org/officeDocument/2006/relationships" r:embed="rId3" cstate="print"/>
        <a:srcRect/>
        <a:stretch>
          <a:fillRect/>
        </a:stretch>
      </xdr:blipFill>
      <xdr:spPr bwMode="auto">
        <a:xfrm flipH="1">
          <a:off x="8077200" y="2247900"/>
          <a:ext cx="276225" cy="276225"/>
        </a:xfrm>
        <a:prstGeom prst="rect">
          <a:avLst/>
        </a:prstGeom>
        <a:noFill/>
      </xdr:spPr>
    </xdr:pic>
    <xdr:clientData/>
  </xdr:twoCellAnchor>
</xdr:wsDr>
</file>

<file path=xl/drawings/drawing29.xml><?xml version="1.0" encoding="utf-8"?>
<xdr:wsDr xmlns:xdr="http://schemas.openxmlformats.org/drawingml/2006/spreadsheetDrawing" xmlns:a="http://schemas.openxmlformats.org/drawingml/2006/main">
  <xdr:oneCellAnchor>
    <xdr:from>
      <xdr:col>4</xdr:col>
      <xdr:colOff>1158875</xdr:colOff>
      <xdr:row>3</xdr:row>
      <xdr:rowOff>95250</xdr:rowOff>
    </xdr:from>
    <xdr:ext cx="184731" cy="264560"/>
    <xdr:sp macro="" textlink="">
      <xdr:nvSpPr>
        <xdr:cNvPr id="2" name="TextBox 1"/>
        <xdr:cNvSpPr txBox="1"/>
      </xdr:nvSpPr>
      <xdr:spPr>
        <a:xfrm>
          <a:off x="2901950"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editAs="oneCell">
    <xdr:from>
      <xdr:col>11</xdr:col>
      <xdr:colOff>1444625</xdr:colOff>
      <xdr:row>1</xdr:row>
      <xdr:rowOff>60325</xdr:rowOff>
    </xdr:from>
    <xdr:to>
      <xdr:col>13</xdr:col>
      <xdr:colOff>1166647</xdr:colOff>
      <xdr:row>5</xdr:row>
      <xdr:rowOff>161925</xdr:rowOff>
    </xdr:to>
    <xdr:pic>
      <xdr:nvPicPr>
        <xdr:cNvPr id="3" name="Picture 2"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8988425" y="250825"/>
          <a:ext cx="2560472" cy="1054100"/>
        </a:xfrm>
        <a:prstGeom prst="rect">
          <a:avLst/>
        </a:prstGeom>
        <a:noFill/>
      </xdr:spPr>
    </xdr:pic>
    <xdr:clientData/>
  </xdr:twoCellAnchor>
  <xdr:twoCellAnchor>
    <xdr:from>
      <xdr:col>9</xdr:col>
      <xdr:colOff>257175</xdr:colOff>
      <xdr:row>10</xdr:row>
      <xdr:rowOff>28575</xdr:rowOff>
    </xdr:from>
    <xdr:to>
      <xdr:col>13</xdr:col>
      <xdr:colOff>1085850</xdr:colOff>
      <xdr:row>29</xdr:row>
      <xdr:rowOff>57150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333375</xdr:colOff>
      <xdr:row>21</xdr:row>
      <xdr:rowOff>19051</xdr:rowOff>
    </xdr:from>
    <xdr:to>
      <xdr:col>9</xdr:col>
      <xdr:colOff>438150</xdr:colOff>
      <xdr:row>30</xdr:row>
      <xdr:rowOff>19051</xdr:rowOff>
    </xdr:to>
    <xdr:sp macro="" textlink="">
      <xdr:nvSpPr>
        <xdr:cNvPr id="5" name="TextBox 4"/>
        <xdr:cNvSpPr txBox="1"/>
      </xdr:nvSpPr>
      <xdr:spPr>
        <a:xfrm>
          <a:off x="3067050" y="4505326"/>
          <a:ext cx="3619500" cy="1714500"/>
        </a:xfrm>
        <a:prstGeom prst="rect">
          <a:avLst/>
        </a:prstGeom>
        <a:solidFill>
          <a:schemeClr val="lt1"/>
        </a:solidFill>
        <a:ln w="254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GB" sz="900" b="0">
              <a:latin typeface="Arial Rounded MT Bold" pitchFamily="34" charset="0"/>
            </a:rPr>
            <a:t>The quality adjustment approach in primary care utilises data captured as part of the Quality and Outcomes Framework (QOF),under which GPs are rewarded for achieving diverse targets. Three QOF indicators were selected as providing information about improvements in disease management, namely:</a:t>
          </a:r>
        </a:p>
        <a:p>
          <a:pPr algn="l"/>
          <a:r>
            <a:rPr lang="en-GB" sz="900" b="0">
              <a:solidFill>
                <a:schemeClr val="dk1"/>
              </a:solidFill>
              <a:latin typeface="Arial Rounded MT Bold" pitchFamily="34" charset="0"/>
              <a:ea typeface="+mn-ea"/>
              <a:cs typeface="+mn-cs"/>
            </a:rPr>
            <a:t>-</a:t>
          </a:r>
          <a:r>
            <a:rPr lang="en-GB" sz="900" b="0" baseline="0">
              <a:solidFill>
                <a:schemeClr val="dk1"/>
              </a:solidFill>
              <a:latin typeface="Arial Rounded MT Bold" pitchFamily="34" charset="0"/>
              <a:ea typeface="+mn-ea"/>
              <a:cs typeface="+mn-cs"/>
            </a:rPr>
            <a:t> </a:t>
          </a:r>
          <a:r>
            <a:rPr lang="en-GB" sz="900" b="0">
              <a:solidFill>
                <a:schemeClr val="dk1"/>
              </a:solidFill>
              <a:latin typeface="Arial Rounded MT Bold" pitchFamily="34" charset="0"/>
              <a:ea typeface="+mn-ea"/>
              <a:cs typeface="+mn-cs"/>
            </a:rPr>
            <a:t>percentage of patients with either</a:t>
          </a:r>
          <a:r>
            <a:rPr lang="en-GB" sz="900" b="0" baseline="0">
              <a:solidFill>
                <a:schemeClr val="dk1"/>
              </a:solidFill>
              <a:latin typeface="Arial Rounded MT Bold" pitchFamily="34" charset="0"/>
              <a:ea typeface="+mn-ea"/>
              <a:cs typeface="+mn-cs"/>
            </a:rPr>
            <a:t> hypertension, CHD or stroke</a:t>
          </a:r>
          <a:r>
            <a:rPr lang="en-GB" sz="900" b="0">
              <a:solidFill>
                <a:schemeClr val="dk1"/>
              </a:solidFill>
              <a:latin typeface="Arial Rounded MT Bold" pitchFamily="34" charset="0"/>
              <a:ea typeface="+mn-ea"/>
              <a:cs typeface="+mn-cs"/>
            </a:rPr>
            <a:t> in whom the last blood pressure (measured in the last 9 months) is 150/90 or less.</a:t>
          </a:r>
          <a:endParaRPr lang="en-GB" sz="900" b="0">
            <a:latin typeface="Arial Rounded MT Bold" pitchFamily="34" charset="0"/>
          </a:endParaRPr>
        </a:p>
        <a:p>
          <a:pPr algn="l"/>
          <a:r>
            <a:rPr lang="en-GB" sz="900" b="0">
              <a:latin typeface="Arial Rounded MT Bold" pitchFamily="34" charset="0"/>
            </a:rPr>
            <a:t>A consultation where low blood pressure is recorded is considered to be either 1.3 or 1.5 </a:t>
          </a:r>
          <a:r>
            <a:rPr lang="en-GB" sz="900" b="0" baseline="0">
              <a:latin typeface="Arial Rounded MT Bold" pitchFamily="34" charset="0"/>
            </a:rPr>
            <a:t> </a:t>
          </a:r>
          <a:r>
            <a:rPr lang="en-GB" sz="900" b="0">
              <a:latin typeface="Arial Rounded MT Bold" pitchFamily="34" charset="0"/>
            </a:rPr>
            <a:t>times as valuable as any other consultation.</a:t>
          </a:r>
        </a:p>
        <a:p>
          <a:pPr algn="l"/>
          <a:r>
            <a:rPr lang="en-GB" sz="900" b="0">
              <a:latin typeface="Arial Rounded MT Bold" pitchFamily="34" charset="0"/>
            </a:rPr>
            <a:t>For details, see report, pages 12-13.</a:t>
          </a:r>
        </a:p>
      </xdr:txBody>
    </xdr:sp>
    <xdr:clientData/>
  </xdr:twoCellAnchor>
  <xdr:twoCellAnchor editAs="oneCell">
    <xdr:from>
      <xdr:col>4</xdr:col>
      <xdr:colOff>190500</xdr:colOff>
      <xdr:row>20</xdr:row>
      <xdr:rowOff>66675</xdr:rowOff>
    </xdr:from>
    <xdr:to>
      <xdr:col>4</xdr:col>
      <xdr:colOff>466725</xdr:colOff>
      <xdr:row>21</xdr:row>
      <xdr:rowOff>152400</xdr:rowOff>
    </xdr:to>
    <xdr:pic>
      <xdr:nvPicPr>
        <xdr:cNvPr id="6" name="Picture 11" descr="C:\Documents and Settings\kg716\Local Settings\Temporary Internet Files\Content.IE5\OYX2V2G0\MC900442164[1].png"/>
        <xdr:cNvPicPr>
          <a:picLocks noChangeAspect="1" noChangeArrowheads="1"/>
        </xdr:cNvPicPr>
      </xdr:nvPicPr>
      <xdr:blipFill>
        <a:blip xmlns:r="http://schemas.openxmlformats.org/officeDocument/2006/relationships" r:embed="rId3" cstate="print"/>
        <a:srcRect/>
        <a:stretch>
          <a:fillRect/>
        </a:stretch>
      </xdr:blipFill>
      <xdr:spPr bwMode="auto">
        <a:xfrm flipH="1">
          <a:off x="2924175" y="4362450"/>
          <a:ext cx="276225" cy="27622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419100</xdr:colOff>
          <xdr:row>22</xdr:row>
          <xdr:rowOff>19050</xdr:rowOff>
        </xdr:to>
        <xdr:sp macro="" textlink="">
          <xdr:nvSpPr>
            <xdr:cNvPr id="31746" name="Option Button 2" hidden="1">
              <a:extLst>
                <a:ext uri="{63B3BB69-23CF-44E3-9099-C40C66FF867C}">
                  <a14:compatExt spid="_x0000_s317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1.3</a:t>
              </a:r>
              <a:endParaRPr lang="en-GB"/>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22</xdr:row>
          <xdr:rowOff>19050</xdr:rowOff>
        </xdr:from>
        <xdr:to>
          <xdr:col>2</xdr:col>
          <xdr:colOff>409575</xdr:colOff>
          <xdr:row>23</xdr:row>
          <xdr:rowOff>38100</xdr:rowOff>
        </xdr:to>
        <xdr:sp macro="" textlink="">
          <xdr:nvSpPr>
            <xdr:cNvPr id="31747" name="Option Button 3" hidden="1">
              <a:extLst>
                <a:ext uri="{63B3BB69-23CF-44E3-9099-C40C66FF867C}">
                  <a14:compatExt spid="_x0000_s317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1.5</a:t>
              </a:r>
              <a:endParaRPr lang="en-GB"/>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13</xdr:col>
      <xdr:colOff>561975</xdr:colOff>
      <xdr:row>2</xdr:row>
      <xdr:rowOff>114300</xdr:rowOff>
    </xdr:from>
    <xdr:to>
      <xdr:col>18</xdr:col>
      <xdr:colOff>61747</xdr:colOff>
      <xdr:row>6</xdr:row>
      <xdr:rowOff>95250</xdr:rowOff>
    </xdr:to>
    <xdr:pic>
      <xdr:nvPicPr>
        <xdr:cNvPr id="4" name="Picture 3"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8486775" y="495300"/>
          <a:ext cx="2547772" cy="1066800"/>
        </a:xfrm>
        <a:prstGeom prst="rect">
          <a:avLst/>
        </a:prstGeom>
        <a:noFill/>
      </xdr:spPr>
    </xdr:pic>
    <xdr:clientData/>
  </xdr:twoCellAnchor>
</xdr:wsDr>
</file>

<file path=xl/drawings/drawing30.xml><?xml version="1.0" encoding="utf-8"?>
<xdr:wsDr xmlns:xdr="http://schemas.openxmlformats.org/drawingml/2006/spreadsheetDrawing" xmlns:a="http://schemas.openxmlformats.org/drawingml/2006/main">
  <xdr:oneCellAnchor>
    <xdr:from>
      <xdr:col>4</xdr:col>
      <xdr:colOff>1158875</xdr:colOff>
      <xdr:row>3</xdr:row>
      <xdr:rowOff>95250</xdr:rowOff>
    </xdr:from>
    <xdr:ext cx="184731" cy="264560"/>
    <xdr:sp macro="" textlink="">
      <xdr:nvSpPr>
        <xdr:cNvPr id="2" name="TextBox 1"/>
        <xdr:cNvSpPr txBox="1"/>
      </xdr:nvSpPr>
      <xdr:spPr>
        <a:xfrm>
          <a:off x="4968875"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editAs="oneCell">
    <xdr:from>
      <xdr:col>12</xdr:col>
      <xdr:colOff>273050</xdr:colOff>
      <xdr:row>1</xdr:row>
      <xdr:rowOff>50800</xdr:rowOff>
    </xdr:from>
    <xdr:to>
      <xdr:col>13</xdr:col>
      <xdr:colOff>1747672</xdr:colOff>
      <xdr:row>5</xdr:row>
      <xdr:rowOff>152400</xdr:rowOff>
    </xdr:to>
    <xdr:pic>
      <xdr:nvPicPr>
        <xdr:cNvPr id="3" name="Picture 2"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8274050" y="241300"/>
          <a:ext cx="2560472" cy="1054100"/>
        </a:xfrm>
        <a:prstGeom prst="rect">
          <a:avLst/>
        </a:prstGeom>
        <a:noFill/>
      </xdr:spPr>
    </xdr:pic>
    <xdr:clientData/>
  </xdr:twoCellAnchor>
</xdr:wsDr>
</file>

<file path=xl/drawings/drawing31.xml><?xml version="1.0" encoding="utf-8"?>
<xdr:wsDr xmlns:xdr="http://schemas.openxmlformats.org/drawingml/2006/spreadsheetDrawing" xmlns:a="http://schemas.openxmlformats.org/drawingml/2006/main">
  <xdr:twoCellAnchor>
    <xdr:from>
      <xdr:col>11</xdr:col>
      <xdr:colOff>95250</xdr:colOff>
      <xdr:row>23</xdr:row>
      <xdr:rowOff>95250</xdr:rowOff>
    </xdr:from>
    <xdr:to>
      <xdr:col>18</xdr:col>
      <xdr:colOff>400050</xdr:colOff>
      <xdr:row>37</xdr:row>
      <xdr:rowOff>171450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590550</xdr:colOff>
      <xdr:row>39</xdr:row>
      <xdr:rowOff>152400</xdr:rowOff>
    </xdr:from>
    <xdr:to>
      <xdr:col>19</xdr:col>
      <xdr:colOff>285750</xdr:colOff>
      <xdr:row>54</xdr:row>
      <xdr:rowOff>38100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2131435</xdr:colOff>
      <xdr:row>3</xdr:row>
      <xdr:rowOff>95251</xdr:rowOff>
    </xdr:from>
    <xdr:to>
      <xdr:col>12</xdr:col>
      <xdr:colOff>571500</xdr:colOff>
      <xdr:row>8</xdr:row>
      <xdr:rowOff>142875</xdr:rowOff>
    </xdr:to>
    <xdr:pic>
      <xdr:nvPicPr>
        <xdr:cNvPr id="2" name="Picture 1"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13313785" y="666751"/>
          <a:ext cx="5850515" cy="2428874"/>
        </a:xfrm>
        <a:prstGeom prst="rect">
          <a:avLst/>
        </a:prstGeom>
        <a:noFill/>
      </xdr:spPr>
    </xdr:pic>
    <xdr:clientData/>
  </xdr:twoCellAnchor>
  <xdr:oneCellAnchor>
    <xdr:from>
      <xdr:col>6</xdr:col>
      <xdr:colOff>1158875</xdr:colOff>
      <xdr:row>3</xdr:row>
      <xdr:rowOff>95250</xdr:rowOff>
    </xdr:from>
    <xdr:ext cx="184731" cy="264560"/>
    <xdr:sp macro="" textlink="">
      <xdr:nvSpPr>
        <xdr:cNvPr id="3" name="TextBox 2"/>
        <xdr:cNvSpPr txBox="1"/>
      </xdr:nvSpPr>
      <xdr:spPr>
        <a:xfrm>
          <a:off x="7254875"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wsDr>
</file>

<file path=xl/drawings/drawing33.xml><?xml version="1.0" encoding="utf-8"?>
<xdr:wsDr xmlns:xdr="http://schemas.openxmlformats.org/drawingml/2006/spreadsheetDrawing" xmlns:a="http://schemas.openxmlformats.org/drawingml/2006/main">
  <xdr:twoCellAnchor editAs="oneCell">
    <xdr:from>
      <xdr:col>13</xdr:col>
      <xdr:colOff>512185</xdr:colOff>
      <xdr:row>1</xdr:row>
      <xdr:rowOff>142876</xdr:rowOff>
    </xdr:from>
    <xdr:to>
      <xdr:col>15</xdr:col>
      <xdr:colOff>1841500</xdr:colOff>
      <xdr:row>7</xdr:row>
      <xdr:rowOff>111125</xdr:rowOff>
    </xdr:to>
    <xdr:pic>
      <xdr:nvPicPr>
        <xdr:cNvPr id="2" name="Picture 1"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18295360" y="333376"/>
          <a:ext cx="5844165" cy="2435224"/>
        </a:xfrm>
        <a:prstGeom prst="rect">
          <a:avLst/>
        </a:prstGeom>
        <a:noFill/>
      </xdr:spPr>
    </xdr:pic>
    <xdr:clientData/>
  </xdr:twoCellAnchor>
  <xdr:oneCellAnchor>
    <xdr:from>
      <xdr:col>7</xdr:col>
      <xdr:colOff>1158875</xdr:colOff>
      <xdr:row>3</xdr:row>
      <xdr:rowOff>95250</xdr:rowOff>
    </xdr:from>
    <xdr:ext cx="184731" cy="264560"/>
    <xdr:sp macro="" textlink="">
      <xdr:nvSpPr>
        <xdr:cNvPr id="3" name="TextBox 2"/>
        <xdr:cNvSpPr txBox="1"/>
      </xdr:nvSpPr>
      <xdr:spPr>
        <a:xfrm>
          <a:off x="11493500"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wsDr>
</file>

<file path=xl/drawings/drawing34.xml><?xml version="1.0" encoding="utf-8"?>
<xdr:wsDr xmlns:xdr="http://schemas.openxmlformats.org/drawingml/2006/spreadsheetDrawing" xmlns:a="http://schemas.openxmlformats.org/drawingml/2006/main">
  <xdr:oneCellAnchor>
    <xdr:from>
      <xdr:col>4</xdr:col>
      <xdr:colOff>1158875</xdr:colOff>
      <xdr:row>3</xdr:row>
      <xdr:rowOff>95250</xdr:rowOff>
    </xdr:from>
    <xdr:ext cx="184731" cy="264560"/>
    <xdr:sp macro="" textlink="">
      <xdr:nvSpPr>
        <xdr:cNvPr id="3" name="TextBox 2"/>
        <xdr:cNvSpPr txBox="1"/>
      </xdr:nvSpPr>
      <xdr:spPr>
        <a:xfrm>
          <a:off x="7292975"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xdr:from>
      <xdr:col>1</xdr:col>
      <xdr:colOff>207819</xdr:colOff>
      <xdr:row>20</xdr:row>
      <xdr:rowOff>86593</xdr:rowOff>
    </xdr:from>
    <xdr:to>
      <xdr:col>4</xdr:col>
      <xdr:colOff>695326</xdr:colOff>
      <xdr:row>36</xdr:row>
      <xdr:rowOff>1</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833004</xdr:colOff>
      <xdr:row>1</xdr:row>
      <xdr:rowOff>147204</xdr:rowOff>
    </xdr:from>
    <xdr:to>
      <xdr:col>8</xdr:col>
      <xdr:colOff>2023896</xdr:colOff>
      <xdr:row>6</xdr:row>
      <xdr:rowOff>50511</xdr:rowOff>
    </xdr:to>
    <xdr:pic>
      <xdr:nvPicPr>
        <xdr:cNvPr id="5" name="Picture 4" descr="http://www.york.ac.uk/che/staff/staff.ltd/CHE%20Logo%20High%20Resolution.jpg"/>
        <xdr:cNvPicPr>
          <a:picLocks noChangeAspect="1" noChangeArrowheads="1"/>
        </xdr:cNvPicPr>
      </xdr:nvPicPr>
      <xdr:blipFill>
        <a:blip xmlns:r="http://schemas.openxmlformats.org/officeDocument/2006/relationships" r:embed="rId2" cstate="print"/>
        <a:srcRect/>
        <a:stretch>
          <a:fillRect/>
        </a:stretch>
      </xdr:blipFill>
      <xdr:spPr bwMode="auto">
        <a:xfrm>
          <a:off x="8453004" y="337704"/>
          <a:ext cx="2572017" cy="1046307"/>
        </a:xfrm>
        <a:prstGeom prst="rect">
          <a:avLst/>
        </a:prstGeom>
        <a:noFill/>
      </xdr:spPr>
    </xdr:pic>
    <xdr:clientData/>
  </xdr:twoCellAnchor>
  <xdr:oneCellAnchor>
    <xdr:from>
      <xdr:col>5</xdr:col>
      <xdr:colOff>638175</xdr:colOff>
      <xdr:row>21</xdr:row>
      <xdr:rowOff>171449</xdr:rowOff>
    </xdr:from>
    <xdr:ext cx="3762375" cy="1685925"/>
    <xdr:sp macro="" textlink="">
      <xdr:nvSpPr>
        <xdr:cNvPr id="6" name="TextBox 5"/>
        <xdr:cNvSpPr txBox="1"/>
      </xdr:nvSpPr>
      <xdr:spPr>
        <a:xfrm>
          <a:off x="6238875" y="5219699"/>
          <a:ext cx="3762375" cy="1685925"/>
        </a:xfrm>
        <a:prstGeom prst="rect">
          <a:avLst/>
        </a:prstGeom>
        <a:noFill/>
        <a:ln w="2540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t>Our preferred measure of Productivity</a:t>
          </a:r>
          <a:r>
            <a:rPr lang="en-GB" sz="1100" baseline="0"/>
            <a:t>:</a:t>
          </a:r>
        </a:p>
        <a:p>
          <a:r>
            <a:rPr lang="en-GB" sz="1100" baseline="0"/>
            <a:t>- employs the direct method to measure labour input, using information about FTEs</a:t>
          </a:r>
        </a:p>
        <a:p>
          <a:r>
            <a:rPr lang="en-GB" sz="1100" baseline="0"/>
            <a:t>- uses the Reference Cost data to account for purchases from non-NHS bodies</a:t>
          </a:r>
        </a:p>
      </xdr:txBody>
    </xdr:sp>
    <xdr:clientData/>
  </xdr:oneCellAnchor>
  <xdr:twoCellAnchor editAs="oneCell">
    <xdr:from>
      <xdr:col>5</xdr:col>
      <xdr:colOff>485775</xdr:colOff>
      <xdr:row>21</xdr:row>
      <xdr:rowOff>66675</xdr:rowOff>
    </xdr:from>
    <xdr:to>
      <xdr:col>5</xdr:col>
      <xdr:colOff>762000</xdr:colOff>
      <xdr:row>22</xdr:row>
      <xdr:rowOff>152400</xdr:rowOff>
    </xdr:to>
    <xdr:pic>
      <xdr:nvPicPr>
        <xdr:cNvPr id="7" name="Picture 11" descr="C:\Documents and Settings\kg716\Local Settings\Temporary Internet Files\Content.IE5\OYX2V2G0\MC900442164[1].png"/>
        <xdr:cNvPicPr>
          <a:picLocks noChangeAspect="1" noChangeArrowheads="1"/>
        </xdr:cNvPicPr>
      </xdr:nvPicPr>
      <xdr:blipFill>
        <a:blip xmlns:r="http://schemas.openxmlformats.org/officeDocument/2006/relationships" r:embed="rId3" cstate="print"/>
        <a:srcRect/>
        <a:stretch>
          <a:fillRect/>
        </a:stretch>
      </xdr:blipFill>
      <xdr:spPr bwMode="auto">
        <a:xfrm flipH="1">
          <a:off x="6086475" y="5114925"/>
          <a:ext cx="276225" cy="276225"/>
        </a:xfrm>
        <a:prstGeom prst="rect">
          <a:avLst/>
        </a:prstGeom>
        <a:noFill/>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14</xdr:col>
      <xdr:colOff>257175</xdr:colOff>
      <xdr:row>0</xdr:row>
      <xdr:rowOff>152400</xdr:rowOff>
    </xdr:from>
    <xdr:to>
      <xdr:col>18</xdr:col>
      <xdr:colOff>366547</xdr:colOff>
      <xdr:row>4</xdr:row>
      <xdr:rowOff>209550</xdr:rowOff>
    </xdr:to>
    <xdr:pic>
      <xdr:nvPicPr>
        <xdr:cNvPr id="2" name="Picture 1"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8791575" y="152400"/>
          <a:ext cx="2547772" cy="1066800"/>
        </a:xfrm>
        <a:prstGeom prst="rect">
          <a:avLst/>
        </a:prstGeom>
        <a:noFill/>
      </xdr:spPr>
    </xdr:pic>
    <xdr:clientData/>
  </xdr:twoCellAnchor>
  <xdr:oneCellAnchor>
    <xdr:from>
      <xdr:col>7</xdr:col>
      <xdr:colOff>438150</xdr:colOff>
      <xdr:row>11</xdr:row>
      <xdr:rowOff>19050</xdr:rowOff>
    </xdr:from>
    <xdr:ext cx="184731" cy="264560"/>
    <xdr:sp macro="" textlink="">
      <xdr:nvSpPr>
        <xdr:cNvPr id="3" name="TextBox 2"/>
        <xdr:cNvSpPr txBox="1"/>
      </xdr:nvSpPr>
      <xdr:spPr>
        <a:xfrm>
          <a:off x="531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wsDr>
</file>

<file path=xl/drawings/drawing36.xml><?xml version="1.0" encoding="utf-8"?>
<xdr:wsDr xmlns:xdr="http://schemas.openxmlformats.org/drawingml/2006/spreadsheetDrawing" xmlns:a="http://schemas.openxmlformats.org/drawingml/2006/main">
  <xdr:oneCellAnchor>
    <xdr:from>
      <xdr:col>4</xdr:col>
      <xdr:colOff>1158875</xdr:colOff>
      <xdr:row>3</xdr:row>
      <xdr:rowOff>95250</xdr:rowOff>
    </xdr:from>
    <xdr:ext cx="184731" cy="264560"/>
    <xdr:sp macro="" textlink="">
      <xdr:nvSpPr>
        <xdr:cNvPr id="2" name="TextBox 1" hidden="1"/>
        <xdr:cNvSpPr txBox="1"/>
      </xdr:nvSpPr>
      <xdr:spPr>
        <a:xfrm>
          <a:off x="4206875"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editAs="oneCell">
    <xdr:from>
      <xdr:col>7</xdr:col>
      <xdr:colOff>833004</xdr:colOff>
      <xdr:row>1</xdr:row>
      <xdr:rowOff>147204</xdr:rowOff>
    </xdr:from>
    <xdr:to>
      <xdr:col>9</xdr:col>
      <xdr:colOff>1776246</xdr:colOff>
      <xdr:row>6</xdr:row>
      <xdr:rowOff>50511</xdr:rowOff>
    </xdr:to>
    <xdr:pic>
      <xdr:nvPicPr>
        <xdr:cNvPr id="3" name="Picture 2"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6614679" y="337704"/>
          <a:ext cx="2572017" cy="1046307"/>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1</xdr:col>
          <xdr:colOff>1000125</xdr:colOff>
          <xdr:row>7</xdr:row>
          <xdr:rowOff>19050</xdr:rowOff>
        </xdr:to>
        <xdr:sp macro="" textlink="">
          <xdr:nvSpPr>
            <xdr:cNvPr id="34817" name="Option Button 1" hidden="1">
              <a:extLst>
                <a:ext uri="{63B3BB69-23CF-44E3-9099-C40C66FF867C}">
                  <a14:compatExt spid="_x0000_s348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Rederence Costs</a:t>
              </a:r>
              <a:endParaRPr lang="en-GB"/>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19050</xdr:rowOff>
        </xdr:from>
        <xdr:to>
          <xdr:col>1</xdr:col>
          <xdr:colOff>1000125</xdr:colOff>
          <xdr:row>8</xdr:row>
          <xdr:rowOff>38100</xdr:rowOff>
        </xdr:to>
        <xdr:sp macro="" textlink="">
          <xdr:nvSpPr>
            <xdr:cNvPr id="34818" name="Option Button 2" hidden="1">
              <a:extLst>
                <a:ext uri="{63B3BB69-23CF-44E3-9099-C40C66FF867C}">
                  <a14:compatExt spid="_x0000_s348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Financial Returns</a:t>
              </a:r>
              <a:endParaRPr lang="en-GB"/>
            </a:p>
          </xdr:txBody>
        </xdr:sp>
        <xdr:clientData/>
      </xdr:twoCellAnchor>
    </mc:Choice>
    <mc:Fallback/>
  </mc:AlternateContent>
</xdr:wsDr>
</file>

<file path=xl/drawings/drawing37.xml><?xml version="1.0" encoding="utf-8"?>
<xdr:wsDr xmlns:xdr="http://schemas.openxmlformats.org/drawingml/2006/spreadsheetDrawing" xmlns:a="http://schemas.openxmlformats.org/drawingml/2006/main">
  <xdr:oneCellAnchor>
    <xdr:from>
      <xdr:col>4</xdr:col>
      <xdr:colOff>1158875</xdr:colOff>
      <xdr:row>3</xdr:row>
      <xdr:rowOff>95250</xdr:rowOff>
    </xdr:from>
    <xdr:ext cx="184731" cy="264560"/>
    <xdr:sp macro="" textlink="">
      <xdr:nvSpPr>
        <xdr:cNvPr id="2" name="TextBox 1" hidden="1"/>
        <xdr:cNvSpPr txBox="1"/>
      </xdr:nvSpPr>
      <xdr:spPr>
        <a:xfrm>
          <a:off x="4206875"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editAs="oneCell">
    <xdr:from>
      <xdr:col>9</xdr:col>
      <xdr:colOff>1495158</xdr:colOff>
      <xdr:row>1</xdr:row>
      <xdr:rowOff>96693</xdr:rowOff>
    </xdr:from>
    <xdr:to>
      <xdr:col>11</xdr:col>
      <xdr:colOff>0</xdr:colOff>
      <xdr:row>6</xdr:row>
      <xdr:rowOff>0</xdr:rowOff>
    </xdr:to>
    <xdr:pic>
      <xdr:nvPicPr>
        <xdr:cNvPr id="3" name="Picture 2"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8905608" y="287193"/>
          <a:ext cx="2572017" cy="1046307"/>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1</xdr:col>
          <xdr:colOff>1000125</xdr:colOff>
          <xdr:row>7</xdr:row>
          <xdr:rowOff>19050</xdr:rowOff>
        </xdr:to>
        <xdr:sp macro="" textlink="">
          <xdr:nvSpPr>
            <xdr:cNvPr id="35841" name="Option Button 1" hidden="1">
              <a:extLst>
                <a:ext uri="{63B3BB69-23CF-44E3-9099-C40C66FF867C}">
                  <a14:compatExt spid="_x0000_s358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Rederence Costs</a:t>
              </a:r>
              <a:endParaRPr lang="en-GB"/>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19050</xdr:rowOff>
        </xdr:from>
        <xdr:to>
          <xdr:col>1</xdr:col>
          <xdr:colOff>1000125</xdr:colOff>
          <xdr:row>8</xdr:row>
          <xdr:rowOff>38100</xdr:rowOff>
        </xdr:to>
        <xdr:sp macro="" textlink="">
          <xdr:nvSpPr>
            <xdr:cNvPr id="35842" name="Option Button 2" hidden="1">
              <a:extLst>
                <a:ext uri="{63B3BB69-23CF-44E3-9099-C40C66FF867C}">
                  <a14:compatExt spid="_x0000_s358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Financial Returns</a:t>
              </a:r>
              <a:endParaRPr lang="en-GB"/>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781050</xdr:colOff>
          <xdr:row>11</xdr:row>
          <xdr:rowOff>19050</xdr:rowOff>
        </xdr:to>
        <xdr:sp macro="" textlink="">
          <xdr:nvSpPr>
            <xdr:cNvPr id="35843" name="Check Box 3" hidden="1">
              <a:extLst>
                <a:ext uri="{63B3BB69-23CF-44E3-9099-C40C66FF867C}">
                  <a14:compatExt spid="_x0000_s358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Check Box 3</a:t>
              </a:r>
              <a:endParaRPr lang="en-GB"/>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1</xdr:col>
          <xdr:colOff>781050</xdr:colOff>
          <xdr:row>12</xdr:row>
          <xdr:rowOff>38100</xdr:rowOff>
        </xdr:to>
        <xdr:sp macro="" textlink="">
          <xdr:nvSpPr>
            <xdr:cNvPr id="35844" name="Check Box 4" hidden="1">
              <a:extLst>
                <a:ext uri="{63B3BB69-23CF-44E3-9099-C40C66FF867C}">
                  <a14:compatExt spid="_x0000_s358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Check Box 4</a:t>
              </a:r>
              <a:endParaRPr lang="en-GB"/>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38100</xdr:rowOff>
        </xdr:from>
        <xdr:to>
          <xdr:col>1</xdr:col>
          <xdr:colOff>781050</xdr:colOff>
          <xdr:row>13</xdr:row>
          <xdr:rowOff>57150</xdr:rowOff>
        </xdr:to>
        <xdr:sp macro="" textlink="">
          <xdr:nvSpPr>
            <xdr:cNvPr id="35845" name="Check Box 5" hidden="1">
              <a:extLst>
                <a:ext uri="{63B3BB69-23CF-44E3-9099-C40C66FF867C}">
                  <a14:compatExt spid="_x0000_s358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Check Box 5</a:t>
              </a:r>
              <a:endParaRPr lang="en-GB"/>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781050</xdr:colOff>
          <xdr:row>11</xdr:row>
          <xdr:rowOff>19050</xdr:rowOff>
        </xdr:to>
        <xdr:sp macro="" textlink="">
          <xdr:nvSpPr>
            <xdr:cNvPr id="35846" name="Check Box 6" hidden="1">
              <a:extLst>
                <a:ext uri="{63B3BB69-23CF-44E3-9099-C40C66FF867C}">
                  <a14:compatExt spid="_x0000_s358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Check Box 6</a:t>
              </a:r>
              <a:endParaRPr lang="en-GB"/>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2</xdr:col>
          <xdr:colOff>781050</xdr:colOff>
          <xdr:row>12</xdr:row>
          <xdr:rowOff>38100</xdr:rowOff>
        </xdr:to>
        <xdr:sp macro="" textlink="">
          <xdr:nvSpPr>
            <xdr:cNvPr id="35847" name="Check Box 7" hidden="1">
              <a:extLst>
                <a:ext uri="{63B3BB69-23CF-44E3-9099-C40C66FF867C}">
                  <a14:compatExt spid="_x0000_s358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Check Box 7</a:t>
              </a:r>
              <a:endParaRPr lang="en-GB"/>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38100</xdr:rowOff>
        </xdr:from>
        <xdr:to>
          <xdr:col>2</xdr:col>
          <xdr:colOff>781050</xdr:colOff>
          <xdr:row>13</xdr:row>
          <xdr:rowOff>57150</xdr:rowOff>
        </xdr:to>
        <xdr:sp macro="" textlink="">
          <xdr:nvSpPr>
            <xdr:cNvPr id="35848" name="Check Box 8" hidden="1">
              <a:extLst>
                <a:ext uri="{63B3BB69-23CF-44E3-9099-C40C66FF867C}">
                  <a14:compatExt spid="_x0000_s358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Check Box 8</a:t>
              </a:r>
              <a:endParaRPr lang="en-GB"/>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171450</xdr:rowOff>
        </xdr:from>
        <xdr:to>
          <xdr:col>7</xdr:col>
          <xdr:colOff>0</xdr:colOff>
          <xdr:row>12</xdr:row>
          <xdr:rowOff>0</xdr:rowOff>
        </xdr:to>
        <xdr:sp macro="" textlink="">
          <xdr:nvSpPr>
            <xdr:cNvPr id="35849" name="Scroll Bar 9" hidden="1">
              <a:extLst>
                <a:ext uri="{63B3BB69-23CF-44E3-9099-C40C66FF867C}">
                  <a14:compatExt spid="_x0000_s35849"/>
                </a:ext>
              </a:extLst>
            </xdr:cNvPr>
            <xdr:cNvSpPr/>
          </xdr:nvSpPr>
          <xdr:spPr>
            <a:xfrm>
              <a:off x="0" y="0"/>
              <a:ext cx="0" cy="0"/>
            </a:xfrm>
            <a:prstGeom prst="rect">
              <a:avLst/>
            </a:prstGeom>
          </xdr:spPr>
        </xdr:sp>
        <xdr:clientData/>
      </xdr:twoCellAnchor>
    </mc:Choice>
    <mc:Fallback/>
  </mc:AlternateContent>
</xdr:wsDr>
</file>

<file path=xl/drawings/drawing38.xml><?xml version="1.0" encoding="utf-8"?>
<xdr:wsDr xmlns:xdr="http://schemas.openxmlformats.org/drawingml/2006/spreadsheetDrawing" xmlns:a="http://schemas.openxmlformats.org/drawingml/2006/main">
  <xdr:oneCellAnchor>
    <xdr:from>
      <xdr:col>4</xdr:col>
      <xdr:colOff>1158875</xdr:colOff>
      <xdr:row>3</xdr:row>
      <xdr:rowOff>95250</xdr:rowOff>
    </xdr:from>
    <xdr:ext cx="184731" cy="264560"/>
    <xdr:sp macro="" textlink="">
      <xdr:nvSpPr>
        <xdr:cNvPr id="3" name="TextBox 2"/>
        <xdr:cNvSpPr txBox="1"/>
      </xdr:nvSpPr>
      <xdr:spPr>
        <a:xfrm>
          <a:off x="10360025"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xdr:from>
      <xdr:col>2</xdr:col>
      <xdr:colOff>38100</xdr:colOff>
      <xdr:row>16</xdr:row>
      <xdr:rowOff>180975</xdr:rowOff>
    </xdr:from>
    <xdr:to>
      <xdr:col>7</xdr:col>
      <xdr:colOff>857250</xdr:colOff>
      <xdr:row>36</xdr:row>
      <xdr:rowOff>66675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1111250</xdr:colOff>
      <xdr:row>1</xdr:row>
      <xdr:rowOff>158750</xdr:rowOff>
    </xdr:from>
    <xdr:to>
      <xdr:col>10</xdr:col>
      <xdr:colOff>941222</xdr:colOff>
      <xdr:row>5</xdr:row>
      <xdr:rowOff>260350</xdr:rowOff>
    </xdr:to>
    <xdr:pic>
      <xdr:nvPicPr>
        <xdr:cNvPr id="7" name="Picture 6" descr="http://www.york.ac.uk/che/staff/staff.ltd/CHE%20Logo%20High%20Resolution.jpg"/>
        <xdr:cNvPicPr>
          <a:picLocks noChangeAspect="1" noChangeArrowheads="1"/>
        </xdr:cNvPicPr>
      </xdr:nvPicPr>
      <xdr:blipFill>
        <a:blip xmlns:r="http://schemas.openxmlformats.org/officeDocument/2006/relationships" r:embed="rId2" cstate="print"/>
        <a:srcRect/>
        <a:stretch>
          <a:fillRect/>
        </a:stretch>
      </xdr:blipFill>
      <xdr:spPr bwMode="auto">
        <a:xfrm>
          <a:off x="10845800" y="349250"/>
          <a:ext cx="2573172" cy="10541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639185</xdr:colOff>
      <xdr:row>1</xdr:row>
      <xdr:rowOff>174626</xdr:rowOff>
    </xdr:from>
    <xdr:to>
      <xdr:col>16</xdr:col>
      <xdr:colOff>174625</xdr:colOff>
      <xdr:row>7</xdr:row>
      <xdr:rowOff>158750</xdr:rowOff>
    </xdr:to>
    <xdr:pic>
      <xdr:nvPicPr>
        <xdr:cNvPr id="2" name="Picture 1"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13212185" y="365126"/>
          <a:ext cx="5853690" cy="2428874"/>
        </a:xfrm>
        <a:prstGeom prst="rect">
          <a:avLst/>
        </a:prstGeom>
        <a:noFill/>
      </xdr:spPr>
    </xdr:pic>
    <xdr:clientData/>
  </xdr:twoCellAnchor>
  <xdr:oneCellAnchor>
    <xdr:from>
      <xdr:col>6</xdr:col>
      <xdr:colOff>1158875</xdr:colOff>
      <xdr:row>3</xdr:row>
      <xdr:rowOff>95250</xdr:rowOff>
    </xdr:from>
    <xdr:ext cx="184731" cy="264560"/>
    <xdr:sp macro="" textlink="">
      <xdr:nvSpPr>
        <xdr:cNvPr id="3" name="TextBox 2"/>
        <xdr:cNvSpPr txBox="1"/>
      </xdr:nvSpPr>
      <xdr:spPr>
        <a:xfrm>
          <a:off x="9474200"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oneCellAnchor>
    <xdr:from>
      <xdr:col>6</xdr:col>
      <xdr:colOff>1158875</xdr:colOff>
      <xdr:row>3</xdr:row>
      <xdr:rowOff>95250</xdr:rowOff>
    </xdr:from>
    <xdr:ext cx="184731" cy="264560"/>
    <xdr:sp macro="" textlink="">
      <xdr:nvSpPr>
        <xdr:cNvPr id="4" name="TextBox 3"/>
        <xdr:cNvSpPr txBox="1"/>
      </xdr:nvSpPr>
      <xdr:spPr>
        <a:xfrm>
          <a:off x="8778875"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8</xdr:col>
      <xdr:colOff>1226560</xdr:colOff>
      <xdr:row>1</xdr:row>
      <xdr:rowOff>174626</xdr:rowOff>
    </xdr:from>
    <xdr:to>
      <xdr:col>16</xdr:col>
      <xdr:colOff>158750</xdr:colOff>
      <xdr:row>8</xdr:row>
      <xdr:rowOff>158750</xdr:rowOff>
    </xdr:to>
    <xdr:pic>
      <xdr:nvPicPr>
        <xdr:cNvPr id="2" name="Picture 1"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13837660" y="365126"/>
          <a:ext cx="5879090" cy="2435224"/>
        </a:xfrm>
        <a:prstGeom prst="rect">
          <a:avLst/>
        </a:prstGeom>
        <a:noFill/>
      </xdr:spPr>
    </xdr:pic>
    <xdr:clientData/>
  </xdr:twoCellAnchor>
  <xdr:oneCellAnchor>
    <xdr:from>
      <xdr:col>6</xdr:col>
      <xdr:colOff>1158875</xdr:colOff>
      <xdr:row>3</xdr:row>
      <xdr:rowOff>95250</xdr:rowOff>
    </xdr:from>
    <xdr:ext cx="184731" cy="264560"/>
    <xdr:sp macro="" textlink="">
      <xdr:nvSpPr>
        <xdr:cNvPr id="3" name="TextBox 2"/>
        <xdr:cNvSpPr txBox="1"/>
      </xdr:nvSpPr>
      <xdr:spPr>
        <a:xfrm>
          <a:off x="9474200"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8</xdr:col>
      <xdr:colOff>1226560</xdr:colOff>
      <xdr:row>1</xdr:row>
      <xdr:rowOff>174626</xdr:rowOff>
    </xdr:from>
    <xdr:to>
      <xdr:col>16</xdr:col>
      <xdr:colOff>285750</xdr:colOff>
      <xdr:row>7</xdr:row>
      <xdr:rowOff>142875</xdr:rowOff>
    </xdr:to>
    <xdr:pic>
      <xdr:nvPicPr>
        <xdr:cNvPr id="2" name="Picture 1"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13831310" y="365126"/>
          <a:ext cx="5853690" cy="2428874"/>
        </a:xfrm>
        <a:prstGeom prst="rect">
          <a:avLst/>
        </a:prstGeom>
        <a:noFill/>
      </xdr:spPr>
    </xdr:pic>
    <xdr:clientData/>
  </xdr:twoCellAnchor>
  <xdr:oneCellAnchor>
    <xdr:from>
      <xdr:col>6</xdr:col>
      <xdr:colOff>1158875</xdr:colOff>
      <xdr:row>3</xdr:row>
      <xdr:rowOff>95250</xdr:rowOff>
    </xdr:from>
    <xdr:ext cx="184731" cy="264560"/>
    <xdr:sp macro="" textlink="">
      <xdr:nvSpPr>
        <xdr:cNvPr id="3" name="TextBox 2"/>
        <xdr:cNvSpPr txBox="1"/>
      </xdr:nvSpPr>
      <xdr:spPr>
        <a:xfrm>
          <a:off x="9461500"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10</xdr:col>
      <xdr:colOff>504825</xdr:colOff>
      <xdr:row>1</xdr:row>
      <xdr:rowOff>85725</xdr:rowOff>
    </xdr:from>
    <xdr:to>
      <xdr:col>15</xdr:col>
      <xdr:colOff>4597</xdr:colOff>
      <xdr:row>4</xdr:row>
      <xdr:rowOff>333375</xdr:rowOff>
    </xdr:to>
    <xdr:pic>
      <xdr:nvPicPr>
        <xdr:cNvPr id="2" name="Picture 1"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8934450" y="276225"/>
          <a:ext cx="2547772" cy="1066800"/>
        </a:xfrm>
        <a:prstGeom prst="rect">
          <a:avLst/>
        </a:prstGeom>
        <a:noFill/>
      </xdr:spPr>
    </xdr:pic>
    <xdr:clientData/>
  </xdr:twoCellAnchor>
  <xdr:oneCellAnchor>
    <xdr:from>
      <xdr:col>8</xdr:col>
      <xdr:colOff>438150</xdr:colOff>
      <xdr:row>19</xdr:row>
      <xdr:rowOff>19050</xdr:rowOff>
    </xdr:from>
    <xdr:ext cx="184731" cy="264560"/>
    <xdr:sp macro="" textlink="">
      <xdr:nvSpPr>
        <xdr:cNvPr id="3" name="TextBox 2"/>
        <xdr:cNvSpPr txBox="1"/>
      </xdr:nvSpPr>
      <xdr:spPr>
        <a:xfrm>
          <a:off x="531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9</xdr:col>
      <xdr:colOff>1158875</xdr:colOff>
      <xdr:row>3</xdr:row>
      <xdr:rowOff>95250</xdr:rowOff>
    </xdr:from>
    <xdr:ext cx="184731" cy="264560"/>
    <xdr:sp macro="" textlink="">
      <xdr:nvSpPr>
        <xdr:cNvPr id="3" name="TextBox 2"/>
        <xdr:cNvSpPr txBox="1"/>
      </xdr:nvSpPr>
      <xdr:spPr>
        <a:xfrm>
          <a:off x="12093575"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editAs="oneCell">
    <xdr:from>
      <xdr:col>6</xdr:col>
      <xdr:colOff>1552575</xdr:colOff>
      <xdr:row>1</xdr:row>
      <xdr:rowOff>28575</xdr:rowOff>
    </xdr:from>
    <xdr:to>
      <xdr:col>7</xdr:col>
      <xdr:colOff>899947</xdr:colOff>
      <xdr:row>4</xdr:row>
      <xdr:rowOff>142875</xdr:rowOff>
    </xdr:to>
    <xdr:pic>
      <xdr:nvPicPr>
        <xdr:cNvPr id="5" name="Picture 4" descr="http://www.york.ac.uk/che/staff/staff.ltd/CHE%20Logo%20High%20Resolution.jpg"/>
        <xdr:cNvPicPr>
          <a:picLocks noChangeAspect="1" noChangeArrowheads="1"/>
        </xdr:cNvPicPr>
      </xdr:nvPicPr>
      <xdr:blipFill>
        <a:blip xmlns:r="http://schemas.openxmlformats.org/officeDocument/2006/relationships" r:embed="rId1" cstate="print"/>
        <a:srcRect/>
        <a:stretch>
          <a:fillRect/>
        </a:stretch>
      </xdr:blipFill>
      <xdr:spPr bwMode="auto">
        <a:xfrm>
          <a:off x="7305675" y="219075"/>
          <a:ext cx="2547772" cy="1066800"/>
        </a:xfrm>
        <a:prstGeom prst="rect">
          <a:avLst/>
        </a:prstGeom>
        <a:noFill/>
      </xdr:spPr>
    </xdr:pic>
    <xdr:clientData/>
  </xdr:twoCellAnchor>
  <xdr:oneCellAnchor>
    <xdr:from>
      <xdr:col>3</xdr:col>
      <xdr:colOff>485775</xdr:colOff>
      <xdr:row>5</xdr:row>
      <xdr:rowOff>171450</xdr:rowOff>
    </xdr:from>
    <xdr:ext cx="3771900" cy="952500"/>
    <xdr:sp macro="" textlink="">
      <xdr:nvSpPr>
        <xdr:cNvPr id="7" name="TextBox 6"/>
        <xdr:cNvSpPr txBox="1"/>
      </xdr:nvSpPr>
      <xdr:spPr>
        <a:xfrm>
          <a:off x="4943475" y="1543050"/>
          <a:ext cx="3771900" cy="952500"/>
        </a:xfrm>
        <a:prstGeom prst="rect">
          <a:avLst/>
        </a:prstGeom>
        <a:noFill/>
        <a:ln w="2540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900" b="0">
              <a:latin typeface="Arial Rounded MT Bold" pitchFamily="34" charset="0"/>
            </a:rPr>
            <a:t>iView</a:t>
          </a:r>
          <a:r>
            <a:rPr lang="en-GB" sz="900" b="0" baseline="0">
              <a:latin typeface="Arial Rounded MT Bold" pitchFamily="34" charset="0"/>
            </a:rPr>
            <a:t> summarises data from the Electronic Staff Record about the number of FTEs and pay rates, by staff group. </a:t>
          </a:r>
          <a:r>
            <a:rPr lang="en-GB" sz="900" b="0">
              <a:latin typeface="Arial Rounded MT Bold" pitchFamily="34" charset="0"/>
            </a:rPr>
            <a:t>We</a:t>
          </a:r>
          <a:r>
            <a:rPr lang="en-GB" sz="900" b="0" baseline="0">
              <a:latin typeface="Arial Rounded MT Bold" pitchFamily="34" charset="0"/>
            </a:rPr>
            <a:t> use this information to calculate the so-called 'direct' measure of NHS labour input. These data are used to construct our 'Mixed index' of total input.</a:t>
          </a:r>
        </a:p>
        <a:p>
          <a:r>
            <a:rPr lang="en-GB" sz="900" b="0" baseline="0">
              <a:latin typeface="Arial Rounded MT Bold" pitchFamily="34" charset="0"/>
            </a:rPr>
            <a:t>More on this in the National Productivity report, page 16.</a:t>
          </a:r>
          <a:endParaRPr lang="en-GB" sz="900" b="0">
            <a:latin typeface="Arial Rounded MT Bold" pitchFamily="34" charset="0"/>
          </a:endParaRPr>
        </a:p>
      </xdr:txBody>
    </xdr:sp>
    <xdr:clientData/>
  </xdr:oneCellAnchor>
  <xdr:twoCellAnchor editAs="oneCell">
    <xdr:from>
      <xdr:col>3</xdr:col>
      <xdr:colOff>342900</xdr:colOff>
      <xdr:row>5</xdr:row>
      <xdr:rowOff>9525</xdr:rowOff>
    </xdr:from>
    <xdr:to>
      <xdr:col>3</xdr:col>
      <xdr:colOff>619125</xdr:colOff>
      <xdr:row>6</xdr:row>
      <xdr:rowOff>57150</xdr:rowOff>
    </xdr:to>
    <xdr:pic>
      <xdr:nvPicPr>
        <xdr:cNvPr id="8" name="Picture 11" descr="C:\Documents and Settings\kg716\Local Settings\Temporary Internet Files\Content.IE5\OYX2V2G0\MC900442164[1].png"/>
        <xdr:cNvPicPr>
          <a:picLocks noChangeAspect="1" noChangeArrowheads="1"/>
        </xdr:cNvPicPr>
      </xdr:nvPicPr>
      <xdr:blipFill>
        <a:blip xmlns:r="http://schemas.openxmlformats.org/officeDocument/2006/relationships" r:embed="rId2" cstate="print"/>
        <a:srcRect/>
        <a:stretch>
          <a:fillRect/>
        </a:stretch>
      </xdr:blipFill>
      <xdr:spPr bwMode="auto">
        <a:xfrm flipH="1">
          <a:off x="4800600" y="1381125"/>
          <a:ext cx="276225" cy="276225"/>
        </a:xfrm>
        <a:prstGeom prst="rect">
          <a:avLst/>
        </a:prstGeom>
        <a:noFill/>
      </xdr:spPr>
    </xdr:pic>
    <xdr:clientData/>
  </xdr:twoCellAnchor>
  <xdr:twoCellAnchor>
    <xdr:from>
      <xdr:col>0</xdr:col>
      <xdr:colOff>600076</xdr:colOff>
      <xdr:row>25</xdr:row>
      <xdr:rowOff>152399</xdr:rowOff>
    </xdr:from>
    <xdr:to>
      <xdr:col>4</xdr:col>
      <xdr:colOff>781050</xdr:colOff>
      <xdr:row>43</xdr:row>
      <xdr:rowOff>114300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5</xdr:col>
      <xdr:colOff>628650</xdr:colOff>
      <xdr:row>25</xdr:row>
      <xdr:rowOff>114300</xdr:rowOff>
    </xdr:from>
    <xdr:ext cx="3771900" cy="666750"/>
    <xdr:sp macro="" textlink="">
      <xdr:nvSpPr>
        <xdr:cNvPr id="10" name="TextBox 9"/>
        <xdr:cNvSpPr txBox="1"/>
      </xdr:nvSpPr>
      <xdr:spPr>
        <a:xfrm>
          <a:off x="8629650" y="6305550"/>
          <a:ext cx="3771900" cy="666750"/>
        </a:xfrm>
        <a:prstGeom prst="rect">
          <a:avLst/>
        </a:prstGeom>
        <a:noFill/>
        <a:ln w="2540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900" b="0">
              <a:latin typeface="Arial Rounded MT Bold" pitchFamily="34" charset="0"/>
            </a:rPr>
            <a:t>iView</a:t>
          </a:r>
          <a:r>
            <a:rPr lang="en-GB" sz="900" b="0" baseline="0">
              <a:latin typeface="Arial Rounded MT Bold" pitchFamily="34" charset="0"/>
            </a:rPr>
            <a:t> data is available for years 2007/08 - 2010/11. For previous years we use FTE data from Workforce census.</a:t>
          </a:r>
        </a:p>
        <a:p>
          <a:r>
            <a:rPr lang="en-GB" sz="900" b="0" baseline="0">
              <a:latin typeface="Arial Rounded MT Bold" pitchFamily="34" charset="0"/>
            </a:rPr>
            <a:t>Due to differences in categories both series are not directly comparable. </a:t>
          </a:r>
          <a:endParaRPr lang="en-GB" sz="900" b="0">
            <a:latin typeface="Arial Rounded MT Bold" pitchFamily="34" charset="0"/>
          </a:endParaRPr>
        </a:p>
      </xdr:txBody>
    </xdr:sp>
    <xdr:clientData/>
  </xdr:oneCellAnchor>
  <xdr:twoCellAnchor editAs="oneCell">
    <xdr:from>
      <xdr:col>5</xdr:col>
      <xdr:colOff>485775</xdr:colOff>
      <xdr:row>24</xdr:row>
      <xdr:rowOff>209550</xdr:rowOff>
    </xdr:from>
    <xdr:to>
      <xdr:col>6</xdr:col>
      <xdr:colOff>85725</xdr:colOff>
      <xdr:row>26</xdr:row>
      <xdr:rowOff>28575</xdr:rowOff>
    </xdr:to>
    <xdr:pic>
      <xdr:nvPicPr>
        <xdr:cNvPr id="11" name="Picture 11" descr="C:\Documents and Settings\kg716\Local Settings\Temporary Internet Files\Content.IE5\OYX2V2G0\MC900442164[1].png"/>
        <xdr:cNvPicPr>
          <a:picLocks noChangeAspect="1" noChangeArrowheads="1"/>
        </xdr:cNvPicPr>
      </xdr:nvPicPr>
      <xdr:blipFill>
        <a:blip xmlns:r="http://schemas.openxmlformats.org/officeDocument/2006/relationships" r:embed="rId2" cstate="print"/>
        <a:srcRect/>
        <a:stretch>
          <a:fillRect/>
        </a:stretch>
      </xdr:blipFill>
      <xdr:spPr bwMode="auto">
        <a:xfrm flipH="1">
          <a:off x="8486775" y="6172200"/>
          <a:ext cx="276225" cy="27622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oneCellAnchor>
    <xdr:from>
      <xdr:col>4</xdr:col>
      <xdr:colOff>1158875</xdr:colOff>
      <xdr:row>3</xdr:row>
      <xdr:rowOff>95250</xdr:rowOff>
    </xdr:from>
    <xdr:ext cx="184731" cy="264560"/>
    <xdr:sp macro="" textlink="">
      <xdr:nvSpPr>
        <xdr:cNvPr id="3" name="TextBox 2"/>
        <xdr:cNvSpPr txBox="1"/>
      </xdr:nvSpPr>
      <xdr:spPr>
        <a:xfrm>
          <a:off x="12846050" y="6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twoCellAnchor>
    <xdr:from>
      <xdr:col>0</xdr:col>
      <xdr:colOff>555625</xdr:colOff>
      <xdr:row>22</xdr:row>
      <xdr:rowOff>28575</xdr:rowOff>
    </xdr:from>
    <xdr:to>
      <xdr:col>3</xdr:col>
      <xdr:colOff>104775</xdr:colOff>
      <xdr:row>36</xdr:row>
      <xdr:rowOff>76200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282799</xdr:colOff>
      <xdr:row>1</xdr:row>
      <xdr:rowOff>152401</xdr:rowOff>
    </xdr:from>
    <xdr:to>
      <xdr:col>8</xdr:col>
      <xdr:colOff>277871</xdr:colOff>
      <xdr:row>6</xdr:row>
      <xdr:rowOff>1</xdr:rowOff>
    </xdr:to>
    <xdr:pic>
      <xdr:nvPicPr>
        <xdr:cNvPr id="5" name="Picture 4" descr="http://www.york.ac.uk/che/staff/staff.ltd/CHE%20Logo%20High%20Resolution.jpg"/>
        <xdr:cNvPicPr>
          <a:picLocks noChangeAspect="1" noChangeArrowheads="1"/>
        </xdr:cNvPicPr>
      </xdr:nvPicPr>
      <xdr:blipFill>
        <a:blip xmlns:r="http://schemas.openxmlformats.org/officeDocument/2006/relationships" r:embed="rId2" cstate="print"/>
        <a:srcRect/>
        <a:stretch>
          <a:fillRect/>
        </a:stretch>
      </xdr:blipFill>
      <xdr:spPr bwMode="auto">
        <a:xfrm>
          <a:off x="9064849" y="342901"/>
          <a:ext cx="2557297" cy="1066800"/>
        </a:xfrm>
        <a:prstGeom prst="rect">
          <a:avLst/>
        </a:prstGeom>
        <a:noFill/>
      </xdr:spPr>
    </xdr:pic>
    <xdr:clientData/>
  </xdr:twoCellAnchor>
  <xdr:oneCellAnchor>
    <xdr:from>
      <xdr:col>3</xdr:col>
      <xdr:colOff>342898</xdr:colOff>
      <xdr:row>21</xdr:row>
      <xdr:rowOff>28573</xdr:rowOff>
    </xdr:from>
    <xdr:ext cx="3943352" cy="1485901"/>
    <xdr:sp macro="" textlink="">
      <xdr:nvSpPr>
        <xdr:cNvPr id="6" name="TextBox 5"/>
        <xdr:cNvSpPr txBox="1"/>
      </xdr:nvSpPr>
      <xdr:spPr>
        <a:xfrm>
          <a:off x="5838823" y="4829173"/>
          <a:ext cx="3943352" cy="1485901"/>
        </a:xfrm>
        <a:prstGeom prst="rect">
          <a:avLst/>
        </a:prstGeom>
        <a:noFill/>
        <a:ln w="2540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t>We use</a:t>
          </a:r>
          <a:r>
            <a:rPr lang="en-GB" sz="1100" baseline="0"/>
            <a:t> around 500 different staff groups to construct overall NHS labour input. We summarise this information by Major Staff Groups. </a:t>
          </a:r>
          <a:endParaRPr lang="en-GB"/>
        </a:p>
        <a:p>
          <a:r>
            <a:rPr lang="en-GB" sz="1100" baseline="0"/>
            <a:t>We differentiate medical staff by the last number of their occupational code, as defined in the occupational codes manual. The manual can be found on the following website: </a:t>
          </a:r>
          <a:r>
            <a:rPr lang="en-GB">
              <a:hlinkClick xmlns:r="http://schemas.openxmlformats.org/officeDocument/2006/relationships" r:id=""/>
            </a:rPr>
            <a:t>http://www.ic.nhs.uk/article/2268/NHS-Occupation-Codes</a:t>
          </a:r>
          <a:endParaRPr lang="en-GB" sz="1100"/>
        </a:p>
      </xdr:txBody>
    </xdr:sp>
    <xdr:clientData/>
  </xdr:oneCellAnchor>
  <xdr:twoCellAnchor editAs="oneCell">
    <xdr:from>
      <xdr:col>3</xdr:col>
      <xdr:colOff>200025</xdr:colOff>
      <xdr:row>20</xdr:row>
      <xdr:rowOff>85724</xdr:rowOff>
    </xdr:from>
    <xdr:to>
      <xdr:col>3</xdr:col>
      <xdr:colOff>476250</xdr:colOff>
      <xdr:row>21</xdr:row>
      <xdr:rowOff>171449</xdr:rowOff>
    </xdr:to>
    <xdr:pic>
      <xdr:nvPicPr>
        <xdr:cNvPr id="23563" name="Picture 11" descr="C:\Documents and Settings\kg716\Local Settings\Temporary Internet Files\Content.IE5\OYX2V2G0\MC900442164[1].png"/>
        <xdr:cNvPicPr>
          <a:picLocks noChangeAspect="1" noChangeArrowheads="1"/>
        </xdr:cNvPicPr>
      </xdr:nvPicPr>
      <xdr:blipFill>
        <a:blip xmlns:r="http://schemas.openxmlformats.org/officeDocument/2006/relationships" r:embed="rId3" cstate="print"/>
        <a:srcRect/>
        <a:stretch>
          <a:fillRect/>
        </a:stretch>
      </xdr:blipFill>
      <xdr:spPr bwMode="auto">
        <a:xfrm flipH="1">
          <a:off x="5695950" y="5486399"/>
          <a:ext cx="276225" cy="2762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FS\StaffFS\kg716\w2k\Input%20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Es"/>
      <sheetName val="L spend"/>
      <sheetName val="M spend"/>
      <sheetName val="K spend"/>
      <sheetName val="total spend (2)"/>
      <sheetName val="total spend"/>
      <sheetName val="Sheet3"/>
    </sheetNames>
    <sheetDataSet>
      <sheetData sheetId="0"/>
      <sheetData sheetId="1">
        <row r="47">
          <cell r="E47" t="str">
            <v>2006/7</v>
          </cell>
          <cell r="F47" t="str">
            <v>2007/8</v>
          </cell>
          <cell r="G47" t="str">
            <v>2008/9</v>
          </cell>
          <cell r="H47" t="str">
            <v>2009/10</v>
          </cell>
          <cell r="I47" t="str">
            <v>2010/11</v>
          </cell>
        </row>
        <row r="52">
          <cell r="F52">
            <v>66054</v>
          </cell>
          <cell r="G52">
            <v>92667.776519999999</v>
          </cell>
          <cell r="H52">
            <v>113276.61309</v>
          </cell>
          <cell r="I52">
            <v>101122</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2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6.xml"/><Relationship Id="rId1" Type="http://schemas.openxmlformats.org/officeDocument/2006/relationships/printerSettings" Target="../printerSettings/printerSettings30.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york.ac.uk/media/che/documents/papers/researchpapers/CHERP87_NHS_productivity.pdf" TargetMode="External"/><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5.v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8.xml"/><Relationship Id="rId1" Type="http://schemas.openxmlformats.org/officeDocument/2006/relationships/printerSettings" Target="../printerSettings/printerSettings3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5.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0.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8.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9.xml"/><Relationship Id="rId1" Type="http://schemas.openxmlformats.org/officeDocument/2006/relationships/printerSettings" Target="../printerSettings/printerSettings49.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50.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5" Type="http://schemas.openxmlformats.org/officeDocument/2006/relationships/comments" Target="../comments3.xml"/><Relationship Id="rId4" Type="http://schemas.openxmlformats.org/officeDocument/2006/relationships/vmlDrawing" Target="../drawings/vmlDrawing8.vm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8" Type="http://schemas.openxmlformats.org/officeDocument/2006/relationships/hyperlink" Target="http://onlinelibrary.wiley.com/doi/10.1002/hec.2794/abstract" TargetMode="External"/><Relationship Id="rId3" Type="http://schemas.openxmlformats.org/officeDocument/2006/relationships/hyperlink" Target="http://www.ncbi.nlm.nih.gov/pubmed/17294495" TargetMode="External"/><Relationship Id="rId7" Type="http://schemas.openxmlformats.org/officeDocument/2006/relationships/hyperlink" Target="http://www.york.ac.uk/media/che/documents/papers/researchpapers/CHERP57_regional_variation_in_NHS_productivity.pdf" TargetMode="External"/><Relationship Id="rId12" Type="http://schemas.openxmlformats.org/officeDocument/2006/relationships/drawing" Target="../drawings/drawing35.xml"/><Relationship Id="rId2" Type="http://schemas.openxmlformats.org/officeDocument/2006/relationships/hyperlink" Target="http://www.york.ac.uk/media/che/documents/papers/researchpapers/rp6_Measuring_NHS_outputs_and_productivity.pdf" TargetMode="External"/><Relationship Id="rId1" Type="http://schemas.openxmlformats.org/officeDocument/2006/relationships/printerSettings" Target="../printerSettings/printerSettings57.bin"/><Relationship Id="rId6" Type="http://schemas.openxmlformats.org/officeDocument/2006/relationships/hyperlink" Target="http://www.york.ac.uk/media/che/documents/papers/researchpapers/rp47_NHS_input_and_productivity_growth_2003_4.pdf" TargetMode="External"/><Relationship Id="rId11" Type="http://schemas.openxmlformats.org/officeDocument/2006/relationships/printerSettings" Target="../printerSettings/printerSettings58.bin"/><Relationship Id="rId5" Type="http://schemas.openxmlformats.org/officeDocument/2006/relationships/hyperlink" Target="http://www.york.ac.uk/media/che/documents/papers/researchpapers/rp43_measuring_NHS_output_growth.pdf" TargetMode="External"/><Relationship Id="rId10" Type="http://schemas.openxmlformats.org/officeDocument/2006/relationships/hyperlink" Target="http://www.ncbi.nlm.nih.gov/pubmed/20979686" TargetMode="External"/><Relationship Id="rId4" Type="http://schemas.openxmlformats.org/officeDocument/2006/relationships/hyperlink" Target="http://ner.sagepub.com/content/200/1/105.2.refs" TargetMode="External"/><Relationship Id="rId9" Type="http://schemas.openxmlformats.org/officeDocument/2006/relationships/hyperlink" Target="http://www.york.ac.uk/media/che/documents/papers/researchpapers/CHERP76_Productivity_of_the_English_NHS.pdf" TargetMode="Externa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6.xml"/><Relationship Id="rId1" Type="http://schemas.openxmlformats.org/officeDocument/2006/relationships/printerSettings" Target="../printerSettings/printerSettings59.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2.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10.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37.xml"/><Relationship Id="rId1" Type="http://schemas.openxmlformats.org/officeDocument/2006/relationships/printerSettings" Target="../printerSettings/printerSettings60.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43.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4:E32"/>
  <sheetViews>
    <sheetView showGridLines="0" showRowColHeaders="0" zoomScaleNormal="100" workbookViewId="0">
      <selection activeCell="F3" sqref="F3"/>
    </sheetView>
  </sheetViews>
  <sheetFormatPr defaultRowHeight="15" x14ac:dyDescent="0.25"/>
  <sheetData>
    <row r="4" spans="1:5" ht="30" x14ac:dyDescent="0.4">
      <c r="B4" s="2" t="s">
        <v>547</v>
      </c>
    </row>
    <row r="5" spans="1:5" ht="30" x14ac:dyDescent="0.4">
      <c r="B5" s="2"/>
    </row>
    <row r="6" spans="1:5" ht="15.75" x14ac:dyDescent="0.25">
      <c r="B6" s="234" t="s">
        <v>551</v>
      </c>
    </row>
    <row r="8" spans="1:5" ht="15.75" x14ac:dyDescent="0.25">
      <c r="B8" s="234" t="s">
        <v>0</v>
      </c>
    </row>
    <row r="9" spans="1:5" ht="18" customHeight="1" x14ac:dyDescent="0.25">
      <c r="B9" s="336" t="s">
        <v>105</v>
      </c>
    </row>
    <row r="10" spans="1:5" ht="18" customHeight="1" x14ac:dyDescent="0.3">
      <c r="B10" s="337" t="s">
        <v>106</v>
      </c>
      <c r="C10" s="11"/>
      <c r="D10" s="11"/>
      <c r="E10" s="9"/>
    </row>
    <row r="11" spans="1:5" ht="18" customHeight="1" x14ac:dyDescent="0.35">
      <c r="A11" s="10"/>
      <c r="B11" s="279" t="s">
        <v>107</v>
      </c>
      <c r="C11" s="11"/>
      <c r="D11" s="11"/>
      <c r="E11" s="9"/>
    </row>
    <row r="12" spans="1:5" ht="18" customHeight="1" x14ac:dyDescent="0.35">
      <c r="A12" s="10"/>
      <c r="B12" s="279" t="s">
        <v>108</v>
      </c>
      <c r="C12" s="11"/>
      <c r="D12" s="11"/>
      <c r="E12" s="9"/>
    </row>
    <row r="13" spans="1:5" ht="18" customHeight="1" x14ac:dyDescent="0.35">
      <c r="A13" s="10"/>
      <c r="B13" s="279" t="s">
        <v>109</v>
      </c>
      <c r="C13" s="11"/>
      <c r="D13" s="11"/>
      <c r="E13" s="9"/>
    </row>
    <row r="14" spans="1:5" ht="23.25" x14ac:dyDescent="0.35">
      <c r="A14" s="10"/>
      <c r="B14" s="279" t="s">
        <v>110</v>
      </c>
      <c r="C14" s="11"/>
      <c r="D14" s="11"/>
      <c r="E14" s="9"/>
    </row>
    <row r="15" spans="1:5" ht="23.25" x14ac:dyDescent="0.35">
      <c r="A15" s="10"/>
      <c r="B15" s="338" t="s">
        <v>111</v>
      </c>
      <c r="C15" s="11"/>
      <c r="D15" s="11"/>
      <c r="E15" s="9"/>
    </row>
    <row r="16" spans="1:5" ht="23.25" x14ac:dyDescent="0.35">
      <c r="A16" s="10"/>
      <c r="B16" s="8"/>
      <c r="C16" s="8"/>
      <c r="D16" s="8"/>
    </row>
    <row r="17" spans="2:4" x14ac:dyDescent="0.25">
      <c r="B17" s="8"/>
      <c r="C17" s="8"/>
      <c r="D17" s="8"/>
    </row>
    <row r="18" spans="2:4" x14ac:dyDescent="0.25">
      <c r="B18" s="8"/>
    </row>
    <row r="19" spans="2:4" x14ac:dyDescent="0.25">
      <c r="B19" s="8"/>
    </row>
    <row r="32" spans="2:4" ht="44.25" x14ac:dyDescent="0.55000000000000004">
      <c r="B32" s="3"/>
    </row>
  </sheetData>
  <customSheetViews>
    <customSheetView guid="{9EA95E61-FCA5-4867-AEB4-B8C24058ACDD}" showGridLines="0" showRowCol="0">
      <selection activeCell="Q12" sqref="Q12"/>
      <pageMargins left="0.7" right="0.7" top="0.75" bottom="0.75" header="0.3" footer="0.3"/>
      <pageSetup paperSize="9" orientation="portrait" r:id="rId1"/>
    </customSheetView>
  </customSheetViews>
  <pageMargins left="0.70866141732283472" right="0.70866141732283472" top="0.74803149606299213" bottom="0.74803149606299213" header="0.31496062992125984" footer="0.31496062992125984"/>
  <pageSetup paperSize="9" scale="52" orientation="portrait" r:id="rId2"/>
  <headerFooter scaleWithDoc="0" alignWithMargins="0"/>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1:H90"/>
  <sheetViews>
    <sheetView showGridLines="0" showRowColHeaders="0" topLeftCell="A4" zoomScaleNormal="100" workbookViewId="0">
      <selection activeCell="F17" sqref="C17:F17"/>
    </sheetView>
  </sheetViews>
  <sheetFormatPr defaultRowHeight="15" x14ac:dyDescent="0.25"/>
  <cols>
    <col min="2" max="2" width="56.85546875" customWidth="1"/>
    <col min="3" max="6" width="16.42578125" customWidth="1"/>
    <col min="7" max="7" width="14.7109375" customWidth="1"/>
    <col min="8" max="8" width="23.7109375" bestFit="1" customWidth="1"/>
  </cols>
  <sheetData>
    <row r="1" spans="2:7" x14ac:dyDescent="0.25">
      <c r="B1" s="465" t="s">
        <v>441</v>
      </c>
    </row>
    <row r="4" spans="2:7" ht="30" x14ac:dyDescent="0.4">
      <c r="B4" s="2" t="s">
        <v>386</v>
      </c>
    </row>
    <row r="5" spans="2:7" ht="18.600000000000001" customHeight="1" x14ac:dyDescent="0.25">
      <c r="B5" s="280" t="s">
        <v>399</v>
      </c>
    </row>
    <row r="6" spans="2:7" ht="18.600000000000001" customHeight="1" x14ac:dyDescent="0.3">
      <c r="B6" s="279"/>
      <c r="C6" s="11"/>
    </row>
    <row r="7" spans="2:7" ht="18.600000000000001" customHeight="1" x14ac:dyDescent="0.3">
      <c r="B7" s="280" t="s">
        <v>403</v>
      </c>
      <c r="C7" s="11"/>
    </row>
    <row r="8" spans="2:7" ht="18.600000000000001" customHeight="1" x14ac:dyDescent="0.3">
      <c r="B8" s="279" t="s">
        <v>400</v>
      </c>
      <c r="C8" s="11"/>
    </row>
    <row r="9" spans="2:7" ht="18.600000000000001" customHeight="1" x14ac:dyDescent="0.3">
      <c r="B9" s="283" t="s">
        <v>2</v>
      </c>
      <c r="C9" s="11"/>
    </row>
    <row r="10" spans="2:7" ht="18.600000000000001" customHeight="1" x14ac:dyDescent="0.25">
      <c r="B10" s="281"/>
    </row>
    <row r="11" spans="2:7" ht="18.600000000000001" customHeight="1" x14ac:dyDescent="0.25">
      <c r="B11" s="281"/>
    </row>
    <row r="12" spans="2:7" ht="18.600000000000001" customHeight="1" x14ac:dyDescent="0.3">
      <c r="B12" s="274"/>
      <c r="C12" s="275" t="s">
        <v>4</v>
      </c>
      <c r="D12" s="275" t="s">
        <v>5</v>
      </c>
      <c r="E12" s="275" t="s">
        <v>6</v>
      </c>
      <c r="F12" s="275" t="s">
        <v>7</v>
      </c>
      <c r="G12" s="120"/>
    </row>
    <row r="13" spans="2:7" ht="18.600000000000001" customHeight="1" x14ac:dyDescent="0.3">
      <c r="B13" s="282" t="s">
        <v>318</v>
      </c>
      <c r="C13" s="276">
        <f>IF($B$9="Total FTEs",'Inputs direct labour'!F37,'Inputs direct labour'!G37)</f>
        <v>83123</v>
      </c>
      <c r="D13" s="276">
        <f>IF($B$9="Total FTEs",'Inputs direct labour'!$F52,'Inputs direct labour'!$G52)</f>
        <v>88849</v>
      </c>
      <c r="E13" s="276">
        <f>IF($B$9="Total FTEs",'Inputs direct labour'!$F67,'Inputs direct labour'!$G67)</f>
        <v>91449</v>
      </c>
      <c r="F13" s="276">
        <f>IF($B$9="Total FTEs",'Inputs direct labour'!$F82,'Inputs direct labour'!$G82)</f>
        <v>95106</v>
      </c>
      <c r="G13" s="120"/>
    </row>
    <row r="14" spans="2:7" ht="18.600000000000001" customHeight="1" x14ac:dyDescent="0.3">
      <c r="B14" s="282" t="s">
        <v>319</v>
      </c>
      <c r="C14" s="276">
        <f>IF($B$9="Total FTEs",'Inputs direct labour'!F38,'Inputs direct labour'!G38)</f>
        <v>709</v>
      </c>
      <c r="D14" s="276">
        <f>IF($B$9="Total FTEs",'Inputs direct labour'!$F53,'Inputs direct labour'!$G53)</f>
        <v>588</v>
      </c>
      <c r="E14" s="276">
        <f>IF($B$9="Total FTEs",'Inputs direct labour'!$F68,'Inputs direct labour'!$G68)</f>
        <v>514</v>
      </c>
      <c r="F14" s="276">
        <f>IF($B$9="Total FTEs",'Inputs direct labour'!$F83,'Inputs direct labour'!$G83)</f>
        <v>1001</v>
      </c>
      <c r="G14" s="120"/>
    </row>
    <row r="15" spans="2:7" ht="18.600000000000001" customHeight="1" x14ac:dyDescent="0.3">
      <c r="B15" s="282" t="s">
        <v>320</v>
      </c>
      <c r="C15" s="276">
        <f>IF($B$9="Total FTEs",'Inputs direct labour'!F39,'Inputs direct labour'!G39)</f>
        <v>44</v>
      </c>
      <c r="D15" s="276">
        <f>IF($B$9="Total FTEs",'Inputs direct labour'!$F54,'Inputs direct labour'!$G54)</f>
        <v>45</v>
      </c>
      <c r="E15" s="276">
        <f>IF($B$9="Total FTEs",'Inputs direct labour'!$F69,'Inputs direct labour'!$G69)</f>
        <v>30</v>
      </c>
      <c r="F15" s="276">
        <f>IF($B$9="Total FTEs",'Inputs direct labour'!$F84,'Inputs direct labour'!$G84)</f>
        <v>25</v>
      </c>
      <c r="G15" s="120"/>
    </row>
    <row r="16" spans="2:7" ht="18.600000000000001" customHeight="1" x14ac:dyDescent="0.3">
      <c r="B16" s="282" t="s">
        <v>321</v>
      </c>
      <c r="C16" s="276">
        <f>IF($B$9="Total FTEs",'Inputs direct labour'!F40,'Inputs direct labour'!G40)</f>
        <v>350</v>
      </c>
      <c r="D16" s="276">
        <f>IF($B$9="Total FTEs",'Inputs direct labour'!$F55,'Inputs direct labour'!$G55)</f>
        <v>647</v>
      </c>
      <c r="E16" s="276">
        <f>IF($B$9="Total FTEs",'Inputs direct labour'!$F70,'Inputs direct labour'!$G70)</f>
        <v>998</v>
      </c>
      <c r="F16" s="276">
        <f>IF($B$9="Total FTEs",'Inputs direct labour'!$F85,'Inputs direct labour'!$G85)</f>
        <v>1245</v>
      </c>
      <c r="G16" s="120"/>
    </row>
    <row r="17" spans="2:7" ht="18.600000000000001" customHeight="1" x14ac:dyDescent="0.3">
      <c r="B17" s="282" t="s">
        <v>327</v>
      </c>
      <c r="C17" s="276">
        <f>IF($B$9="Total FTEs",'Inputs direct labour'!F41,'Inputs direct labour'!G41)</f>
        <v>3744</v>
      </c>
      <c r="D17" s="276">
        <f>IF($B$9="Total FTEs",'Inputs direct labour'!$F56,'Inputs direct labour'!$G56)</f>
        <v>3791</v>
      </c>
      <c r="E17" s="276">
        <f>IF($B$9="Total FTEs",'Inputs direct labour'!$F71,'Inputs direct labour'!$G71)</f>
        <v>3682</v>
      </c>
      <c r="F17" s="276">
        <f>IF($B$9="Total FTEs",'Inputs direct labour'!$F86,'Inputs direct labour'!$G86)</f>
        <v>2377</v>
      </c>
      <c r="G17" s="120"/>
    </row>
    <row r="18" spans="2:7" ht="18.600000000000001" customHeight="1" x14ac:dyDescent="0.3">
      <c r="B18" s="277" t="s">
        <v>242</v>
      </c>
      <c r="C18" s="278">
        <f>SUM(C13:C17)</f>
        <v>87970</v>
      </c>
      <c r="D18" s="278">
        <f>SUM(D13:D17)</f>
        <v>93920</v>
      </c>
      <c r="E18" s="278">
        <f>SUM(E13:E17)</f>
        <v>96673</v>
      </c>
      <c r="F18" s="278">
        <f>SUM(F13:F17)</f>
        <v>99754</v>
      </c>
      <c r="G18" s="120"/>
    </row>
    <row r="19" spans="2:7" ht="18.600000000000001" customHeight="1" x14ac:dyDescent="0.3">
      <c r="B19" s="281"/>
      <c r="G19" s="120"/>
    </row>
    <row r="20" spans="2:7" ht="18.600000000000001" customHeight="1" x14ac:dyDescent="0.3">
      <c r="B20" s="277" t="s">
        <v>332</v>
      </c>
      <c r="G20" s="120"/>
    </row>
    <row r="83" spans="2:8" ht="22.5" x14ac:dyDescent="0.3">
      <c r="B83" s="11"/>
      <c r="D83" s="11"/>
      <c r="E83" s="11"/>
      <c r="F83" s="68"/>
    </row>
    <row r="84" spans="2:8" ht="23.25" x14ac:dyDescent="0.35">
      <c r="C84" s="11"/>
      <c r="F84" s="20"/>
    </row>
    <row r="89" spans="2:8" ht="22.5" x14ac:dyDescent="0.3">
      <c r="G89" s="11"/>
      <c r="H89" s="11"/>
    </row>
    <row r="90" spans="2:8" ht="23.25" x14ac:dyDescent="0.35">
      <c r="G90" s="10"/>
      <c r="H90" s="10"/>
    </row>
  </sheetData>
  <customSheetViews>
    <customSheetView guid="{9EA95E61-FCA5-4867-AEB4-B8C24058ACDD}" showGridLines="0" showRowCol="0" topLeftCell="A7">
      <selection activeCell="B9" sqref="B9"/>
      <pageMargins left="0.7" right="0.7" top="0.75" bottom="0.75" header="0.3" footer="0.3"/>
      <pageSetup paperSize="9" orientation="portrait" r:id="rId1"/>
    </customSheetView>
  </customSheetViews>
  <dataValidations xWindow="476" yWindow="403" count="5">
    <dataValidation type="list" allowBlank="1" showInputMessage="1" showErrorMessage="1" sqref="B9">
      <formula1>view</formula1>
    </dataValidation>
    <dataValidation allowBlank="1" showInputMessage="1" showErrorMessage="1" promptTitle="M9" prompt="Includes only General Practitioners or General Dental Practitioners who are not engaged via the usual contractual arrangements (where they would be self employed). " sqref="B17"/>
    <dataValidation allowBlank="1" showInputMessage="1" showErrorMessage="1" promptTitle="Electronic Staff Record" prompt="Service provided by IC NHS; iView can be found on the following link: http://www.ic.nhs.uk/iview" sqref="B5"/>
    <dataValidation allowBlank="1" showInputMessage="1" showErrorMessage="1" promptTitle="Medical staff groups" prompt="More on the profile of medical staff in each category can be obtained from the webpage: http://www.ic.nhs.uk/article/2268/NHS-Occupation-Codes" sqref="B7"/>
    <dataValidation allowBlank="1" showInputMessage="1" showErrorMessage="1" promptTitle="Full Time Equivalent" prompt="The number of total hours worked divided by the maximum number of compensable hours in a full-time schedule" sqref="B8"/>
  </dataValidations>
  <pageMargins left="0.7" right="0.7" top="0.75" bottom="0.75" header="0.3" footer="0.3"/>
  <pageSetup paperSize="9" orientation="portrait" r:id="rId2"/>
  <ignoredErrors>
    <ignoredError sqref="E13:E17" formula="1"/>
  </ignoredErrors>
  <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4:W102"/>
  <sheetViews>
    <sheetView showGridLines="0" showRowColHeaders="0" topLeftCell="I26" zoomScale="60" zoomScaleNormal="60" workbookViewId="0">
      <selection activeCell="R35" sqref="R35"/>
    </sheetView>
  </sheetViews>
  <sheetFormatPr defaultRowHeight="15" x14ac:dyDescent="0.25"/>
  <cols>
    <col min="4" max="4" width="10.42578125" customWidth="1"/>
    <col min="5" max="5" width="20.140625" customWidth="1"/>
    <col min="6" max="6" width="25.85546875" customWidth="1"/>
    <col min="7" max="7" width="42.28515625" customWidth="1"/>
    <col min="8" max="8" width="14.7109375" customWidth="1"/>
    <col min="9" max="9" width="25.42578125" customWidth="1"/>
    <col min="10" max="10" width="15.140625" customWidth="1"/>
    <col min="11" max="11" width="21.28515625" customWidth="1"/>
    <col min="12" max="12" width="11.28515625" customWidth="1"/>
    <col min="13" max="13" width="26.28515625" customWidth="1"/>
    <col min="14" max="14" width="16.28515625" customWidth="1"/>
    <col min="15" max="15" width="26.28515625" bestFit="1" customWidth="1"/>
    <col min="16" max="16" width="16.28515625" bestFit="1" customWidth="1"/>
    <col min="17" max="17" width="22.5703125" bestFit="1" customWidth="1"/>
    <col min="18" max="18" width="21.28515625" bestFit="1" customWidth="1"/>
    <col min="19" max="19" width="22.28515625" bestFit="1" customWidth="1"/>
  </cols>
  <sheetData>
    <row r="4" spans="2:23" ht="59.25" x14ac:dyDescent="0.75">
      <c r="D4" s="4" t="s">
        <v>133</v>
      </c>
    </row>
    <row r="5" spans="2:23" ht="59.25" x14ac:dyDescent="0.75">
      <c r="D5" s="4"/>
    </row>
    <row r="6" spans="2:23" ht="18" customHeight="1" x14ac:dyDescent="0.25"/>
    <row r="8" spans="2:23" x14ac:dyDescent="0.25">
      <c r="B8" s="8"/>
      <c r="C8" s="8"/>
      <c r="D8" s="8"/>
      <c r="E8" s="8"/>
      <c r="F8" s="8"/>
      <c r="G8" s="8"/>
      <c r="H8" s="8"/>
      <c r="I8" s="8"/>
      <c r="J8" s="8"/>
      <c r="K8" s="8"/>
      <c r="L8" s="8"/>
      <c r="M8" s="8"/>
      <c r="N8" s="8"/>
      <c r="O8" s="8"/>
      <c r="P8" s="8"/>
      <c r="Q8" s="8"/>
      <c r="R8" s="8"/>
      <c r="S8" s="8"/>
      <c r="T8" s="8"/>
      <c r="U8" s="8"/>
      <c r="V8" s="8"/>
      <c r="W8" s="8"/>
    </row>
    <row r="9" spans="2:23" ht="22.5" x14ac:dyDescent="0.3">
      <c r="B9" s="8"/>
      <c r="C9" s="11"/>
      <c r="D9" s="8"/>
      <c r="E9" s="8"/>
      <c r="F9" s="8"/>
      <c r="G9" s="8"/>
      <c r="H9" s="8"/>
      <c r="I9" s="8"/>
      <c r="J9" s="8"/>
      <c r="K9" s="8"/>
      <c r="L9" s="8"/>
      <c r="M9" s="8"/>
      <c r="N9" s="8"/>
      <c r="O9" s="8"/>
      <c r="P9" s="8"/>
      <c r="Q9" s="8"/>
      <c r="R9" s="8"/>
      <c r="S9" s="8"/>
      <c r="T9" s="8"/>
      <c r="U9" s="8"/>
      <c r="V9" s="8"/>
      <c r="W9" s="8"/>
    </row>
    <row r="10" spans="2:23" ht="23.25" thickBot="1" x14ac:dyDescent="0.35">
      <c r="B10" s="8"/>
      <c r="C10" s="11"/>
      <c r="D10" s="665" t="s">
        <v>138</v>
      </c>
      <c r="E10" s="665"/>
      <c r="F10" s="665"/>
      <c r="G10" s="665"/>
      <c r="H10" s="665"/>
      <c r="I10" s="665"/>
      <c r="J10" s="665"/>
      <c r="K10" s="665"/>
      <c r="L10" s="665"/>
      <c r="M10" s="665"/>
      <c r="N10" s="665"/>
      <c r="O10" s="665"/>
      <c r="P10" s="665"/>
      <c r="Q10" s="665"/>
      <c r="R10" s="665"/>
      <c r="S10" s="665"/>
      <c r="T10" s="8"/>
      <c r="U10" s="8"/>
      <c r="V10" s="8"/>
      <c r="W10" s="8"/>
    </row>
    <row r="11" spans="2:23" ht="22.5" customHeight="1" x14ac:dyDescent="0.3">
      <c r="B11" s="8"/>
      <c r="C11" s="11"/>
      <c r="D11" s="42" t="s">
        <v>1</v>
      </c>
      <c r="E11" s="43" t="s">
        <v>42</v>
      </c>
      <c r="F11" s="43" t="s">
        <v>43</v>
      </c>
      <c r="G11" s="43" t="s">
        <v>44</v>
      </c>
      <c r="H11" s="43" t="s">
        <v>45</v>
      </c>
      <c r="I11" s="43" t="s">
        <v>46</v>
      </c>
      <c r="J11" s="43" t="s">
        <v>47</v>
      </c>
      <c r="K11" s="43" t="s">
        <v>264</v>
      </c>
      <c r="L11" s="43" t="s">
        <v>48</v>
      </c>
      <c r="M11" s="43" t="s">
        <v>49</v>
      </c>
      <c r="N11" s="43" t="s">
        <v>50</v>
      </c>
      <c r="O11" s="43" t="s">
        <v>51</v>
      </c>
      <c r="P11" s="43" t="s">
        <v>52</v>
      </c>
      <c r="Q11" s="43" t="s">
        <v>53</v>
      </c>
      <c r="R11" s="43" t="s">
        <v>54</v>
      </c>
      <c r="S11" s="16" t="s">
        <v>55</v>
      </c>
      <c r="T11" s="8"/>
      <c r="U11" s="8"/>
      <c r="V11" s="8"/>
      <c r="W11" s="8"/>
    </row>
    <row r="12" spans="2:23" ht="22.5" x14ac:dyDescent="0.3">
      <c r="B12" s="8"/>
      <c r="C12" s="11"/>
      <c r="D12" s="17" t="s">
        <v>74</v>
      </c>
      <c r="E12" s="591">
        <v>25618723.30074</v>
      </c>
      <c r="F12" s="594">
        <v>1073683.10451</v>
      </c>
      <c r="G12" s="591">
        <v>30925.008089999999</v>
      </c>
      <c r="H12" s="593">
        <f>E12+F12+G12</f>
        <v>26723331.413339999</v>
      </c>
      <c r="I12" s="593" t="e">
        <f t="shared" ref="I12:K12" si="0">I11-I8-I1</f>
        <v>#VALUE!</v>
      </c>
      <c r="J12" s="593" t="e">
        <f t="shared" si="0"/>
        <v>#VALUE!</v>
      </c>
      <c r="K12" s="593" t="e">
        <f t="shared" si="0"/>
        <v>#VALUE!</v>
      </c>
      <c r="L12" s="44"/>
      <c r="M12" s="44"/>
      <c r="N12" s="45"/>
      <c r="O12" s="45"/>
      <c r="P12" s="45"/>
      <c r="Q12" s="45"/>
      <c r="R12" s="45"/>
      <c r="S12" s="46"/>
      <c r="T12" s="8"/>
      <c r="U12" s="8"/>
      <c r="V12" s="8"/>
      <c r="W12" s="8"/>
    </row>
    <row r="13" spans="2:23" ht="22.5" x14ac:dyDescent="0.3">
      <c r="B13" s="8"/>
      <c r="C13" s="11"/>
      <c r="D13" s="17" t="s">
        <v>75</v>
      </c>
      <c r="E13" s="591">
        <v>27532377.5</v>
      </c>
      <c r="F13" s="594">
        <v>948813.5</v>
      </c>
      <c r="G13" s="591">
        <v>41226</v>
      </c>
      <c r="H13" s="593">
        <f t="shared" ref="H13:H18" si="1">E13+F13+G13</f>
        <v>28522417</v>
      </c>
      <c r="I13" s="44"/>
      <c r="J13" s="44"/>
      <c r="K13" s="44"/>
      <c r="L13" s="44"/>
      <c r="M13" s="44"/>
      <c r="N13" s="45"/>
      <c r="O13" s="45"/>
      <c r="P13" s="45"/>
      <c r="Q13" s="45"/>
      <c r="R13" s="45"/>
      <c r="S13" s="46"/>
      <c r="T13" s="8"/>
      <c r="U13" s="8"/>
      <c r="V13" s="8"/>
      <c r="W13" s="8"/>
    </row>
    <row r="14" spans="2:23" ht="22.5" x14ac:dyDescent="0.3">
      <c r="B14" s="8"/>
      <c r="C14" s="11"/>
      <c r="D14" s="17" t="s">
        <v>76</v>
      </c>
      <c r="E14" s="591">
        <v>28597580</v>
      </c>
      <c r="F14" s="594">
        <v>719431</v>
      </c>
      <c r="G14" s="591">
        <v>54201</v>
      </c>
      <c r="H14" s="593">
        <f t="shared" si="1"/>
        <v>29371212</v>
      </c>
      <c r="I14" s="44"/>
      <c r="J14" s="44"/>
      <c r="K14" s="44"/>
      <c r="L14" s="44"/>
      <c r="M14" s="44"/>
      <c r="N14" s="45"/>
      <c r="O14" s="45"/>
      <c r="P14" s="45"/>
      <c r="Q14" s="45"/>
      <c r="R14" s="45"/>
      <c r="S14" s="46"/>
      <c r="T14" s="8"/>
      <c r="U14" s="8"/>
      <c r="V14" s="8"/>
      <c r="W14" s="8"/>
    </row>
    <row r="15" spans="2:23" ht="22.5" x14ac:dyDescent="0.3">
      <c r="B15" s="8"/>
      <c r="C15" s="11"/>
      <c r="D15" s="17" t="s">
        <v>4</v>
      </c>
      <c r="E15" s="591">
        <v>29877545.70163</v>
      </c>
      <c r="F15" s="594">
        <v>909031.29836999997</v>
      </c>
      <c r="G15" s="591">
        <v>86419</v>
      </c>
      <c r="H15" s="593">
        <f t="shared" si="1"/>
        <v>30872996</v>
      </c>
      <c r="I15" s="44">
        <v>10140836</v>
      </c>
      <c r="J15" s="44">
        <v>3583241</v>
      </c>
      <c r="K15" s="44">
        <v>3067890</v>
      </c>
      <c r="L15" s="44">
        <v>44928720</v>
      </c>
      <c r="M15" s="44">
        <v>44413369</v>
      </c>
      <c r="N15" s="45">
        <v>0.69450000000000001</v>
      </c>
      <c r="O15" s="45">
        <v>0.22570000000000001</v>
      </c>
      <c r="P15" s="45">
        <v>7.9799999999999996E-2</v>
      </c>
      <c r="Q15" s="45">
        <v>0.7026</v>
      </c>
      <c r="R15" s="45">
        <v>0.2283</v>
      </c>
      <c r="S15" s="46">
        <v>6.9099999999999995E-2</v>
      </c>
      <c r="T15" s="8"/>
      <c r="U15" s="8"/>
      <c r="V15" s="8"/>
      <c r="W15" s="8"/>
    </row>
    <row r="16" spans="2:23" ht="22.5" x14ac:dyDescent="0.3">
      <c r="B16" s="8"/>
      <c r="C16" s="11"/>
      <c r="D16" s="17" t="s">
        <v>5</v>
      </c>
      <c r="E16" s="591">
        <v>31915622.139851034</v>
      </c>
      <c r="F16" s="595">
        <v>1393760.7426</v>
      </c>
      <c r="G16" s="591">
        <v>117782.55693999999</v>
      </c>
      <c r="H16" s="593">
        <f t="shared" si="1"/>
        <v>33427165.439391036</v>
      </c>
      <c r="I16" s="44">
        <v>11322441</v>
      </c>
      <c r="J16" s="44">
        <v>3462980</v>
      </c>
      <c r="K16" s="44">
        <v>3101044</v>
      </c>
      <c r="L16" s="44">
        <v>48847686</v>
      </c>
      <c r="M16" s="44">
        <v>48485750</v>
      </c>
      <c r="N16" s="45">
        <v>0.69730000000000003</v>
      </c>
      <c r="O16" s="45">
        <v>0.23180000000000001</v>
      </c>
      <c r="P16" s="45">
        <v>7.0900000000000005E-2</v>
      </c>
      <c r="Q16" s="45">
        <v>0.70250000000000001</v>
      </c>
      <c r="R16" s="45">
        <v>0.23350000000000001</v>
      </c>
      <c r="S16" s="46">
        <v>6.4000000000000001E-2</v>
      </c>
      <c r="T16" s="8"/>
      <c r="U16" s="8"/>
      <c r="V16" s="8"/>
      <c r="W16" s="8"/>
    </row>
    <row r="17" spans="1:23" ht="22.5" x14ac:dyDescent="0.25">
      <c r="B17" s="8"/>
      <c r="C17" s="8"/>
      <c r="D17" s="17" t="s">
        <v>6</v>
      </c>
      <c r="E17" s="592">
        <v>34138493.861659989</v>
      </c>
      <c r="F17" s="596">
        <v>1592444.8954399999</v>
      </c>
      <c r="G17" s="591">
        <v>138779.36798000001</v>
      </c>
      <c r="H17" s="593">
        <f t="shared" si="1"/>
        <v>35869718.125079989</v>
      </c>
      <c r="I17" s="44">
        <v>11983232</v>
      </c>
      <c r="J17" s="44">
        <v>5853133</v>
      </c>
      <c r="K17" s="44">
        <v>3172464</v>
      </c>
      <c r="L17" s="44">
        <v>54651102</v>
      </c>
      <c r="M17" s="44">
        <v>51970432</v>
      </c>
      <c r="N17" s="45">
        <v>0.67359999999999998</v>
      </c>
      <c r="O17" s="45">
        <v>0.21929999999999999</v>
      </c>
      <c r="P17" s="45">
        <v>0.1071</v>
      </c>
      <c r="Q17" s="45">
        <v>0.70840000000000003</v>
      </c>
      <c r="R17" s="45">
        <v>0.2306</v>
      </c>
      <c r="S17" s="46">
        <v>6.0999999999999999E-2</v>
      </c>
      <c r="T17" s="8"/>
      <c r="U17" s="8"/>
      <c r="V17" s="8"/>
      <c r="W17" s="8"/>
    </row>
    <row r="18" spans="1:23" ht="23.25" thickBot="1" x14ac:dyDescent="0.35">
      <c r="B18" s="8"/>
      <c r="C18" s="8"/>
      <c r="D18" s="18" t="s">
        <v>7</v>
      </c>
      <c r="E18" s="11">
        <v>36353312</v>
      </c>
      <c r="F18" s="597">
        <v>1712024</v>
      </c>
      <c r="G18" s="592">
        <v>150150</v>
      </c>
      <c r="H18" s="593">
        <f t="shared" si="1"/>
        <v>38215486</v>
      </c>
      <c r="I18" s="47">
        <v>12961217</v>
      </c>
      <c r="J18" s="47">
        <v>4528390</v>
      </c>
      <c r="K18" s="47">
        <v>3235668</v>
      </c>
      <c r="L18" s="47">
        <v>56567241</v>
      </c>
      <c r="M18" s="47">
        <v>55274519</v>
      </c>
      <c r="N18" s="48">
        <v>0.69079999999999997</v>
      </c>
      <c r="O18" s="48">
        <v>0.2291</v>
      </c>
      <c r="P18" s="48">
        <v>8.0100000000000005E-2</v>
      </c>
      <c r="Q18" s="48">
        <v>0.70699999999999996</v>
      </c>
      <c r="R18" s="48">
        <v>0.23449999999999999</v>
      </c>
      <c r="S18" s="49">
        <v>5.8500000000000003E-2</v>
      </c>
      <c r="T18" s="8"/>
      <c r="U18" s="8"/>
      <c r="V18" s="8"/>
      <c r="W18" s="8"/>
    </row>
    <row r="19" spans="1:23" ht="22.5" x14ac:dyDescent="0.3">
      <c r="B19" s="8"/>
      <c r="C19" s="8"/>
      <c r="D19" s="11"/>
      <c r="E19" s="11"/>
      <c r="F19" s="11"/>
      <c r="G19" s="592"/>
      <c r="H19" s="11"/>
      <c r="I19" s="11"/>
      <c r="J19" s="11"/>
      <c r="K19" s="11"/>
      <c r="L19" s="11"/>
      <c r="M19" s="11"/>
      <c r="N19" s="11"/>
      <c r="O19" s="11"/>
      <c r="P19" s="11"/>
      <c r="Q19" s="11"/>
      <c r="R19" s="11"/>
      <c r="S19" s="11"/>
      <c r="T19" s="8"/>
      <c r="U19" s="8"/>
      <c r="V19" s="8"/>
      <c r="W19" s="8"/>
    </row>
    <row r="20" spans="1:23" ht="22.5" x14ac:dyDescent="0.3">
      <c r="B20" s="8"/>
      <c r="C20" s="8"/>
      <c r="D20" s="591"/>
      <c r="E20" s="591"/>
      <c r="F20" s="591"/>
      <c r="G20" s="591"/>
      <c r="H20" s="591"/>
      <c r="I20" s="591"/>
      <c r="J20" s="592"/>
      <c r="K20" s="11"/>
      <c r="L20" s="11"/>
      <c r="M20" s="11"/>
      <c r="N20" s="11"/>
      <c r="O20" s="11"/>
      <c r="P20" s="11"/>
      <c r="Q20" s="11"/>
      <c r="R20" s="11"/>
      <c r="S20" s="11"/>
      <c r="T20" s="8"/>
      <c r="U20" s="8"/>
      <c r="V20" s="8"/>
      <c r="W20" s="8"/>
    </row>
    <row r="21" spans="1:23" ht="22.5" x14ac:dyDescent="0.3">
      <c r="B21" s="8"/>
      <c r="C21" s="8"/>
      <c r="D21" s="11"/>
      <c r="E21" s="594"/>
      <c r="F21" s="594"/>
      <c r="G21" s="594"/>
      <c r="H21" s="594"/>
      <c r="I21" s="595"/>
      <c r="J21" s="596"/>
      <c r="K21" s="597"/>
      <c r="L21" s="11"/>
      <c r="M21" s="11"/>
      <c r="N21" s="11"/>
      <c r="O21" s="11"/>
      <c r="P21" s="11"/>
      <c r="Q21" s="11"/>
      <c r="R21" s="11"/>
      <c r="S21" s="11"/>
      <c r="T21" s="8"/>
      <c r="U21" s="8"/>
      <c r="V21" s="8"/>
      <c r="W21" s="8"/>
    </row>
    <row r="22" spans="1:23" ht="23.25" thickBot="1" x14ac:dyDescent="0.35">
      <c r="B22" s="8"/>
      <c r="C22" s="8"/>
      <c r="D22" s="665" t="s">
        <v>137</v>
      </c>
      <c r="E22" s="665"/>
      <c r="F22" s="665"/>
      <c r="G22" s="665"/>
      <c r="H22" s="665"/>
      <c r="I22" s="665"/>
      <c r="J22" s="665"/>
      <c r="K22" s="665"/>
      <c r="L22" s="665"/>
      <c r="M22" s="665"/>
      <c r="N22" s="665"/>
      <c r="O22" s="665"/>
      <c r="P22" s="665"/>
      <c r="Q22" s="665"/>
      <c r="R22" s="665"/>
      <c r="S22" s="665"/>
      <c r="T22" s="8"/>
      <c r="U22" s="8"/>
      <c r="V22" s="8"/>
      <c r="W22" s="8"/>
    </row>
    <row r="23" spans="1:23" ht="15" customHeight="1" x14ac:dyDescent="0.3">
      <c r="B23" s="8"/>
      <c r="C23" s="8"/>
      <c r="D23" s="50" t="s">
        <v>1</v>
      </c>
      <c r="E23" s="51" t="s">
        <v>42</v>
      </c>
      <c r="F23" s="51" t="s">
        <v>43</v>
      </c>
      <c r="G23" s="51" t="s">
        <v>44</v>
      </c>
      <c r="H23" s="51" t="s">
        <v>45</v>
      </c>
      <c r="I23" s="51" t="s">
        <v>46</v>
      </c>
      <c r="J23" s="51" t="s">
        <v>47</v>
      </c>
      <c r="K23" s="51" t="s">
        <v>264</v>
      </c>
      <c r="L23" s="51" t="s">
        <v>48</v>
      </c>
      <c r="M23" s="51" t="s">
        <v>49</v>
      </c>
      <c r="N23" s="51" t="s">
        <v>50</v>
      </c>
      <c r="O23" s="51" t="s">
        <v>51</v>
      </c>
      <c r="P23" s="51" t="s">
        <v>52</v>
      </c>
      <c r="Q23" s="51" t="s">
        <v>53</v>
      </c>
      <c r="R23" s="51" t="s">
        <v>54</v>
      </c>
      <c r="S23" s="23" t="s">
        <v>55</v>
      </c>
      <c r="T23" s="8"/>
      <c r="U23" s="8"/>
      <c r="V23" s="8"/>
      <c r="W23" s="8"/>
    </row>
    <row r="24" spans="1:23" ht="22.5" x14ac:dyDescent="0.3">
      <c r="A24" s="11">
        <v>0.82000890608516352</v>
      </c>
      <c r="B24" s="11">
        <v>0.93301957651469847</v>
      </c>
      <c r="C24" s="8"/>
      <c r="D24" s="17" t="s">
        <v>74</v>
      </c>
      <c r="E24" s="26">
        <f>E12/A24</f>
        <v>31242006.166795608</v>
      </c>
      <c r="F24" s="26">
        <f>F12/B24</f>
        <v>1150761.6040820398</v>
      </c>
      <c r="G24" s="26">
        <f>G12/B24</f>
        <v>33145.07955505135</v>
      </c>
      <c r="H24" s="26">
        <f>SUM(E24:G24)</f>
        <v>32425912.850432698</v>
      </c>
      <c r="I24" s="26"/>
      <c r="J24" s="26"/>
      <c r="K24" s="26"/>
      <c r="L24" s="26"/>
      <c r="M24" s="26"/>
      <c r="N24" s="27"/>
      <c r="O24" s="27"/>
      <c r="P24" s="27"/>
      <c r="Q24" s="27"/>
      <c r="R24" s="27"/>
      <c r="S24" s="28"/>
      <c r="T24" s="8"/>
      <c r="U24" s="8"/>
      <c r="V24" s="8"/>
      <c r="W24" s="8"/>
    </row>
    <row r="25" spans="1:23" ht="22.5" x14ac:dyDescent="0.3">
      <c r="A25" s="11">
        <v>0.85854933495649211</v>
      </c>
      <c r="B25" s="11">
        <v>1.0133233616058415</v>
      </c>
      <c r="C25" s="8"/>
      <c r="D25" s="17" t="s">
        <v>75</v>
      </c>
      <c r="E25" s="26">
        <f t="shared" ref="E25:F25" si="2">E13/A25</f>
        <v>32068486.199916784</v>
      </c>
      <c r="F25" s="26">
        <f t="shared" si="2"/>
        <v>936338.32589864417</v>
      </c>
      <c r="G25" s="26">
        <f t="shared" ref="G25:G26" si="3">G13/B25</f>
        <v>40683.952982854382</v>
      </c>
      <c r="H25" s="26">
        <f t="shared" ref="H25:H26" si="4">SUM(E25:G25)</f>
        <v>33045508.478798281</v>
      </c>
      <c r="I25" s="26"/>
      <c r="J25" s="26"/>
      <c r="K25" s="26"/>
      <c r="L25" s="26"/>
      <c r="M25" s="26"/>
      <c r="N25" s="27"/>
      <c r="O25" s="27"/>
      <c r="P25" s="27"/>
      <c r="Q25" s="27"/>
      <c r="R25" s="27"/>
      <c r="S25" s="28"/>
      <c r="T25" s="8"/>
      <c r="U25" s="8"/>
      <c r="V25" s="8"/>
      <c r="W25" s="8"/>
    </row>
    <row r="26" spans="1:23" ht="22.5" x14ac:dyDescent="0.3">
      <c r="A26" s="11">
        <v>0.89374985851557864</v>
      </c>
      <c r="B26" s="11">
        <v>1.0878658630048472</v>
      </c>
      <c r="C26" s="8"/>
      <c r="D26" s="17" t="s">
        <v>76</v>
      </c>
      <c r="E26" s="26">
        <f t="shared" ref="E26:F26" si="5">E14/A26</f>
        <v>31997297.373000395</v>
      </c>
      <c r="F26" s="26">
        <f t="shared" si="5"/>
        <v>661323.26095133147</v>
      </c>
      <c r="G26" s="26">
        <f t="shared" si="3"/>
        <v>49823.238179649081</v>
      </c>
      <c r="H26" s="26">
        <f t="shared" si="4"/>
        <v>32708443.872131377</v>
      </c>
      <c r="I26" s="26"/>
      <c r="J26" s="26"/>
      <c r="K26" s="26"/>
      <c r="L26" s="26"/>
      <c r="M26" s="26"/>
      <c r="N26" s="27"/>
      <c r="O26" s="27"/>
      <c r="P26" s="27"/>
      <c r="Q26" s="27"/>
      <c r="R26" s="27"/>
      <c r="S26" s="28"/>
      <c r="T26" s="8"/>
      <c r="U26" s="8"/>
      <c r="V26" s="8"/>
      <c r="W26" s="8"/>
    </row>
    <row r="27" spans="1:23" ht="22.5" x14ac:dyDescent="0.3">
      <c r="A27" s="11">
        <v>0.92446405985302782</v>
      </c>
      <c r="B27" s="11">
        <v>1.0374918414074443</v>
      </c>
      <c r="C27" s="8"/>
      <c r="D27" s="24" t="s">
        <v>4</v>
      </c>
      <c r="E27" s="26">
        <v>32663621</v>
      </c>
      <c r="F27" s="26">
        <v>977702</v>
      </c>
      <c r="G27" s="26">
        <v>93426</v>
      </c>
      <c r="H27" s="26">
        <v>33734748</v>
      </c>
      <c r="I27" s="26">
        <v>11802440</v>
      </c>
      <c r="J27" s="26">
        <v>3975415</v>
      </c>
      <c r="K27" s="26">
        <v>3399738</v>
      </c>
      <c r="L27" s="26">
        <v>49512604</v>
      </c>
      <c r="M27" s="26">
        <v>48936926</v>
      </c>
      <c r="N27" s="27">
        <v>0.68130000000000002</v>
      </c>
      <c r="O27" s="27">
        <v>0.2384</v>
      </c>
      <c r="P27" s="27">
        <v>8.0299999999999996E-2</v>
      </c>
      <c r="Q27" s="27">
        <v>0.68940000000000001</v>
      </c>
      <c r="R27" s="27">
        <v>0.2412</v>
      </c>
      <c r="S27" s="28">
        <v>6.9500000000000006E-2</v>
      </c>
      <c r="T27" s="8"/>
      <c r="U27" s="8"/>
      <c r="V27" s="8"/>
      <c r="W27" s="8"/>
    </row>
    <row r="28" spans="1:23" ht="22.5" x14ac:dyDescent="0.3">
      <c r="A28" s="11">
        <v>0.9517686714348732</v>
      </c>
      <c r="B28" s="11">
        <v>0.95301421777443041</v>
      </c>
      <c r="C28" s="8"/>
      <c r="D28" s="24" t="s">
        <v>5</v>
      </c>
      <c r="E28" s="26">
        <v>34156075</v>
      </c>
      <c r="F28" s="26">
        <v>1462468</v>
      </c>
      <c r="G28" s="26">
        <v>123602</v>
      </c>
      <c r="H28" s="26">
        <v>35742145</v>
      </c>
      <c r="I28" s="26">
        <v>13041839</v>
      </c>
      <c r="J28" s="26">
        <v>3646986</v>
      </c>
      <c r="K28" s="26">
        <v>3266000</v>
      </c>
      <c r="L28" s="26">
        <v>52430969</v>
      </c>
      <c r="M28" s="26">
        <v>52049984</v>
      </c>
      <c r="N28" s="27">
        <v>0.68169999999999997</v>
      </c>
      <c r="O28" s="27">
        <v>0.2487</v>
      </c>
      <c r="P28" s="27">
        <v>6.9599999999999995E-2</v>
      </c>
      <c r="Q28" s="27">
        <v>0.68669999999999998</v>
      </c>
      <c r="R28" s="27">
        <v>0.25059999999999999</v>
      </c>
      <c r="S28" s="28">
        <v>6.2700000000000006E-2</v>
      </c>
      <c r="T28" s="8"/>
      <c r="U28" s="8"/>
      <c r="V28" s="8"/>
      <c r="W28" s="8"/>
    </row>
    <row r="29" spans="1:23" ht="22.5" x14ac:dyDescent="0.3">
      <c r="A29" s="11">
        <v>0.97093136095156707</v>
      </c>
      <c r="B29" s="11">
        <v>0.92480567620738297</v>
      </c>
      <c r="C29" s="8"/>
      <c r="D29" s="24" t="s">
        <v>6</v>
      </c>
      <c r="E29" s="26">
        <v>36057926</v>
      </c>
      <c r="F29" s="26">
        <v>1752297</v>
      </c>
      <c r="G29" s="26">
        <v>143113</v>
      </c>
      <c r="H29" s="26">
        <v>37953336</v>
      </c>
      <c r="I29" s="26">
        <v>12365473</v>
      </c>
      <c r="J29" s="26">
        <v>6002137</v>
      </c>
      <c r="K29" s="26">
        <v>3254864</v>
      </c>
      <c r="L29" s="26">
        <v>56320947</v>
      </c>
      <c r="M29" s="26">
        <v>53573674</v>
      </c>
      <c r="N29" s="27">
        <v>0.67390000000000005</v>
      </c>
      <c r="O29" s="27">
        <v>0.21959999999999999</v>
      </c>
      <c r="P29" s="27">
        <v>0.1066</v>
      </c>
      <c r="Q29" s="27">
        <v>0.70840000000000003</v>
      </c>
      <c r="R29" s="27">
        <v>0.23080000000000001</v>
      </c>
      <c r="S29" s="28">
        <v>6.08E-2</v>
      </c>
      <c r="T29" s="8"/>
      <c r="U29" s="8"/>
      <c r="V29" s="8"/>
      <c r="W29" s="8"/>
    </row>
    <row r="30" spans="1:23" ht="23.25" thickBot="1" x14ac:dyDescent="0.35">
      <c r="A30" s="11">
        <v>1</v>
      </c>
      <c r="B30" s="11">
        <v>1</v>
      </c>
      <c r="C30" s="52"/>
      <c r="D30" s="29" t="s">
        <v>7</v>
      </c>
      <c r="E30" s="31">
        <v>37215460</v>
      </c>
      <c r="F30" s="31">
        <v>1712024</v>
      </c>
      <c r="G30" s="31">
        <v>150150</v>
      </c>
      <c r="H30" s="31">
        <v>39077634</v>
      </c>
      <c r="I30" s="31">
        <v>13150413</v>
      </c>
      <c r="J30" s="31">
        <v>4528390</v>
      </c>
      <c r="K30" s="31">
        <v>3235668</v>
      </c>
      <c r="L30" s="31">
        <v>56756437</v>
      </c>
      <c r="M30" s="31">
        <v>55463715</v>
      </c>
      <c r="N30" s="32">
        <v>0.6885</v>
      </c>
      <c r="O30" s="32">
        <v>0.23169999999999999</v>
      </c>
      <c r="P30" s="32">
        <v>7.9799999999999996E-2</v>
      </c>
      <c r="Q30" s="32">
        <v>0.7046</v>
      </c>
      <c r="R30" s="32">
        <v>0.23710000000000001</v>
      </c>
      <c r="S30" s="33">
        <v>5.8299999999999998E-2</v>
      </c>
      <c r="T30" s="8"/>
      <c r="U30" s="8"/>
      <c r="V30" s="8"/>
      <c r="W30" s="8"/>
    </row>
    <row r="31" spans="1:23" ht="22.5" x14ac:dyDescent="0.3">
      <c r="A31" s="5"/>
      <c r="B31" s="52"/>
      <c r="C31" s="52"/>
      <c r="D31" s="11"/>
      <c r="E31" s="11"/>
      <c r="F31" s="11"/>
      <c r="G31" s="11"/>
      <c r="H31" s="11"/>
      <c r="I31" s="11"/>
      <c r="J31" s="11"/>
      <c r="K31" s="11"/>
      <c r="L31" s="11"/>
      <c r="M31" s="11"/>
      <c r="N31" s="11"/>
      <c r="O31" s="11"/>
      <c r="P31" s="11"/>
      <c r="Q31" s="11"/>
      <c r="R31" s="11"/>
      <c r="S31" s="11"/>
      <c r="T31" s="8"/>
      <c r="U31" s="8"/>
      <c r="V31" s="8"/>
      <c r="W31" s="8"/>
    </row>
    <row r="32" spans="1:23" ht="22.5" x14ac:dyDescent="0.3">
      <c r="B32" s="8"/>
      <c r="C32" s="8"/>
      <c r="D32" s="11">
        <v>30925.008089999999</v>
      </c>
      <c r="E32" s="11">
        <v>41226</v>
      </c>
      <c r="F32" s="11">
        <v>54201</v>
      </c>
      <c r="G32" s="11"/>
      <c r="H32" s="11"/>
      <c r="I32" s="11"/>
      <c r="J32" s="11"/>
      <c r="K32" s="11"/>
      <c r="L32" s="11"/>
      <c r="M32" s="11"/>
      <c r="N32" s="11"/>
      <c r="O32" s="11"/>
      <c r="P32" s="11"/>
      <c r="Q32" s="11"/>
      <c r="R32" s="11"/>
      <c r="S32" s="11"/>
      <c r="T32" s="8"/>
      <c r="U32" s="8"/>
      <c r="V32" s="8"/>
      <c r="W32" s="8"/>
    </row>
    <row r="33" spans="1:19" ht="23.25" x14ac:dyDescent="0.35">
      <c r="D33" s="11"/>
      <c r="E33" s="11"/>
      <c r="F33" s="11"/>
      <c r="G33" s="11"/>
      <c r="H33" s="11"/>
      <c r="I33" s="11"/>
      <c r="J33" s="11"/>
      <c r="K33" s="11"/>
      <c r="L33" s="11"/>
      <c r="M33" s="11"/>
      <c r="N33" s="11"/>
      <c r="O33" s="11"/>
      <c r="P33" s="10"/>
      <c r="Q33" s="10"/>
      <c r="R33" s="10" t="s">
        <v>259</v>
      </c>
      <c r="S33" s="10"/>
    </row>
    <row r="34" spans="1:19" ht="24" thickBot="1" x14ac:dyDescent="0.4">
      <c r="D34" s="665" t="s">
        <v>134</v>
      </c>
      <c r="E34" s="665"/>
      <c r="F34" s="665"/>
      <c r="G34" s="665"/>
      <c r="H34" s="665"/>
      <c r="I34" s="665"/>
      <c r="J34" s="665"/>
      <c r="K34" s="665"/>
      <c r="L34" s="665"/>
      <c r="M34" s="665"/>
      <c r="N34" s="665"/>
      <c r="O34" s="665"/>
      <c r="P34" s="10"/>
      <c r="Q34" s="10"/>
      <c r="R34" s="10" t="s">
        <v>260</v>
      </c>
      <c r="S34" s="10"/>
    </row>
    <row r="35" spans="1:19" ht="68.25" x14ac:dyDescent="0.35">
      <c r="D35" s="21" t="s">
        <v>1</v>
      </c>
      <c r="E35" s="51" t="s">
        <v>42</v>
      </c>
      <c r="F35" s="51" t="s">
        <v>43</v>
      </c>
      <c r="G35" s="51" t="s">
        <v>44</v>
      </c>
      <c r="H35" s="51" t="s">
        <v>58</v>
      </c>
      <c r="I35" s="51" t="s">
        <v>60</v>
      </c>
      <c r="J35" s="51" t="s">
        <v>59</v>
      </c>
      <c r="K35" s="51" t="s">
        <v>276</v>
      </c>
      <c r="L35" s="51" t="s">
        <v>61</v>
      </c>
      <c r="M35" s="22" t="s">
        <v>50</v>
      </c>
      <c r="N35" s="22" t="s">
        <v>52</v>
      </c>
      <c r="O35" s="23" t="s">
        <v>51</v>
      </c>
      <c r="P35" s="51"/>
      <c r="Q35" s="10"/>
      <c r="R35" s="10" t="s">
        <v>261</v>
      </c>
      <c r="S35" s="10"/>
    </row>
    <row r="36" spans="1:19" ht="23.25" x14ac:dyDescent="0.35">
      <c r="D36" s="17" t="s">
        <v>74</v>
      </c>
      <c r="E36" s="588">
        <v>5394202.6534299999</v>
      </c>
      <c r="F36" s="587">
        <v>280105.34421999997</v>
      </c>
      <c r="G36" s="589">
        <v>88067.509760000015</v>
      </c>
      <c r="H36" s="590">
        <f>SUM(E36:G36)</f>
        <v>5762375.5074100001</v>
      </c>
      <c r="I36" s="26"/>
      <c r="J36" s="26"/>
      <c r="K36" s="25"/>
      <c r="L36" s="26"/>
      <c r="M36" s="27"/>
      <c r="N36" s="27"/>
      <c r="O36" s="28"/>
      <c r="P36" s="25"/>
      <c r="Q36" s="10"/>
      <c r="R36" s="10" t="s">
        <v>48</v>
      </c>
      <c r="S36" s="10"/>
    </row>
    <row r="37" spans="1:19" ht="23.25" x14ac:dyDescent="0.35">
      <c r="D37" s="17" t="s">
        <v>75</v>
      </c>
      <c r="E37" s="588">
        <v>6038688.8149999995</v>
      </c>
      <c r="F37" s="587">
        <v>273434</v>
      </c>
      <c r="G37" s="589">
        <v>77949</v>
      </c>
      <c r="H37" s="590">
        <f t="shared" ref="H37:H38" si="6">SUM(E37:G37)</f>
        <v>6390071.8149999995</v>
      </c>
      <c r="I37" s="26"/>
      <c r="J37" s="26"/>
      <c r="K37" s="25"/>
      <c r="L37" s="26"/>
      <c r="M37" s="27"/>
      <c r="N37" s="27"/>
      <c r="O37" s="28"/>
      <c r="P37" s="25"/>
      <c r="Q37" s="10"/>
      <c r="R37" s="10"/>
      <c r="S37" s="10"/>
    </row>
    <row r="38" spans="1:19" ht="23.25" x14ac:dyDescent="0.35">
      <c r="D38" s="17" t="s">
        <v>76</v>
      </c>
      <c r="E38" s="588">
        <v>6251134.125</v>
      </c>
      <c r="F38" s="587">
        <v>241940</v>
      </c>
      <c r="G38" s="589">
        <v>52026</v>
      </c>
      <c r="H38" s="590">
        <f t="shared" si="6"/>
        <v>6545100.125</v>
      </c>
      <c r="I38" s="26"/>
      <c r="J38" s="26"/>
      <c r="K38" s="25"/>
      <c r="L38" s="26"/>
      <c r="M38" s="27"/>
      <c r="N38" s="27"/>
      <c r="O38" s="28"/>
      <c r="P38" s="25"/>
      <c r="Q38" s="10"/>
      <c r="R38" s="10" t="s">
        <v>262</v>
      </c>
      <c r="S38" s="10"/>
    </row>
    <row r="39" spans="1:19" ht="23.25" x14ac:dyDescent="0.35">
      <c r="D39" s="24" t="s">
        <v>4</v>
      </c>
      <c r="E39" s="26">
        <v>6396089</v>
      </c>
      <c r="F39" s="26">
        <v>282634</v>
      </c>
      <c r="G39" s="26">
        <v>42687</v>
      </c>
      <c r="H39" s="26">
        <v>6721410</v>
      </c>
      <c r="I39" s="26">
        <v>8330011</v>
      </c>
      <c r="J39" s="26">
        <v>785366</v>
      </c>
      <c r="K39" s="25">
        <v>152</v>
      </c>
      <c r="L39" s="26">
        <v>15836787</v>
      </c>
      <c r="M39" s="27">
        <v>0.4244</v>
      </c>
      <c r="N39" s="27">
        <v>4.9599999999999998E-2</v>
      </c>
      <c r="O39" s="28">
        <v>0.52600000000000002</v>
      </c>
      <c r="P39" s="25"/>
      <c r="Q39" s="10"/>
      <c r="R39" s="10" t="s">
        <v>263</v>
      </c>
      <c r="S39" s="10"/>
    </row>
    <row r="40" spans="1:19" ht="23.25" x14ac:dyDescent="0.35">
      <c r="D40" s="24" t="s">
        <v>5</v>
      </c>
      <c r="E40" s="26">
        <v>6973918</v>
      </c>
      <c r="F40" s="26">
        <v>482375</v>
      </c>
      <c r="G40" s="26">
        <v>22660</v>
      </c>
      <c r="H40" s="26">
        <v>7478953</v>
      </c>
      <c r="I40" s="26">
        <v>8949262</v>
      </c>
      <c r="J40" s="26">
        <v>819014</v>
      </c>
      <c r="K40" s="25">
        <v>152</v>
      </c>
      <c r="L40" s="26">
        <v>17247229</v>
      </c>
      <c r="M40" s="27">
        <v>0.43359999999999999</v>
      </c>
      <c r="N40" s="27">
        <v>4.7500000000000001E-2</v>
      </c>
      <c r="O40" s="28">
        <v>0.51890000000000003</v>
      </c>
      <c r="P40" s="25"/>
      <c r="Q40" s="10"/>
      <c r="R40" s="10"/>
      <c r="S40" s="10"/>
    </row>
    <row r="41" spans="1:19" ht="23.25" x14ac:dyDescent="0.35">
      <c r="A41" s="5"/>
      <c r="B41" s="5"/>
      <c r="C41" s="5"/>
      <c r="D41" s="24" t="s">
        <v>6</v>
      </c>
      <c r="E41" s="26">
        <v>7638859</v>
      </c>
      <c r="F41" s="26">
        <v>571766</v>
      </c>
      <c r="G41" s="26">
        <v>19716</v>
      </c>
      <c r="H41" s="26">
        <v>8230341</v>
      </c>
      <c r="I41" s="26">
        <v>10063997</v>
      </c>
      <c r="J41" s="26">
        <v>1287693</v>
      </c>
      <c r="K41" s="25">
        <v>152</v>
      </c>
      <c r="L41" s="26">
        <v>19582031</v>
      </c>
      <c r="M41" s="27">
        <v>0.42030000000000001</v>
      </c>
      <c r="N41" s="27">
        <v>6.5799999999999997E-2</v>
      </c>
      <c r="O41" s="28">
        <v>0.51390000000000002</v>
      </c>
      <c r="P41" s="25"/>
      <c r="Q41" s="10"/>
      <c r="R41" s="10"/>
      <c r="S41" s="10"/>
    </row>
    <row r="42" spans="1:19" ht="24" thickBot="1" x14ac:dyDescent="0.4">
      <c r="D42" s="29" t="s">
        <v>7</v>
      </c>
      <c r="E42" s="31">
        <v>6766939</v>
      </c>
      <c r="F42" s="31">
        <v>391383</v>
      </c>
      <c r="G42" s="31">
        <v>17077</v>
      </c>
      <c r="H42" s="31">
        <v>7175399</v>
      </c>
      <c r="I42" s="31">
        <v>10873838</v>
      </c>
      <c r="J42" s="31">
        <v>833328</v>
      </c>
      <c r="K42" s="30">
        <v>151</v>
      </c>
      <c r="L42" s="31">
        <v>18882565</v>
      </c>
      <c r="M42" s="32">
        <v>0.38</v>
      </c>
      <c r="N42" s="32">
        <v>4.41E-2</v>
      </c>
      <c r="O42" s="33">
        <v>0.57589999999999997</v>
      </c>
      <c r="P42" s="30"/>
      <c r="Q42" s="10"/>
      <c r="R42" s="10"/>
      <c r="S42" s="10"/>
    </row>
    <row r="43" spans="1:19" ht="23.25" x14ac:dyDescent="0.35">
      <c r="D43" s="11">
        <v>0.82000890608516352</v>
      </c>
      <c r="E43" s="11">
        <v>0.85854933495649211</v>
      </c>
      <c r="F43" s="11">
        <v>0.89374985851557864</v>
      </c>
      <c r="G43" s="11">
        <v>0.92446405985302782</v>
      </c>
      <c r="H43" s="11">
        <v>0.9517686714348732</v>
      </c>
      <c r="I43" s="11">
        <v>0.97093136095156707</v>
      </c>
      <c r="J43" s="11">
        <v>1</v>
      </c>
      <c r="K43" s="11"/>
      <c r="L43" s="11"/>
      <c r="M43" s="11"/>
      <c r="N43" s="11"/>
      <c r="O43" s="11"/>
      <c r="P43" s="10"/>
      <c r="Q43" s="10"/>
      <c r="R43" s="10"/>
      <c r="S43" s="10"/>
    </row>
    <row r="44" spans="1:19" ht="23.25" x14ac:dyDescent="0.35">
      <c r="D44" s="589"/>
      <c r="E44" s="589"/>
      <c r="F44" s="589">
        <f>F41/I43</f>
        <v>588884.05812707229</v>
      </c>
      <c r="G44" s="598">
        <f>G41/I43</f>
        <v>20306.275801697473</v>
      </c>
      <c r="H44" s="11"/>
      <c r="I44" s="11"/>
      <c r="J44" s="11"/>
      <c r="K44" s="11"/>
      <c r="L44" s="11"/>
      <c r="M44" s="11"/>
      <c r="N44" s="11"/>
      <c r="O44" s="11"/>
      <c r="P44" s="10"/>
      <c r="Q44" s="10"/>
      <c r="R44" s="10"/>
      <c r="S44" s="10"/>
    </row>
    <row r="45" spans="1:19" ht="24" thickBot="1" x14ac:dyDescent="0.4">
      <c r="D45" s="11"/>
      <c r="E45" s="11"/>
      <c r="F45" s="11"/>
      <c r="G45" s="11"/>
      <c r="H45" s="11"/>
      <c r="I45" s="11"/>
      <c r="J45" s="11"/>
      <c r="K45" s="11"/>
      <c r="L45" s="11"/>
      <c r="M45" s="11"/>
      <c r="N45" s="11"/>
      <c r="O45" s="11"/>
      <c r="P45" s="10"/>
      <c r="Q45" s="10"/>
      <c r="R45" s="10"/>
      <c r="S45" s="10"/>
    </row>
    <row r="46" spans="1:19" ht="24" thickBot="1" x14ac:dyDescent="0.4">
      <c r="D46" s="665" t="s">
        <v>141</v>
      </c>
      <c r="E46" s="665"/>
      <c r="F46" s="665"/>
      <c r="G46" s="665"/>
      <c r="H46" s="665"/>
      <c r="I46" s="665"/>
      <c r="J46" s="665"/>
      <c r="K46" s="665"/>
      <c r="L46" s="665"/>
      <c r="M46" s="665"/>
      <c r="N46" s="665"/>
      <c r="O46" s="665"/>
      <c r="P46" s="51"/>
      <c r="Q46" s="10"/>
      <c r="R46" s="10"/>
      <c r="S46" s="10"/>
    </row>
    <row r="47" spans="1:19" ht="68.25" x14ac:dyDescent="0.35">
      <c r="D47" s="21" t="s">
        <v>1</v>
      </c>
      <c r="E47" s="51" t="s">
        <v>42</v>
      </c>
      <c r="F47" s="51" t="s">
        <v>43</v>
      </c>
      <c r="G47" s="51" t="s">
        <v>44</v>
      </c>
      <c r="H47" s="51" t="s">
        <v>58</v>
      </c>
      <c r="I47" s="51" t="s">
        <v>60</v>
      </c>
      <c r="J47" s="22" t="s">
        <v>59</v>
      </c>
      <c r="K47" s="51" t="s">
        <v>276</v>
      </c>
      <c r="L47" s="22" t="s">
        <v>61</v>
      </c>
      <c r="M47" s="22" t="s">
        <v>50</v>
      </c>
      <c r="N47" s="22" t="s">
        <v>52</v>
      </c>
      <c r="O47" s="23" t="s">
        <v>51</v>
      </c>
      <c r="P47" s="25"/>
      <c r="Q47" s="10"/>
      <c r="R47" s="10"/>
      <c r="S47" s="10"/>
    </row>
    <row r="48" spans="1:19" ht="23.25" x14ac:dyDescent="0.35">
      <c r="A48" s="11">
        <v>0.82000890608516352</v>
      </c>
      <c r="B48" s="11">
        <v>0.93301957651469847</v>
      </c>
      <c r="D48" s="17" t="s">
        <v>74</v>
      </c>
      <c r="E48" s="26">
        <f>E36/A48</f>
        <v>6578224.4721983243</v>
      </c>
      <c r="F48" s="26">
        <f>F36/B48</f>
        <v>300213.79108285764</v>
      </c>
      <c r="G48" s="26">
        <f>G36/A48</f>
        <v>107398.23568556902</v>
      </c>
      <c r="H48" s="26">
        <f>SUM(E48:G48)</f>
        <v>6985836.4989667507</v>
      </c>
      <c r="I48" s="26"/>
      <c r="J48" s="26"/>
      <c r="K48" s="25"/>
      <c r="L48" s="26"/>
      <c r="M48" s="27"/>
      <c r="N48" s="27"/>
      <c r="O48" s="28"/>
      <c r="P48" s="25"/>
      <c r="Q48" s="10"/>
      <c r="R48" s="10"/>
      <c r="S48" s="10"/>
    </row>
    <row r="49" spans="1:19" ht="23.25" x14ac:dyDescent="0.35">
      <c r="A49" s="11">
        <v>0.85854933495649211</v>
      </c>
      <c r="B49" s="11">
        <v>1.0133233616058415</v>
      </c>
      <c r="D49" s="17" t="s">
        <v>75</v>
      </c>
      <c r="E49" s="26">
        <f t="shared" ref="E49:F49" si="7">E37/A49</f>
        <v>7033595.5886635408</v>
      </c>
      <c r="F49" s="26">
        <f t="shared" si="7"/>
        <v>269838.83956517256</v>
      </c>
      <c r="G49" s="26">
        <f t="shared" ref="G49:G50" si="8">G37/A49</f>
        <v>90791.521030005984</v>
      </c>
      <c r="H49" s="26">
        <f t="shared" ref="H49:H50" si="9">SUM(E49:G49)</f>
        <v>7394225.9492587196</v>
      </c>
      <c r="I49" s="26"/>
      <c r="J49" s="26"/>
      <c r="K49" s="25"/>
      <c r="L49" s="26"/>
      <c r="M49" s="27"/>
      <c r="N49" s="27"/>
      <c r="O49" s="28"/>
      <c r="P49" s="25"/>
      <c r="Q49" s="10"/>
      <c r="R49" s="10"/>
      <c r="S49" s="10"/>
    </row>
    <row r="50" spans="1:19" ht="23.25" x14ac:dyDescent="0.35">
      <c r="A50" s="11">
        <v>0.89374985851557864</v>
      </c>
      <c r="B50" s="11">
        <v>1.0878658630048472</v>
      </c>
      <c r="D50" s="17" t="s">
        <v>76</v>
      </c>
      <c r="E50" s="26">
        <f t="shared" ref="E50:F50" si="10">E38/A50</f>
        <v>6994277.0512797106</v>
      </c>
      <c r="F50" s="26">
        <f t="shared" si="10"/>
        <v>222398.74255427573</v>
      </c>
      <c r="G50" s="26">
        <f t="shared" si="8"/>
        <v>58210.918305944717</v>
      </c>
      <c r="H50" s="26">
        <f t="shared" si="9"/>
        <v>7274886.7121399306</v>
      </c>
      <c r="I50" s="26"/>
      <c r="J50" s="26"/>
      <c r="K50" s="25"/>
      <c r="L50" s="26"/>
      <c r="M50" s="27"/>
      <c r="N50" s="27"/>
      <c r="O50" s="28"/>
      <c r="P50" s="25"/>
      <c r="Q50" s="10"/>
      <c r="R50" s="10"/>
      <c r="S50" s="10"/>
    </row>
    <row r="51" spans="1:19" ht="23.25" x14ac:dyDescent="0.35">
      <c r="A51" s="11">
        <v>0.92446405985302782</v>
      </c>
      <c r="B51" s="11">
        <v>1.0374918414074443</v>
      </c>
      <c r="D51" s="24" t="s">
        <v>4</v>
      </c>
      <c r="E51" s="26">
        <v>6914691</v>
      </c>
      <c r="F51" s="26">
        <v>305550</v>
      </c>
      <c r="G51" s="26">
        <v>46148</v>
      </c>
      <c r="H51" s="26">
        <v>7266389</v>
      </c>
      <c r="I51" s="26">
        <v>8861120</v>
      </c>
      <c r="J51" s="26">
        <v>871259</v>
      </c>
      <c r="K51" s="25">
        <v>152</v>
      </c>
      <c r="L51" s="26">
        <v>16998768</v>
      </c>
      <c r="M51" s="27">
        <v>0.42749999999999999</v>
      </c>
      <c r="N51" s="27">
        <v>5.1299999999999998E-2</v>
      </c>
      <c r="O51" s="28">
        <v>0.52129999999999999</v>
      </c>
      <c r="P51" s="25"/>
      <c r="Q51" s="10"/>
      <c r="R51" s="10"/>
      <c r="S51" s="10"/>
    </row>
    <row r="52" spans="1:19" ht="23.25" x14ac:dyDescent="0.35">
      <c r="A52" s="11">
        <v>0.9517686714348732</v>
      </c>
      <c r="B52" s="11">
        <v>0.95301421777443041</v>
      </c>
      <c r="D52" s="24" t="s">
        <v>5</v>
      </c>
      <c r="E52" s="26">
        <v>7317857</v>
      </c>
      <c r="F52" s="26">
        <v>506165</v>
      </c>
      <c r="G52" s="26">
        <v>23778</v>
      </c>
      <c r="H52" s="26">
        <v>7847800</v>
      </c>
      <c r="I52" s="26">
        <v>9063637</v>
      </c>
      <c r="J52" s="26">
        <v>863252</v>
      </c>
      <c r="K52" s="25">
        <v>152</v>
      </c>
      <c r="L52" s="26">
        <v>17774689</v>
      </c>
      <c r="M52" s="27">
        <v>0.4415</v>
      </c>
      <c r="N52" s="27">
        <v>4.8599999999999997E-2</v>
      </c>
      <c r="O52" s="28">
        <v>0.50990000000000002</v>
      </c>
      <c r="P52" s="25"/>
      <c r="Q52" s="10"/>
      <c r="R52" s="10"/>
      <c r="S52" s="10"/>
    </row>
    <row r="53" spans="1:19" ht="24" thickBot="1" x14ac:dyDescent="0.4">
      <c r="A53" s="11">
        <v>0.97093136095156707</v>
      </c>
      <c r="B53" s="11">
        <v>0.92480567620738297</v>
      </c>
      <c r="D53" s="24" t="s">
        <v>6</v>
      </c>
      <c r="E53" s="26">
        <v>7875112</v>
      </c>
      <c r="F53" s="26">
        <v>589449</v>
      </c>
      <c r="G53" s="26">
        <v>20326</v>
      </c>
      <c r="H53" s="26">
        <v>8484888</v>
      </c>
      <c r="I53" s="26">
        <v>10334325</v>
      </c>
      <c r="J53" s="26">
        <v>1314834</v>
      </c>
      <c r="K53" s="25">
        <v>152</v>
      </c>
      <c r="L53" s="26">
        <v>20134046</v>
      </c>
      <c r="M53" s="27">
        <v>0.4214</v>
      </c>
      <c r="N53" s="27">
        <v>6.5299999999999997E-2</v>
      </c>
      <c r="O53" s="28">
        <v>0.51329999999999998</v>
      </c>
      <c r="P53" s="30"/>
      <c r="Q53" s="10"/>
      <c r="R53" s="10"/>
      <c r="S53" s="10"/>
    </row>
    <row r="54" spans="1:19" ht="24" thickBot="1" x14ac:dyDescent="0.4">
      <c r="A54" s="11">
        <v>1</v>
      </c>
      <c r="B54" s="11">
        <v>1</v>
      </c>
      <c r="D54" s="29" t="s">
        <v>7</v>
      </c>
      <c r="E54" s="31">
        <v>6766939</v>
      </c>
      <c r="F54" s="31">
        <v>391383</v>
      </c>
      <c r="G54" s="31">
        <v>17077</v>
      </c>
      <c r="H54" s="31">
        <v>7175399</v>
      </c>
      <c r="I54" s="31">
        <v>10873838</v>
      </c>
      <c r="J54" s="31">
        <v>833328</v>
      </c>
      <c r="K54" s="30">
        <v>151</v>
      </c>
      <c r="L54" s="31">
        <v>18882565</v>
      </c>
      <c r="M54" s="32">
        <v>0.38</v>
      </c>
      <c r="N54" s="32">
        <v>4.41E-2</v>
      </c>
      <c r="O54" s="33">
        <v>0.57589999999999997</v>
      </c>
      <c r="P54" s="10"/>
      <c r="Q54" s="10"/>
      <c r="R54" s="10"/>
      <c r="S54" s="10"/>
    </row>
    <row r="55" spans="1:19" ht="23.25" x14ac:dyDescent="0.35">
      <c r="D55" s="11"/>
      <c r="E55" s="11"/>
      <c r="F55" s="11"/>
      <c r="G55" s="11"/>
      <c r="H55" s="11"/>
      <c r="I55" s="11"/>
      <c r="J55" s="11"/>
      <c r="K55" s="11"/>
      <c r="L55" s="11"/>
      <c r="M55" s="11"/>
      <c r="N55" s="11"/>
      <c r="O55" s="11"/>
      <c r="P55" s="10"/>
      <c r="Q55" s="10"/>
      <c r="R55" s="10"/>
      <c r="S55" s="10"/>
    </row>
    <row r="56" spans="1:19" ht="23.25" x14ac:dyDescent="0.35">
      <c r="D56" s="11"/>
      <c r="E56" s="611" t="s">
        <v>518</v>
      </c>
      <c r="F56" s="611" t="s">
        <v>519</v>
      </c>
      <c r="G56" s="611" t="s">
        <v>520</v>
      </c>
      <c r="H56" s="11"/>
      <c r="I56" s="11"/>
      <c r="J56" s="11"/>
      <c r="K56" s="11"/>
      <c r="L56" s="11"/>
      <c r="M56" s="11"/>
      <c r="N56" s="11"/>
      <c r="O56" s="11"/>
      <c r="P56" s="10"/>
      <c r="Q56" s="10"/>
      <c r="R56" s="10"/>
      <c r="S56" s="10"/>
    </row>
    <row r="57" spans="1:19" ht="23.25" x14ac:dyDescent="0.35">
      <c r="D57" s="11"/>
      <c r="E57" s="11"/>
      <c r="F57" s="11"/>
      <c r="G57" s="11"/>
      <c r="H57" s="11"/>
      <c r="I57" s="11"/>
      <c r="J57" s="11"/>
      <c r="K57" s="11"/>
      <c r="L57" s="11"/>
      <c r="M57" s="11"/>
      <c r="N57" s="11"/>
      <c r="O57" s="11"/>
      <c r="P57" s="10"/>
      <c r="Q57" s="10"/>
      <c r="R57" s="10"/>
      <c r="S57" s="10"/>
    </row>
    <row r="58" spans="1:19" ht="24" thickBot="1" x14ac:dyDescent="0.4">
      <c r="D58" s="665" t="s">
        <v>135</v>
      </c>
      <c r="E58" s="665"/>
      <c r="F58" s="665"/>
      <c r="G58" s="665"/>
      <c r="H58" s="665"/>
      <c r="I58" s="665"/>
      <c r="J58" s="665"/>
      <c r="K58" s="665"/>
      <c r="L58" s="665"/>
      <c r="M58" s="665"/>
      <c r="N58" s="665"/>
      <c r="O58" s="11"/>
      <c r="P58" s="10"/>
      <c r="Q58" s="10"/>
      <c r="R58" s="10"/>
      <c r="S58" s="10"/>
    </row>
    <row r="59" spans="1:19" ht="68.25" x14ac:dyDescent="0.35">
      <c r="D59" s="21" t="s">
        <v>1</v>
      </c>
      <c r="E59" s="22" t="s">
        <v>42</v>
      </c>
      <c r="F59" s="22" t="s">
        <v>43</v>
      </c>
      <c r="G59" s="22" t="s">
        <v>44</v>
      </c>
      <c r="H59" s="22" t="s">
        <v>58</v>
      </c>
      <c r="I59" s="22" t="s">
        <v>60</v>
      </c>
      <c r="J59" s="22" t="s">
        <v>59</v>
      </c>
      <c r="K59" s="22" t="s">
        <v>61</v>
      </c>
      <c r="L59" s="51" t="s">
        <v>101</v>
      </c>
      <c r="M59" s="22" t="s">
        <v>51</v>
      </c>
      <c r="N59" s="23" t="s">
        <v>52</v>
      </c>
      <c r="O59" s="11"/>
      <c r="P59" s="10"/>
      <c r="Q59" s="10"/>
      <c r="R59" s="10"/>
      <c r="S59" s="10"/>
    </row>
    <row r="60" spans="1:19" ht="23.25" x14ac:dyDescent="0.35">
      <c r="D60" s="24"/>
      <c r="E60" s="604">
        <v>186209</v>
      </c>
      <c r="F60" s="612">
        <f>203494</f>
        <v>203494</v>
      </c>
      <c r="G60" s="26" t="s">
        <v>517</v>
      </c>
      <c r="H60" s="26">
        <f>E60+F60</f>
        <v>389703</v>
      </c>
      <c r="I60" s="26"/>
      <c r="J60" s="26"/>
      <c r="K60" s="26"/>
      <c r="L60" s="27"/>
      <c r="M60" s="27"/>
      <c r="N60" s="28"/>
      <c r="O60" s="11"/>
      <c r="P60" s="10"/>
      <c r="Q60" s="10"/>
      <c r="R60" s="10"/>
      <c r="S60" s="10"/>
    </row>
    <row r="61" spans="1:19" ht="23.25" x14ac:dyDescent="0.35">
      <c r="D61" s="24"/>
      <c r="E61" s="604">
        <v>221279</v>
      </c>
      <c r="F61" s="612">
        <f>237688</f>
        <v>237688</v>
      </c>
      <c r="G61" s="26" t="s">
        <v>517</v>
      </c>
      <c r="H61" s="26">
        <f t="shared" ref="H61:H62" si="11">E61+F61</f>
        <v>458967</v>
      </c>
      <c r="I61" s="26"/>
      <c r="J61" s="26"/>
      <c r="K61" s="26"/>
      <c r="L61" s="27"/>
      <c r="M61" s="27"/>
      <c r="N61" s="28"/>
      <c r="O61" s="11"/>
      <c r="P61" s="10"/>
      <c r="Q61" s="10"/>
      <c r="R61" s="10"/>
      <c r="S61" s="10"/>
    </row>
    <row r="62" spans="1:19" ht="23.25" x14ac:dyDescent="0.35">
      <c r="D62" s="24"/>
      <c r="E62" s="604">
        <v>210336</v>
      </c>
      <c r="F62" s="612">
        <f>223873</f>
        <v>223873</v>
      </c>
      <c r="G62" s="26" t="s">
        <v>517</v>
      </c>
      <c r="H62" s="26">
        <f t="shared" si="11"/>
        <v>434209</v>
      </c>
      <c r="I62" s="26"/>
      <c r="J62" s="26"/>
      <c r="K62" s="26"/>
      <c r="L62" s="27"/>
      <c r="M62" s="27"/>
      <c r="N62" s="28"/>
      <c r="O62" s="11"/>
      <c r="P62" s="10"/>
      <c r="Q62" s="10"/>
      <c r="R62" s="10"/>
      <c r="S62" s="10"/>
    </row>
    <row r="63" spans="1:19" ht="23.25" x14ac:dyDescent="0.35">
      <c r="D63" s="24" t="s">
        <v>4</v>
      </c>
      <c r="E63" s="26">
        <v>145865</v>
      </c>
      <c r="F63" s="26">
        <v>15989</v>
      </c>
      <c r="G63" s="26">
        <v>1001</v>
      </c>
      <c r="H63" s="26">
        <v>162855</v>
      </c>
      <c r="I63" s="26">
        <v>94749</v>
      </c>
      <c r="J63" s="26">
        <v>22210</v>
      </c>
      <c r="K63" s="26">
        <v>279814</v>
      </c>
      <c r="L63" s="27" t="s">
        <v>101</v>
      </c>
      <c r="M63" s="27">
        <v>0.33860000000000001</v>
      </c>
      <c r="N63" s="28">
        <v>7.9399999999999998E-2</v>
      </c>
      <c r="O63" s="11"/>
      <c r="P63" s="10"/>
      <c r="Q63" s="10"/>
      <c r="R63" s="10"/>
      <c r="S63" s="10"/>
    </row>
    <row r="64" spans="1:19" ht="23.25" x14ac:dyDescent="0.35">
      <c r="D64" s="24" t="s">
        <v>5</v>
      </c>
      <c r="E64" s="26">
        <v>174382</v>
      </c>
      <c r="F64" s="26">
        <v>19316</v>
      </c>
      <c r="G64" s="26">
        <v>1006</v>
      </c>
      <c r="H64" s="26">
        <v>194704</v>
      </c>
      <c r="I64" s="26">
        <v>109351</v>
      </c>
      <c r="J64" s="26">
        <v>4616</v>
      </c>
      <c r="K64" s="26">
        <v>308671</v>
      </c>
      <c r="L64" s="27" t="s">
        <v>101</v>
      </c>
      <c r="M64" s="27">
        <v>0.3543</v>
      </c>
      <c r="N64" s="28">
        <v>1.4999999999999999E-2</v>
      </c>
      <c r="O64" s="11"/>
      <c r="P64" s="10"/>
      <c r="Q64" s="10"/>
      <c r="R64" s="10"/>
      <c r="S64" s="10"/>
    </row>
    <row r="65" spans="1:19" ht="23.25" x14ac:dyDescent="0.35">
      <c r="D65" s="24" t="s">
        <v>6</v>
      </c>
      <c r="E65" s="26">
        <v>201470</v>
      </c>
      <c r="F65" s="26">
        <v>31084</v>
      </c>
      <c r="G65" s="26">
        <v>1003</v>
      </c>
      <c r="H65" s="26">
        <v>233557</v>
      </c>
      <c r="I65" s="26">
        <v>111812</v>
      </c>
      <c r="J65" s="26">
        <v>8627</v>
      </c>
      <c r="K65" s="26">
        <v>353996</v>
      </c>
      <c r="L65" s="27" t="s">
        <v>101</v>
      </c>
      <c r="M65" s="27">
        <v>0.31590000000000001</v>
      </c>
      <c r="N65" s="28">
        <v>2.4400000000000002E-2</v>
      </c>
      <c r="O65" s="11"/>
      <c r="P65" s="10"/>
      <c r="Q65" s="10"/>
      <c r="R65" s="10"/>
      <c r="S65" s="10"/>
    </row>
    <row r="66" spans="1:19" ht="24" thickBot="1" x14ac:dyDescent="0.4">
      <c r="D66" s="29" t="s">
        <v>7</v>
      </c>
      <c r="E66" s="31">
        <v>217931</v>
      </c>
      <c r="F66" s="31">
        <v>24482</v>
      </c>
      <c r="G66" s="31">
        <v>965</v>
      </c>
      <c r="H66" s="31">
        <v>243378</v>
      </c>
      <c r="I66" s="31">
        <v>96254</v>
      </c>
      <c r="J66" s="31">
        <v>10985</v>
      </c>
      <c r="K66" s="31">
        <v>350617</v>
      </c>
      <c r="L66" s="32" t="s">
        <v>101</v>
      </c>
      <c r="M66" s="32">
        <v>0.27450000000000002</v>
      </c>
      <c r="N66" s="33">
        <v>3.1300000000000001E-2</v>
      </c>
      <c r="O66" s="11"/>
      <c r="P66" s="10"/>
      <c r="Q66" s="10"/>
      <c r="R66" s="10"/>
      <c r="S66" s="10"/>
    </row>
    <row r="67" spans="1:19" ht="23.25" x14ac:dyDescent="0.35">
      <c r="D67" s="11"/>
      <c r="E67" s="11"/>
      <c r="F67" s="11"/>
      <c r="G67" s="11"/>
      <c r="H67" s="11"/>
      <c r="I67" s="11"/>
      <c r="J67" s="11"/>
      <c r="K67" s="11"/>
      <c r="L67" s="11"/>
      <c r="M67" s="11"/>
      <c r="N67" s="11"/>
      <c r="O67" s="11"/>
      <c r="P67" s="10"/>
      <c r="Q67" s="10"/>
      <c r="R67" s="10"/>
      <c r="S67" s="10"/>
    </row>
    <row r="68" spans="1:19" ht="23.25" x14ac:dyDescent="0.35">
      <c r="D68" s="595">
        <v>203494</v>
      </c>
      <c r="E68" s="595">
        <v>237688</v>
      </c>
      <c r="F68" s="595">
        <f>3*5</f>
        <v>15</v>
      </c>
      <c r="G68" s="11"/>
      <c r="H68" s="11"/>
      <c r="I68" s="11"/>
      <c r="J68" s="11"/>
      <c r="K68" s="11"/>
      <c r="L68" s="11"/>
      <c r="M68" s="11"/>
      <c r="N68" s="11"/>
      <c r="O68" s="11"/>
      <c r="P68" s="10"/>
      <c r="Q68" s="10"/>
      <c r="R68" s="10"/>
      <c r="S68" s="10"/>
    </row>
    <row r="69" spans="1:19" ht="24" thickBot="1" x14ac:dyDescent="0.4">
      <c r="D69" s="665" t="s">
        <v>136</v>
      </c>
      <c r="E69" s="665"/>
      <c r="F69" s="665"/>
      <c r="G69" s="665"/>
      <c r="H69" s="665"/>
      <c r="I69" s="665"/>
      <c r="J69" s="665"/>
      <c r="K69" s="665"/>
      <c r="L69" s="665"/>
      <c r="M69" s="665"/>
      <c r="N69" s="665"/>
      <c r="O69" s="11"/>
      <c r="P69" s="10"/>
      <c r="Q69" s="10"/>
      <c r="R69" s="10"/>
      <c r="S69" s="10"/>
    </row>
    <row r="70" spans="1:19" ht="68.25" x14ac:dyDescent="0.35">
      <c r="A70" s="11">
        <v>0.82000890608516352</v>
      </c>
      <c r="B70" s="11">
        <v>0.93301957651469847</v>
      </c>
      <c r="D70" s="21" t="s">
        <v>1</v>
      </c>
      <c r="E70" s="22" t="s">
        <v>42</v>
      </c>
      <c r="F70" s="22" t="s">
        <v>43</v>
      </c>
      <c r="G70" s="22" t="s">
        <v>44</v>
      </c>
      <c r="H70" s="22" t="s">
        <v>58</v>
      </c>
      <c r="I70" s="22" t="s">
        <v>60</v>
      </c>
      <c r="J70" s="22" t="s">
        <v>59</v>
      </c>
      <c r="K70" s="22" t="s">
        <v>61</v>
      </c>
      <c r="L70" s="51" t="s">
        <v>101</v>
      </c>
      <c r="M70" s="22" t="s">
        <v>51</v>
      </c>
      <c r="N70" s="23" t="s">
        <v>52</v>
      </c>
      <c r="O70" s="11"/>
      <c r="P70" s="10"/>
      <c r="Q70" s="10"/>
      <c r="R70" s="10"/>
      <c r="S70" s="10"/>
    </row>
    <row r="71" spans="1:19" ht="23.25" x14ac:dyDescent="0.35">
      <c r="A71" s="11">
        <v>0.85854933495649211</v>
      </c>
      <c r="B71" s="11">
        <v>1.0133233616058415</v>
      </c>
      <c r="D71" s="24"/>
      <c r="E71" s="604">
        <f>E60/A70</f>
        <v>227081.67998929138</v>
      </c>
      <c r="F71" s="26">
        <f>F60/B70</f>
        <v>218102.60483510254</v>
      </c>
      <c r="G71" s="26" t="s">
        <v>517</v>
      </c>
      <c r="H71" s="26">
        <f>E71+F71</f>
        <v>445184.28482439392</v>
      </c>
      <c r="I71" s="26"/>
      <c r="J71" s="26"/>
      <c r="K71" s="26"/>
      <c r="L71" s="27"/>
      <c r="M71" s="27"/>
      <c r="N71" s="28"/>
      <c r="O71" s="11"/>
      <c r="P71" s="10"/>
      <c r="Q71" s="10"/>
      <c r="R71" s="10"/>
      <c r="S71" s="10"/>
    </row>
    <row r="72" spans="1:19" ht="23.25" x14ac:dyDescent="0.35">
      <c r="A72" s="11">
        <v>0.89374985851557864</v>
      </c>
      <c r="B72" s="11">
        <v>1.0878658630048472</v>
      </c>
      <c r="D72" s="24"/>
      <c r="E72" s="604">
        <f t="shared" ref="E72:F72" si="12">E61/A71</f>
        <v>257735.91684304728</v>
      </c>
      <c r="F72" s="26">
        <f t="shared" si="12"/>
        <v>234562.83453618328</v>
      </c>
      <c r="G72" s="26" t="s">
        <v>517</v>
      </c>
      <c r="H72" s="26">
        <f t="shared" ref="H72:H73" si="13">E72+F72</f>
        <v>492298.75137923053</v>
      </c>
      <c r="I72" s="26"/>
      <c r="J72" s="26"/>
      <c r="K72" s="26"/>
      <c r="L72" s="27"/>
      <c r="M72" s="27"/>
      <c r="N72" s="28"/>
      <c r="O72" s="11"/>
      <c r="P72" s="10"/>
      <c r="Q72" s="10"/>
      <c r="R72" s="10"/>
      <c r="S72" s="10"/>
    </row>
    <row r="73" spans="1:19" ht="23.25" x14ac:dyDescent="0.35">
      <c r="A73" s="11">
        <v>0.92446405985302782</v>
      </c>
      <c r="B73" s="11">
        <v>1.0374918414074443</v>
      </c>
      <c r="D73" s="24"/>
      <c r="E73" s="604">
        <f t="shared" ref="E73:F73" si="14">E62/A72</f>
        <v>235341.01627646154</v>
      </c>
      <c r="F73" s="26">
        <f t="shared" si="14"/>
        <v>205790.99649439269</v>
      </c>
      <c r="G73" s="26" t="s">
        <v>517</v>
      </c>
      <c r="H73" s="26">
        <f t="shared" si="13"/>
        <v>441132.01277085423</v>
      </c>
      <c r="I73" s="26"/>
      <c r="J73" s="26"/>
      <c r="K73" s="26"/>
      <c r="L73" s="27"/>
      <c r="M73" s="27"/>
      <c r="N73" s="28"/>
      <c r="O73" s="11"/>
      <c r="P73" s="10"/>
      <c r="Q73" s="10"/>
      <c r="R73" s="10"/>
      <c r="S73" s="10"/>
    </row>
    <row r="74" spans="1:19" ht="23.25" x14ac:dyDescent="0.35">
      <c r="A74" s="11">
        <v>0.9517686714348732</v>
      </c>
      <c r="B74" s="11">
        <v>0.95301421777443041</v>
      </c>
      <c r="D74" s="24" t="s">
        <v>4</v>
      </c>
      <c r="E74" s="26">
        <v>157692</v>
      </c>
      <c r="F74" s="26">
        <v>17285</v>
      </c>
      <c r="G74" s="26">
        <v>1082</v>
      </c>
      <c r="H74" s="26">
        <v>176059</v>
      </c>
      <c r="I74" s="26">
        <v>101120</v>
      </c>
      <c r="J74" s="26">
        <v>29896</v>
      </c>
      <c r="K74" s="26">
        <v>307075</v>
      </c>
      <c r="L74" s="27" t="s">
        <v>101</v>
      </c>
      <c r="M74" s="27">
        <v>0.32929999999999998</v>
      </c>
      <c r="N74" s="28">
        <v>9.74E-2</v>
      </c>
      <c r="O74" s="11"/>
      <c r="P74" s="10"/>
      <c r="Q74" s="10"/>
      <c r="R74" s="10"/>
      <c r="S74" s="10"/>
    </row>
    <row r="75" spans="1:19" ht="23.25" x14ac:dyDescent="0.35">
      <c r="A75" s="11">
        <v>0.97093136095156707</v>
      </c>
      <c r="B75" s="11">
        <v>0.92480567620738297</v>
      </c>
      <c r="D75" s="24" t="s">
        <v>5</v>
      </c>
      <c r="E75" s="26">
        <v>182982</v>
      </c>
      <c r="F75" s="26">
        <v>20269</v>
      </c>
      <c r="G75" s="26">
        <v>1056</v>
      </c>
      <c r="H75" s="26">
        <v>204306</v>
      </c>
      <c r="I75" s="26">
        <v>110904</v>
      </c>
      <c r="J75" s="26">
        <v>8976</v>
      </c>
      <c r="K75" s="26">
        <v>324186</v>
      </c>
      <c r="L75" s="27" t="s">
        <v>101</v>
      </c>
      <c r="M75" s="27">
        <v>0.34210000000000002</v>
      </c>
      <c r="N75" s="28">
        <v>2.7699999999999999E-2</v>
      </c>
      <c r="O75" s="11"/>
      <c r="P75" s="10"/>
      <c r="Q75" s="10"/>
      <c r="R75" s="10"/>
      <c r="S75" s="10"/>
    </row>
    <row r="76" spans="1:19" ht="23.25" x14ac:dyDescent="0.35">
      <c r="A76" s="11">
        <v>1</v>
      </c>
      <c r="B76" s="11">
        <v>1</v>
      </c>
      <c r="D76" s="24" t="s">
        <v>6</v>
      </c>
      <c r="E76" s="26">
        <v>207701</v>
      </c>
      <c r="F76" s="26">
        <v>32045</v>
      </c>
      <c r="G76" s="26">
        <v>1034</v>
      </c>
      <c r="H76" s="26">
        <v>240780</v>
      </c>
      <c r="I76" s="26">
        <v>114915</v>
      </c>
      <c r="J76" s="26">
        <v>13381</v>
      </c>
      <c r="K76" s="26">
        <v>369076</v>
      </c>
      <c r="L76" s="27" t="s">
        <v>101</v>
      </c>
      <c r="M76" s="27">
        <v>0.31140000000000001</v>
      </c>
      <c r="N76" s="28">
        <v>3.6299999999999999E-2</v>
      </c>
      <c r="O76" s="11"/>
      <c r="P76" s="10"/>
      <c r="Q76" s="10"/>
      <c r="R76" s="10"/>
      <c r="S76" s="10"/>
    </row>
    <row r="77" spans="1:19" ht="24" thickBot="1" x14ac:dyDescent="0.4">
      <c r="D77" s="29" t="s">
        <v>7</v>
      </c>
      <c r="E77" s="31">
        <v>217931</v>
      </c>
      <c r="F77" s="31">
        <v>24482</v>
      </c>
      <c r="G77" s="31">
        <v>965</v>
      </c>
      <c r="H77" s="31">
        <v>243378</v>
      </c>
      <c r="I77" s="31">
        <v>96254</v>
      </c>
      <c r="J77" s="31">
        <v>13650</v>
      </c>
      <c r="K77" s="31">
        <v>353282</v>
      </c>
      <c r="L77" s="32" t="s">
        <v>101</v>
      </c>
      <c r="M77" s="32">
        <v>0.27250000000000002</v>
      </c>
      <c r="N77" s="33">
        <v>3.8600000000000002E-2</v>
      </c>
      <c r="O77" s="11"/>
      <c r="P77" s="10"/>
      <c r="Q77" s="10"/>
      <c r="R77" s="10"/>
      <c r="S77" s="10"/>
    </row>
    <row r="78" spans="1:19" ht="23.25" x14ac:dyDescent="0.35">
      <c r="D78" s="11"/>
      <c r="E78" s="11"/>
      <c r="F78" s="11"/>
      <c r="G78" s="11"/>
      <c r="H78" s="11"/>
      <c r="I78" s="11"/>
      <c r="J78" s="11"/>
      <c r="K78" s="11"/>
      <c r="L78" s="11"/>
      <c r="M78" s="11"/>
      <c r="N78" s="11"/>
      <c r="O78" s="11"/>
      <c r="P78" s="10"/>
      <c r="Q78" s="10"/>
      <c r="R78" s="10"/>
      <c r="S78" s="10"/>
    </row>
    <row r="79" spans="1:19" ht="23.25" x14ac:dyDescent="0.35">
      <c r="D79" s="11"/>
      <c r="E79" s="11"/>
      <c r="F79" s="11"/>
      <c r="G79" s="11"/>
      <c r="H79" s="11"/>
      <c r="I79" s="11"/>
      <c r="J79" s="11"/>
      <c r="K79" s="11"/>
      <c r="L79" s="11"/>
      <c r="M79" s="11"/>
      <c r="N79" s="11"/>
      <c r="O79" s="11"/>
      <c r="P79" s="10"/>
      <c r="Q79" s="10"/>
      <c r="R79" s="10"/>
      <c r="S79" s="10"/>
    </row>
    <row r="80" spans="1:19" ht="23.25" x14ac:dyDescent="0.35">
      <c r="D80" s="11"/>
      <c r="E80" s="11"/>
      <c r="F80" s="11"/>
      <c r="G80" s="11"/>
      <c r="H80" s="11"/>
      <c r="I80" s="11"/>
      <c r="J80" s="11"/>
      <c r="K80" s="11"/>
      <c r="L80" s="11"/>
      <c r="M80" s="11"/>
      <c r="N80" s="11"/>
      <c r="O80" s="11"/>
      <c r="P80" s="10"/>
      <c r="Q80" s="10"/>
      <c r="R80" s="10"/>
      <c r="S80" s="10"/>
    </row>
    <row r="81" spans="4:19" ht="23.25" x14ac:dyDescent="0.35">
      <c r="D81" s="11"/>
      <c r="E81" s="11"/>
      <c r="F81" s="11"/>
      <c r="G81" s="11"/>
      <c r="H81" s="11"/>
      <c r="I81" s="11"/>
      <c r="J81" s="11"/>
      <c r="K81" s="11"/>
      <c r="L81" s="34"/>
      <c r="M81" s="34"/>
      <c r="N81" s="34"/>
      <c r="O81" s="34"/>
      <c r="P81" s="10"/>
      <c r="Q81" s="10"/>
      <c r="R81" s="10"/>
      <c r="S81" s="10"/>
    </row>
    <row r="82" spans="4:19" ht="23.25" x14ac:dyDescent="0.35">
      <c r="D82" s="11"/>
      <c r="E82" s="11"/>
      <c r="F82" s="11"/>
      <c r="G82" s="11"/>
      <c r="H82" s="12"/>
      <c r="I82" s="11"/>
      <c r="J82" s="11"/>
      <c r="K82" s="11"/>
      <c r="L82" s="11"/>
      <c r="M82" s="11"/>
      <c r="N82" s="11"/>
      <c r="O82" s="11"/>
      <c r="P82" s="10"/>
      <c r="Q82" s="10"/>
      <c r="R82" s="10"/>
      <c r="S82" s="10"/>
    </row>
    <row r="83" spans="4:19" ht="24" customHeight="1" thickBot="1" x14ac:dyDescent="0.4">
      <c r="D83" s="35" t="s">
        <v>63</v>
      </c>
      <c r="E83" s="35"/>
      <c r="F83" s="35"/>
      <c r="G83" s="35"/>
      <c r="H83" s="35"/>
      <c r="I83" s="35"/>
      <c r="J83" s="35"/>
      <c r="K83" s="35"/>
      <c r="L83" s="11"/>
      <c r="M83" s="11"/>
      <c r="N83" s="11"/>
      <c r="O83" s="11"/>
      <c r="P83" s="10"/>
      <c r="Q83" s="10"/>
      <c r="R83" s="10"/>
      <c r="S83" s="10"/>
    </row>
    <row r="84" spans="4:19" ht="45.75" customHeight="1" x14ac:dyDescent="0.35">
      <c r="D84" s="50" t="s">
        <v>1</v>
      </c>
      <c r="E84" s="51" t="s">
        <v>42</v>
      </c>
      <c r="F84" s="51" t="s">
        <v>43</v>
      </c>
      <c r="G84" s="51" t="s">
        <v>44</v>
      </c>
      <c r="H84" s="51" t="s">
        <v>58</v>
      </c>
      <c r="I84" s="51" t="s">
        <v>60</v>
      </c>
      <c r="J84" s="51" t="s">
        <v>404</v>
      </c>
      <c r="K84" s="36" t="s">
        <v>59</v>
      </c>
      <c r="L84" s="11" t="s">
        <v>277</v>
      </c>
      <c r="M84" s="11"/>
      <c r="N84" s="11"/>
      <c r="O84" s="11"/>
      <c r="P84" s="10"/>
      <c r="Q84" s="10"/>
      <c r="R84" s="10"/>
      <c r="S84" s="10"/>
    </row>
    <row r="85" spans="4:19" ht="23.25" x14ac:dyDescent="0.35">
      <c r="D85" s="24"/>
      <c r="E85" s="26">
        <f t="shared" ref="E85" si="15">E24+F48+E71</f>
        <v>31769301.63786776</v>
      </c>
      <c r="F85" s="26">
        <f t="shared" ref="F85" si="16">F24+G48+F71</f>
        <v>1476262.4446027114</v>
      </c>
      <c r="G85" s="26">
        <f>G24+H48</f>
        <v>7018981.5785218021</v>
      </c>
      <c r="H85" s="26">
        <f t="shared" ref="H85:H87" si="17">E85+F85+G85</f>
        <v>40264545.660992272</v>
      </c>
      <c r="I85" s="26"/>
      <c r="J85" s="37"/>
      <c r="K85" s="38"/>
      <c r="L85" s="41"/>
      <c r="M85" s="11"/>
      <c r="N85" s="11"/>
      <c r="O85" s="11"/>
      <c r="P85" s="10"/>
      <c r="Q85" s="10"/>
      <c r="R85" s="10"/>
      <c r="S85" s="10"/>
    </row>
    <row r="86" spans="4:19" ht="23.25" x14ac:dyDescent="0.35">
      <c r="D86" s="24"/>
      <c r="E86" s="26">
        <f t="shared" ref="E86" si="18">E25+F49+E72</f>
        <v>32596060.956325002</v>
      </c>
      <c r="F86" s="26">
        <f t="shared" ref="F86" si="19">F25+G49+F72</f>
        <v>1261692.6814648334</v>
      </c>
      <c r="G86" s="26">
        <f t="shared" ref="G86:G87" si="20">G25+H49</f>
        <v>7434909.9022415737</v>
      </c>
      <c r="H86" s="26">
        <f t="shared" si="17"/>
        <v>41292663.540031411</v>
      </c>
      <c r="I86" s="26"/>
      <c r="J86" s="37"/>
      <c r="K86" s="38"/>
      <c r="L86" s="41"/>
      <c r="M86" s="11"/>
      <c r="N86" s="11"/>
      <c r="O86" s="11"/>
      <c r="P86" s="10"/>
      <c r="Q86" s="10"/>
      <c r="R86" s="10"/>
      <c r="S86" s="10"/>
    </row>
    <row r="87" spans="4:19" ht="23.25" x14ac:dyDescent="0.35">
      <c r="D87" s="24"/>
      <c r="E87" s="26">
        <f t="shared" ref="E87" si="21">E26+F50+E73</f>
        <v>32455037.131831132</v>
      </c>
      <c r="F87" s="26">
        <f t="shared" ref="F87" si="22">F26+G50+F73</f>
        <v>925325.17575166887</v>
      </c>
      <c r="G87" s="26">
        <f t="shared" si="20"/>
        <v>7324709.9503195798</v>
      </c>
      <c r="H87" s="26">
        <f t="shared" si="17"/>
        <v>40705072.257902376</v>
      </c>
      <c r="I87" s="26"/>
      <c r="J87" s="37"/>
      <c r="K87" s="38"/>
      <c r="L87" s="41"/>
      <c r="M87" s="11"/>
      <c r="N87" s="11"/>
      <c r="O87" s="11"/>
      <c r="P87" s="10"/>
      <c r="Q87" s="10"/>
      <c r="R87" s="10"/>
      <c r="S87" s="10"/>
    </row>
    <row r="88" spans="4:19" ht="23.25" x14ac:dyDescent="0.35">
      <c r="D88" s="24" t="s">
        <v>4</v>
      </c>
      <c r="E88" s="26">
        <f t="shared" ref="E88:H91" si="23">E27+F51+E74</f>
        <v>33126863</v>
      </c>
      <c r="F88" s="26">
        <f t="shared" si="23"/>
        <v>1041135</v>
      </c>
      <c r="G88" s="26">
        <f t="shared" si="23"/>
        <v>7360897</v>
      </c>
      <c r="H88" s="26">
        <f t="shared" si="23"/>
        <v>42771927</v>
      </c>
      <c r="I88" s="26">
        <f>I27+K51+I74</f>
        <v>11903712</v>
      </c>
      <c r="J88" s="37">
        <f>K27+J51+J74</f>
        <v>4300893</v>
      </c>
      <c r="K88" s="38">
        <f>J27+J51+J74</f>
        <v>4876570</v>
      </c>
      <c r="L88" s="41">
        <f>SUM(E88,F88,G88,I88,J88,)</f>
        <v>57733500</v>
      </c>
      <c r="M88" s="11"/>
      <c r="N88" s="11"/>
      <c r="O88" s="11"/>
      <c r="P88" s="10"/>
      <c r="Q88" s="10"/>
      <c r="R88" s="10"/>
      <c r="S88" s="10"/>
    </row>
    <row r="89" spans="4:19" ht="23.25" x14ac:dyDescent="0.35">
      <c r="D89" s="24" t="s">
        <v>5</v>
      </c>
      <c r="E89" s="26">
        <f t="shared" si="23"/>
        <v>34845222</v>
      </c>
      <c r="F89" s="26">
        <f t="shared" si="23"/>
        <v>1506515</v>
      </c>
      <c r="G89" s="26">
        <f t="shared" si="23"/>
        <v>7972458</v>
      </c>
      <c r="H89" s="26">
        <f t="shared" si="23"/>
        <v>45010088</v>
      </c>
      <c r="I89" s="26">
        <f>I28+K52+I75</f>
        <v>13152895</v>
      </c>
      <c r="J89" s="37">
        <f>K28+J52+J75</f>
        <v>4138228</v>
      </c>
      <c r="K89" s="38">
        <f>J28+J52+J75</f>
        <v>4519214</v>
      </c>
      <c r="L89" s="41">
        <f>SUM(E89,F89,G89,I89,J89,)</f>
        <v>61615318</v>
      </c>
      <c r="M89" s="11"/>
      <c r="N89" s="11"/>
      <c r="O89" s="11"/>
      <c r="P89" s="10"/>
      <c r="Q89" s="10"/>
      <c r="R89" s="10"/>
      <c r="S89" s="10"/>
    </row>
    <row r="90" spans="4:19" ht="23.25" x14ac:dyDescent="0.35">
      <c r="D90" s="24" t="s">
        <v>6</v>
      </c>
      <c r="E90" s="26">
        <f t="shared" si="23"/>
        <v>36855076</v>
      </c>
      <c r="F90" s="26">
        <f t="shared" si="23"/>
        <v>1804668</v>
      </c>
      <c r="G90" s="26">
        <f t="shared" si="23"/>
        <v>8629035</v>
      </c>
      <c r="H90" s="26">
        <f t="shared" si="23"/>
        <v>48528441</v>
      </c>
      <c r="I90" s="26">
        <f>I29+K53+I76</f>
        <v>12480540</v>
      </c>
      <c r="J90" s="37">
        <f>K29+J53+J76</f>
        <v>4583079</v>
      </c>
      <c r="K90" s="38">
        <f>J29+J53+J76</f>
        <v>7330352</v>
      </c>
      <c r="L90" s="41">
        <f>SUM(E90,F90,G90,I90,J90,)</f>
        <v>64352398</v>
      </c>
      <c r="M90" s="11"/>
      <c r="N90" s="11"/>
      <c r="O90" s="11"/>
      <c r="P90" s="10"/>
      <c r="Q90" s="10"/>
      <c r="R90" s="10"/>
      <c r="S90" s="10"/>
    </row>
    <row r="91" spans="4:19" ht="24" thickBot="1" x14ac:dyDescent="0.4">
      <c r="D91" s="29" t="s">
        <v>7</v>
      </c>
      <c r="E91" s="39">
        <f t="shared" si="23"/>
        <v>37824774</v>
      </c>
      <c r="F91" s="39">
        <f t="shared" si="23"/>
        <v>1753583</v>
      </c>
      <c r="G91" s="39">
        <f t="shared" si="23"/>
        <v>7326514</v>
      </c>
      <c r="H91" s="39">
        <f t="shared" si="23"/>
        <v>50194850</v>
      </c>
      <c r="I91" s="39">
        <f>I30+K54+I77</f>
        <v>13246818</v>
      </c>
      <c r="J91" s="39">
        <f>K30+J54+J77</f>
        <v>4082646</v>
      </c>
      <c r="K91" s="40">
        <f>J30+J54+J77</f>
        <v>5375368</v>
      </c>
      <c r="L91" s="41">
        <f>SUM(E91,F91,G91,I91,J91,)</f>
        <v>64234335</v>
      </c>
      <c r="M91" s="11"/>
      <c r="N91" s="11"/>
      <c r="O91" s="11"/>
      <c r="P91" s="10"/>
      <c r="Q91" s="10"/>
      <c r="R91" s="10"/>
      <c r="S91" s="10"/>
    </row>
    <row r="92" spans="4:19" ht="23.25" x14ac:dyDescent="0.35">
      <c r="D92" s="11"/>
      <c r="E92" s="11"/>
      <c r="F92" s="11"/>
      <c r="G92" s="11"/>
      <c r="H92" s="11"/>
      <c r="I92" s="11"/>
      <c r="J92" s="11"/>
      <c r="K92" s="11"/>
      <c r="L92" s="11"/>
      <c r="M92" s="11"/>
      <c r="N92" s="11"/>
      <c r="O92" s="11"/>
      <c r="P92" s="10"/>
      <c r="Q92" s="10"/>
      <c r="R92" s="10"/>
      <c r="S92" s="10"/>
    </row>
    <row r="93" spans="4:19" ht="23.25" x14ac:dyDescent="0.35">
      <c r="D93" s="11"/>
      <c r="E93" s="11"/>
      <c r="F93" s="11"/>
      <c r="G93" s="11"/>
      <c r="H93" s="11"/>
      <c r="I93" s="11"/>
      <c r="J93" s="11"/>
      <c r="K93" s="11"/>
      <c r="L93" s="11"/>
      <c r="M93" s="11"/>
      <c r="N93" s="11"/>
      <c r="O93" s="11"/>
      <c r="P93" s="10"/>
      <c r="Q93" s="10"/>
      <c r="R93" s="10"/>
      <c r="S93" s="10"/>
    </row>
    <row r="94" spans="4:19" ht="24" customHeight="1" thickBot="1" x14ac:dyDescent="0.4">
      <c r="D94" s="664" t="s">
        <v>63</v>
      </c>
      <c r="E94" s="664"/>
      <c r="F94" s="664"/>
      <c r="G94" s="664"/>
      <c r="H94" s="664"/>
      <c r="I94" s="664"/>
      <c r="J94" s="664"/>
      <c r="K94" s="664"/>
      <c r="L94" s="11"/>
      <c r="M94" s="11"/>
      <c r="N94" s="11"/>
      <c r="O94" s="11"/>
      <c r="P94" s="10"/>
      <c r="Q94" s="10"/>
      <c r="R94" s="10"/>
      <c r="S94" s="10"/>
    </row>
    <row r="95" spans="4:19" ht="90.75" x14ac:dyDescent="0.35">
      <c r="D95" s="50" t="s">
        <v>1</v>
      </c>
      <c r="E95" s="51" t="s">
        <v>42</v>
      </c>
      <c r="F95" s="51" t="s">
        <v>43</v>
      </c>
      <c r="G95" s="51" t="s">
        <v>44</v>
      </c>
      <c r="H95" s="51" t="s">
        <v>58</v>
      </c>
      <c r="I95" s="51" t="s">
        <v>60</v>
      </c>
      <c r="J95" s="51" t="s">
        <v>62</v>
      </c>
      <c r="K95" s="36" t="s">
        <v>59</v>
      </c>
      <c r="L95" s="11" t="s">
        <v>277</v>
      </c>
      <c r="M95" s="10"/>
      <c r="N95" s="10"/>
      <c r="O95" s="10"/>
      <c r="P95" s="10"/>
      <c r="Q95" s="10"/>
      <c r="R95" s="10"/>
      <c r="S95" s="10"/>
    </row>
    <row r="96" spans="4:19" ht="23.25" x14ac:dyDescent="0.35">
      <c r="D96" s="24"/>
      <c r="E96" s="26">
        <f t="shared" ref="E96:F96" si="24">E12+F36+E60</f>
        <v>26085037.644960001</v>
      </c>
      <c r="F96" s="26">
        <f t="shared" si="24"/>
        <v>1365244.61427</v>
      </c>
      <c r="G96" s="26">
        <f>G12+H36</f>
        <v>5793300.5154999997</v>
      </c>
      <c r="H96" s="26">
        <f>E96+F96+G96</f>
        <v>33243582.774730004</v>
      </c>
      <c r="I96" s="26"/>
      <c r="J96" s="26"/>
      <c r="K96" s="38"/>
      <c r="L96" s="41"/>
      <c r="M96" s="10"/>
      <c r="N96" s="10"/>
      <c r="O96" s="10"/>
      <c r="P96" s="10"/>
      <c r="Q96" s="10"/>
      <c r="R96" s="10"/>
      <c r="S96" s="10"/>
    </row>
    <row r="97" spans="4:19" ht="23.25" x14ac:dyDescent="0.35">
      <c r="D97" s="24"/>
      <c r="E97" s="26">
        <f t="shared" ref="E97:F97" si="25">E13+F37+E61</f>
        <v>28027090.5</v>
      </c>
      <c r="F97" s="26">
        <f t="shared" si="25"/>
        <v>1264450.5</v>
      </c>
      <c r="G97" s="26">
        <f t="shared" ref="G97:G98" si="26">G13+H37</f>
        <v>6431297.8149999995</v>
      </c>
      <c r="H97" s="26">
        <f t="shared" ref="H97:H98" si="27">E97+F97+G97</f>
        <v>35722838.814999998</v>
      </c>
      <c r="I97" s="26"/>
      <c r="J97" s="26"/>
      <c r="K97" s="38"/>
      <c r="L97" s="41"/>
      <c r="M97" s="10"/>
      <c r="N97" s="10"/>
      <c r="O97" s="10"/>
      <c r="P97" s="10"/>
      <c r="Q97" s="10"/>
      <c r="S97" s="10"/>
    </row>
    <row r="98" spans="4:19" ht="23.25" x14ac:dyDescent="0.35">
      <c r="D98" s="24"/>
      <c r="E98" s="26">
        <f t="shared" ref="E98:F98" si="28">E14+F38+E62</f>
        <v>29049856</v>
      </c>
      <c r="F98" s="26">
        <f t="shared" si="28"/>
        <v>995330</v>
      </c>
      <c r="G98" s="26">
        <f t="shared" si="26"/>
        <v>6599301.125</v>
      </c>
      <c r="H98" s="26">
        <f t="shared" si="27"/>
        <v>36644487.125</v>
      </c>
      <c r="I98" s="26"/>
      <c r="J98" s="26"/>
      <c r="K98" s="38"/>
      <c r="L98" s="41"/>
      <c r="M98" s="10"/>
      <c r="N98" s="10"/>
      <c r="O98" s="10"/>
      <c r="P98" s="10"/>
      <c r="Q98" s="10"/>
      <c r="S98" s="10"/>
    </row>
    <row r="99" spans="4:19" ht="23.25" x14ac:dyDescent="0.35">
      <c r="D99" s="24" t="s">
        <v>4</v>
      </c>
      <c r="E99" s="26">
        <f t="shared" ref="E99:I102" si="29">E15+F39+E63</f>
        <v>30306044.70163</v>
      </c>
      <c r="F99" s="26">
        <f t="shared" si="29"/>
        <v>967707.29836999997</v>
      </c>
      <c r="G99" s="26">
        <f t="shared" si="29"/>
        <v>6808830</v>
      </c>
      <c r="H99" s="26">
        <f t="shared" si="29"/>
        <v>39365862</v>
      </c>
      <c r="I99" s="26">
        <f t="shared" si="29"/>
        <v>11020951</v>
      </c>
      <c r="J99" s="26">
        <f>K15+K39+J63</f>
        <v>3090252</v>
      </c>
      <c r="K99" s="38">
        <f>J15+J39+J63</f>
        <v>4390817</v>
      </c>
      <c r="L99" s="41">
        <f>SUM(E99,F99,G99,I99,J99,)</f>
        <v>52193785</v>
      </c>
      <c r="M99" s="10"/>
      <c r="N99" s="10"/>
      <c r="O99" s="10"/>
      <c r="P99" s="10"/>
      <c r="Q99" s="10"/>
      <c r="S99" s="10"/>
    </row>
    <row r="100" spans="4:19" ht="23.25" customHeight="1" x14ac:dyDescent="0.3">
      <c r="D100" s="24" t="s">
        <v>5</v>
      </c>
      <c r="E100" s="26">
        <f t="shared" si="29"/>
        <v>32572379.139851034</v>
      </c>
      <c r="F100" s="26">
        <f t="shared" si="29"/>
        <v>1435736.7426</v>
      </c>
      <c r="G100" s="26">
        <f t="shared" si="29"/>
        <v>7597741.5569399996</v>
      </c>
      <c r="H100" s="26">
        <f t="shared" si="29"/>
        <v>42571131.439391032</v>
      </c>
      <c r="I100" s="26">
        <f t="shared" si="29"/>
        <v>12250806</v>
      </c>
      <c r="J100" s="26">
        <f>K16+K40+J64</f>
        <v>3105812</v>
      </c>
      <c r="K100" s="38">
        <f>J16+J40+J64</f>
        <v>4286610</v>
      </c>
      <c r="L100" s="41">
        <f>SUM(E100,F100,G100,I100,J100,)</f>
        <v>56962475.439391032</v>
      </c>
    </row>
    <row r="101" spans="4:19" ht="22.5" x14ac:dyDescent="0.3">
      <c r="D101" s="24" t="s">
        <v>6</v>
      </c>
      <c r="E101" s="26">
        <f t="shared" si="29"/>
        <v>34911729.861659989</v>
      </c>
      <c r="F101" s="26">
        <f t="shared" si="29"/>
        <v>1643244.8954399999</v>
      </c>
      <c r="G101" s="26">
        <f t="shared" si="29"/>
        <v>8370123.3679799996</v>
      </c>
      <c r="H101" s="26">
        <f t="shared" si="29"/>
        <v>46167272.125079989</v>
      </c>
      <c r="I101" s="26">
        <f t="shared" si="29"/>
        <v>13382737</v>
      </c>
      <c r="J101" s="26">
        <f>K17+K41+J65</f>
        <v>3181243</v>
      </c>
      <c r="K101" s="38">
        <f>J17+J41+J65</f>
        <v>7149453</v>
      </c>
      <c r="L101" s="41">
        <f>SUM(E101,F101,G101,I101,J101,)</f>
        <v>61489078.125079989</v>
      </c>
    </row>
    <row r="102" spans="4:19" ht="23.25" thickBot="1" x14ac:dyDescent="0.35">
      <c r="D102" s="29" t="s">
        <v>7</v>
      </c>
      <c r="E102" s="26">
        <f t="shared" si="29"/>
        <v>36962626</v>
      </c>
      <c r="F102" s="26">
        <f t="shared" si="29"/>
        <v>1753583</v>
      </c>
      <c r="G102" s="26">
        <f t="shared" si="29"/>
        <v>7326514</v>
      </c>
      <c r="H102" s="26">
        <f t="shared" si="29"/>
        <v>49332702</v>
      </c>
      <c r="I102" s="26">
        <f t="shared" si="29"/>
        <v>13890799</v>
      </c>
      <c r="J102" s="26">
        <f>K18+K42+J66</f>
        <v>3246804</v>
      </c>
      <c r="K102" s="38">
        <f>J18+J42+J66</f>
        <v>5372703</v>
      </c>
      <c r="L102" s="41">
        <f>SUM(E102,F102,G102,I102,J102,)</f>
        <v>63180326</v>
      </c>
    </row>
  </sheetData>
  <customSheetViews>
    <customSheetView guid="{9EA95E61-FCA5-4867-AEB4-B8C24058ACDD}" scale="60" showGridLines="0" showRowCol="0" state="hidden" topLeftCell="C17">
      <selection activeCell="E48" sqref="E48"/>
      <pageMargins left="0.7" right="0.7" top="0.75" bottom="0.75" header="0.3" footer="0.3"/>
      <pageSetup paperSize="9" orientation="portrait" r:id="rId1"/>
    </customSheetView>
  </customSheetViews>
  <mergeCells count="7">
    <mergeCell ref="D94:K94"/>
    <mergeCell ref="D10:S10"/>
    <mergeCell ref="D34:O34"/>
    <mergeCell ref="D46:O46"/>
    <mergeCell ref="D58:N58"/>
    <mergeCell ref="D69:N69"/>
    <mergeCell ref="D22:S22"/>
  </mergeCells>
  <pageMargins left="0.7" right="0.7" top="0.75" bottom="0.75" header="0.3" footer="0.3"/>
  <pageSetup paperSize="9" orientation="portrait"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U62"/>
  <sheetViews>
    <sheetView showGridLines="0" showRowColHeaders="0" zoomScaleNormal="100" workbookViewId="0"/>
  </sheetViews>
  <sheetFormatPr defaultRowHeight="15" x14ac:dyDescent="0.25"/>
  <cols>
    <col min="2" max="2" width="8.42578125" customWidth="1"/>
    <col min="3" max="3" width="12.42578125" customWidth="1"/>
    <col min="4" max="4" width="12.5703125" customWidth="1"/>
    <col min="5" max="5" width="21.7109375" customWidth="1"/>
    <col min="6" max="6" width="12.42578125" customWidth="1"/>
    <col min="7" max="7" width="10.7109375" customWidth="1"/>
    <col min="8" max="8" width="8.42578125" customWidth="1"/>
    <col min="9" max="9" width="12.42578125" customWidth="1"/>
    <col min="10" max="10" width="12.5703125" customWidth="1"/>
    <col min="11" max="11" width="21.7109375" customWidth="1"/>
    <col min="12" max="12" width="14.85546875" customWidth="1"/>
    <col min="13" max="13" width="26.28515625" bestFit="1" customWidth="1"/>
    <col min="14" max="14" width="16.28515625" bestFit="1" customWidth="1"/>
    <col min="15" max="15" width="22.5703125" bestFit="1" customWidth="1"/>
    <col min="16" max="16" width="21.28515625" bestFit="1" customWidth="1"/>
    <col min="17" max="17" width="22.28515625" bestFit="1" customWidth="1"/>
  </cols>
  <sheetData>
    <row r="1" spans="1:21" x14ac:dyDescent="0.25">
      <c r="A1" s="231"/>
      <c r="B1" s="231"/>
      <c r="C1" s="231"/>
    </row>
    <row r="2" spans="1:21" x14ac:dyDescent="0.25">
      <c r="A2" s="231"/>
      <c r="B2" s="231"/>
      <c r="C2" s="231"/>
    </row>
    <row r="4" spans="1:21" ht="30" x14ac:dyDescent="0.4">
      <c r="B4" s="2" t="s">
        <v>455</v>
      </c>
    </row>
    <row r="5" spans="1:21" ht="18" customHeight="1" x14ac:dyDescent="0.25">
      <c r="A5" s="236"/>
      <c r="B5" s="279"/>
      <c r="C5" s="281"/>
      <c r="D5" s="281"/>
      <c r="E5" s="281"/>
      <c r="F5" s="281"/>
      <c r="G5" s="281"/>
      <c r="H5" s="281"/>
      <c r="I5" s="281"/>
      <c r="J5" s="281"/>
      <c r="K5" s="236"/>
      <c r="L5" s="236"/>
      <c r="M5" s="236"/>
      <c r="N5" s="236"/>
      <c r="O5" s="236"/>
      <c r="P5" s="236"/>
      <c r="Q5" s="236"/>
      <c r="R5" s="236"/>
      <c r="S5" s="236"/>
      <c r="T5" s="236"/>
      <c r="U5" s="236"/>
    </row>
    <row r="6" spans="1:21" ht="18" customHeight="1" x14ac:dyDescent="0.25">
      <c r="A6" s="236"/>
      <c r="B6" s="280" t="s">
        <v>444</v>
      </c>
      <c r="C6" s="281"/>
      <c r="D6" s="281"/>
      <c r="E6" s="281"/>
      <c r="F6" s="281"/>
      <c r="G6" s="281"/>
      <c r="H6" s="281"/>
      <c r="I6" s="281"/>
      <c r="J6" s="281"/>
      <c r="K6" s="236"/>
      <c r="L6" s="236"/>
      <c r="M6" s="236"/>
      <c r="N6" s="236"/>
      <c r="O6" s="236"/>
      <c r="P6" s="236"/>
      <c r="Q6" s="236"/>
      <c r="R6" s="236"/>
      <c r="S6" s="236"/>
      <c r="T6" s="236"/>
      <c r="U6" s="236"/>
    </row>
    <row r="7" spans="1:21" ht="18" customHeight="1" x14ac:dyDescent="0.25">
      <c r="A7" s="8"/>
      <c r="B7" s="280" t="s">
        <v>476</v>
      </c>
      <c r="C7" s="279"/>
      <c r="D7" s="279"/>
      <c r="E7" s="279"/>
      <c r="F7" s="279"/>
      <c r="G7" s="279"/>
      <c r="H7" s="279"/>
      <c r="I7" s="279"/>
      <c r="J7" s="279"/>
      <c r="K7" s="8"/>
      <c r="L7" s="8"/>
      <c r="M7" s="8"/>
      <c r="N7" s="8"/>
      <c r="O7" s="8"/>
      <c r="P7" s="8"/>
      <c r="Q7" s="8"/>
      <c r="R7" s="8"/>
      <c r="S7" s="8"/>
      <c r="T7" s="8"/>
      <c r="U7" s="8"/>
    </row>
    <row r="8" spans="1:21" ht="18" customHeight="1" x14ac:dyDescent="0.3">
      <c r="A8" s="11"/>
      <c r="B8" s="279" t="s">
        <v>229</v>
      </c>
      <c r="C8" s="279"/>
      <c r="D8" s="279"/>
      <c r="E8" s="279"/>
      <c r="F8" s="279"/>
      <c r="G8" s="279"/>
      <c r="H8" s="279"/>
      <c r="I8" s="279"/>
      <c r="J8" s="279"/>
      <c r="K8" s="8"/>
      <c r="L8" s="8"/>
      <c r="M8" s="8"/>
      <c r="N8" s="8"/>
      <c r="O8" s="8"/>
      <c r="P8" s="8"/>
      <c r="Q8" s="8"/>
      <c r="R8" s="8"/>
      <c r="S8" s="8"/>
      <c r="T8" s="8"/>
      <c r="U8" s="8"/>
    </row>
    <row r="9" spans="1:21" ht="18" customHeight="1" x14ac:dyDescent="0.3">
      <c r="A9" s="11"/>
      <c r="B9" s="666" t="s">
        <v>48</v>
      </c>
      <c r="C9" s="667"/>
      <c r="D9" s="667"/>
      <c r="E9" s="281"/>
      <c r="F9" s="281"/>
      <c r="G9" s="281"/>
      <c r="H9" s="281"/>
      <c r="I9" s="281"/>
      <c r="J9" s="281"/>
      <c r="K9" s="236"/>
      <c r="L9" s="236"/>
      <c r="M9" s="236"/>
      <c r="N9" s="236"/>
      <c r="O9" s="236"/>
      <c r="P9" s="236"/>
      <c r="Q9" s="236"/>
      <c r="R9" s="8"/>
      <c r="S9" s="8"/>
      <c r="T9" s="8"/>
      <c r="U9" s="8"/>
    </row>
    <row r="10" spans="1:21" ht="18" customHeight="1" x14ac:dyDescent="0.3">
      <c r="A10" s="11"/>
      <c r="B10" s="472"/>
      <c r="C10" s="473"/>
      <c r="D10" s="473"/>
      <c r="E10" s="281"/>
      <c r="F10" s="281"/>
      <c r="G10" s="281"/>
      <c r="H10" s="281"/>
      <c r="I10" s="281"/>
      <c r="J10" s="236"/>
      <c r="K10" s="236"/>
      <c r="L10" s="236"/>
      <c r="M10" s="236"/>
      <c r="N10" s="236"/>
      <c r="O10" s="236"/>
      <c r="P10" s="236"/>
      <c r="Q10" s="236"/>
      <c r="R10" s="8"/>
      <c r="S10" s="8"/>
      <c r="T10" s="8"/>
      <c r="U10" s="8"/>
    </row>
    <row r="11" spans="1:21" ht="18" customHeight="1" x14ac:dyDescent="0.3">
      <c r="A11" s="11"/>
      <c r="B11" s="466" t="s">
        <v>408</v>
      </c>
      <c r="C11" s="285"/>
      <c r="D11" s="281"/>
      <c r="E11" s="281"/>
      <c r="F11" s="281"/>
      <c r="G11" s="281"/>
      <c r="H11" s="466" t="s">
        <v>454</v>
      </c>
      <c r="I11" s="281"/>
      <c r="J11" s="281"/>
      <c r="K11" s="281"/>
      <c r="L11" s="281"/>
      <c r="M11" s="236"/>
      <c r="N11" s="236"/>
      <c r="O11" s="236"/>
      <c r="P11" s="236"/>
      <c r="Q11" s="236"/>
      <c r="R11" s="8"/>
      <c r="S11" s="8"/>
      <c r="T11" s="8"/>
      <c r="U11" s="8"/>
    </row>
    <row r="12" spans="1:21" ht="18" customHeight="1" x14ac:dyDescent="0.3">
      <c r="A12" s="11"/>
      <c r="B12" s="286"/>
      <c r="C12" s="286" t="str">
        <f>IF($B$9="Trusts and Foundation Trusts",'Inputs indirect expenditure'!E11, IF($B$9="PCT",'Inputs indirect expenditure'!E35, IF($B$9="SHA",'Inputs indirect expenditure'!E59,'Inputs indirect expenditure'!E84)))</f>
        <v>NHS Staff</v>
      </c>
      <c r="D12" s="286" t="str">
        <f>IF($B$9="Trusts and Foundation Trusts",'Inputs indirect expenditure'!F11, IF($B$9="PCT",'Inputs indirect expenditure'!F35, IF($B$9="SHA",'Inputs indirect expenditure'!F59,'Inputs indirect expenditure'!F84)))</f>
        <v>Agency Staff</v>
      </c>
      <c r="E12" s="286" t="str">
        <f>IF($B$9="Trusts and Foundation Trusts",'Inputs indirect expenditure'!G11, IF($B$9="PCT",'Inputs indirect expenditure'!G35, IF($B$9="SHA",'Inputs indirect expenditure'!G59,'Inputs indirect expenditure'!G84)))</f>
        <v>Chairman &amp; Directors</v>
      </c>
      <c r="F12" s="275" t="str">
        <f>IF($B$9="Trusts and Foundation Trusts",'Inputs indirect expenditure'!H11, IF($B$9="PCT",'Inputs indirect expenditure'!H35, IF($B$9="SHA",'Inputs indirect expenditure'!H59,'Inputs indirect expenditure'!H84)))</f>
        <v>Total Labour</v>
      </c>
      <c r="G12" s="236"/>
      <c r="H12" s="286"/>
      <c r="I12" s="286" t="s">
        <v>42</v>
      </c>
      <c r="J12" s="286" t="s">
        <v>43</v>
      </c>
      <c r="K12" s="286" t="s">
        <v>44</v>
      </c>
      <c r="L12" s="275" t="s">
        <v>58</v>
      </c>
      <c r="M12" s="8"/>
      <c r="N12" s="8"/>
      <c r="O12" s="8"/>
      <c r="P12" s="236"/>
      <c r="Q12" s="236"/>
      <c r="R12" s="236"/>
      <c r="S12" s="236"/>
      <c r="T12" s="236"/>
      <c r="U12" s="236"/>
    </row>
    <row r="13" spans="1:21" ht="18" customHeight="1" x14ac:dyDescent="0.3">
      <c r="A13" s="11"/>
      <c r="B13" s="286" t="s">
        <v>74</v>
      </c>
      <c r="C13" s="328">
        <f>IF($B$9="PCT", 'Inputs indirect expenditure'!E36, IF($B$9="Trusts and Foundation Trusts",'Inputs indirect expenditure'!E12, IF($B$9="SHA",'Inputs indirect expenditure'!E60,'Inputs indirect expenditure'!E85)))</f>
        <v>31769301.63786776</v>
      </c>
      <c r="D13" s="628">
        <f>IF($B$9="PCT", 'Inputs indirect expenditure'!F36, IF($B$9="Trusts and Foundation Trusts",'Inputs indirect expenditure'!F12, IF($B$9="SHA",'Inputs indirect expenditure'!F60,'Inputs indirect expenditure'!F85)))</f>
        <v>1476262.4446027114</v>
      </c>
      <c r="E13" s="328">
        <f>IF($B$9="PCT", 'Inputs indirect expenditure'!G36, IF($B$9="Trusts and Foundation Trusts",'Inputs indirect expenditure'!G12, IF($B$9="SHA",'Inputs indirect expenditure'!G60,'Inputs indirect expenditure'!G85)))</f>
        <v>7018981.5785218021</v>
      </c>
      <c r="F13" s="328">
        <f>IF($B$9="PCT", 'Inputs indirect expenditure'!H36, IF($B$9="Trusts and Foundation Trusts",'Inputs indirect expenditure'!H12, IF($B$9="SHA",'Inputs indirect expenditure'!H60,'Inputs indirect expenditure'!H85)))</f>
        <v>40264545.660992272</v>
      </c>
      <c r="G13" s="236"/>
      <c r="H13" s="286" t="s">
        <v>74</v>
      </c>
      <c r="I13" s="627">
        <f>IF($B$9="SHA", 'Inputs indirect expenditure'!E71, IF($B$9="Total",'Inputs indirect expenditure'!E96, IF($B$9="PCT",'Inputs indirect expenditure'!E48,'Inputs indirect expenditure'!E24)))</f>
        <v>26085037.644960001</v>
      </c>
      <c r="J13" s="628">
        <f>IF($B$9="SHA", 'Inputs indirect expenditure'!F71, IF($B$9="Total",'Inputs indirect expenditure'!F96, IF($B$9="PCT",'Inputs indirect expenditure'!F48,'Inputs indirect expenditure'!F24)))</f>
        <v>1365244.61427</v>
      </c>
      <c r="K13" s="328">
        <f>IF($B$9="SHA", 'Inputs indirect expenditure'!G71, IF($B$9="Total",'Inputs indirect expenditure'!G96, IF($B$9="PCT",'Inputs indirect expenditure'!G48,'Inputs indirect expenditure'!G24)))</f>
        <v>5793300.5154999997</v>
      </c>
      <c r="L13" s="627">
        <f>IF($B$9="SHA", 'Inputs indirect expenditure'!H71, IF($B$9="Total",'Inputs indirect expenditure'!H96, IF($B$9="PCT",'Inputs indirect expenditure'!H48,'Inputs indirect expenditure'!H24)))</f>
        <v>33243582.774730004</v>
      </c>
      <c r="M13" s="8"/>
      <c r="N13" s="8"/>
      <c r="O13" s="8"/>
      <c r="P13" s="236"/>
      <c r="Q13" s="236"/>
      <c r="R13" s="236"/>
      <c r="S13" s="236"/>
      <c r="T13" s="236"/>
      <c r="U13" s="236"/>
    </row>
    <row r="14" spans="1:21" ht="18" customHeight="1" x14ac:dyDescent="0.3">
      <c r="A14" s="11"/>
      <c r="B14" s="286" t="s">
        <v>75</v>
      </c>
      <c r="C14" s="328">
        <f>IF($B$9="PCT", 'Inputs indirect expenditure'!E37, IF($B$9="Trusts and Foundation Trusts",'Inputs indirect expenditure'!E13, IF($B$9="SHA",'Inputs indirect expenditure'!E61,'Inputs indirect expenditure'!E86)))</f>
        <v>32596060.956325002</v>
      </c>
      <c r="D14" s="628">
        <f>IF($B$9="PCT", 'Inputs indirect expenditure'!F37, IF($B$9="Trusts and Foundation Trusts",'Inputs indirect expenditure'!F13, IF($B$9="SHA",'Inputs indirect expenditure'!F61,'Inputs indirect expenditure'!F86)))</f>
        <v>1261692.6814648334</v>
      </c>
      <c r="E14" s="328">
        <f>IF($B$9="PCT", 'Inputs indirect expenditure'!G37, IF($B$9="Trusts and Foundation Trusts",'Inputs indirect expenditure'!G13, IF($B$9="SHA",'Inputs indirect expenditure'!G61,'Inputs indirect expenditure'!G86)))</f>
        <v>7434909.9022415737</v>
      </c>
      <c r="F14" s="328">
        <f>IF($B$9="PCT", 'Inputs indirect expenditure'!H37, IF($B$9="Trusts and Foundation Trusts",'Inputs indirect expenditure'!H13, IF($B$9="SHA",'Inputs indirect expenditure'!H61,'Inputs indirect expenditure'!H86)))</f>
        <v>41292663.540031411</v>
      </c>
      <c r="G14" s="236"/>
      <c r="H14" s="286" t="s">
        <v>75</v>
      </c>
      <c r="I14" s="627">
        <f>IF($B$9="SHA", 'Inputs indirect expenditure'!E72, IF($B$9="Total",'Inputs indirect expenditure'!E97, IF($B$9="PCT",'Inputs indirect expenditure'!E49,'Inputs indirect expenditure'!E25)))</f>
        <v>28027090.5</v>
      </c>
      <c r="J14" s="628">
        <f>IF($B$9="SHA", 'Inputs indirect expenditure'!F72, IF($B$9="Total",'Inputs indirect expenditure'!F97, IF($B$9="PCT",'Inputs indirect expenditure'!F49,'Inputs indirect expenditure'!F25)))</f>
        <v>1264450.5</v>
      </c>
      <c r="K14" s="328">
        <f>IF($B$9="SHA", 'Inputs indirect expenditure'!G72, IF($B$9="Total",'Inputs indirect expenditure'!G97, IF($B$9="PCT",'Inputs indirect expenditure'!G49,'Inputs indirect expenditure'!G25)))</f>
        <v>6431297.8149999995</v>
      </c>
      <c r="L14" s="627">
        <f>IF($B$9="SHA", 'Inputs indirect expenditure'!H72, IF($B$9="Total",'Inputs indirect expenditure'!H97, IF($B$9="PCT",'Inputs indirect expenditure'!H49,'Inputs indirect expenditure'!H25)))</f>
        <v>35722838.814999998</v>
      </c>
      <c r="M14" s="8"/>
      <c r="N14" s="8"/>
      <c r="O14" s="8"/>
      <c r="P14" s="236"/>
      <c r="Q14" s="236"/>
      <c r="R14" s="236"/>
      <c r="S14" s="236"/>
      <c r="T14" s="236"/>
      <c r="U14" s="236"/>
    </row>
    <row r="15" spans="1:21" ht="18" customHeight="1" x14ac:dyDescent="0.3">
      <c r="A15" s="11"/>
      <c r="B15" s="286" t="s">
        <v>76</v>
      </c>
      <c r="C15" s="328">
        <f>IF($B$9="PCT", 'Inputs indirect expenditure'!E38, IF($B$9="Trusts and Foundation Trusts",'Inputs indirect expenditure'!E14, IF($B$9="SHA",'Inputs indirect expenditure'!E62,'Inputs indirect expenditure'!E87)))</f>
        <v>32455037.131831132</v>
      </c>
      <c r="D15" s="628">
        <f>IF($B$9="PCT", 'Inputs indirect expenditure'!F38, IF($B$9="Trusts and Foundation Trusts",'Inputs indirect expenditure'!F14, IF($B$9="SHA",'Inputs indirect expenditure'!F62,'Inputs indirect expenditure'!F87)))</f>
        <v>925325.17575166887</v>
      </c>
      <c r="E15" s="328">
        <f>IF($B$9="PCT", 'Inputs indirect expenditure'!G38, IF($B$9="Trusts and Foundation Trusts",'Inputs indirect expenditure'!G14, IF($B$9="SHA",'Inputs indirect expenditure'!G62,'Inputs indirect expenditure'!G87)))</f>
        <v>7324709.9503195798</v>
      </c>
      <c r="F15" s="328">
        <f>IF($B$9="PCT", 'Inputs indirect expenditure'!H38, IF($B$9="Trusts and Foundation Trusts",'Inputs indirect expenditure'!H14, IF($B$9="SHA",'Inputs indirect expenditure'!H62,'Inputs indirect expenditure'!H87)))</f>
        <v>40705072.257902376</v>
      </c>
      <c r="G15" s="236"/>
      <c r="H15" s="286" t="s">
        <v>76</v>
      </c>
      <c r="I15" s="627">
        <f>IF($B$9="SHA", 'Inputs indirect expenditure'!E73, IF($B$9="Total",'Inputs indirect expenditure'!E98, IF($B$9="PCT",'Inputs indirect expenditure'!E50,'Inputs indirect expenditure'!E26)))</f>
        <v>29049856</v>
      </c>
      <c r="J15" s="628">
        <f>IF($B$9="SHA", 'Inputs indirect expenditure'!F73, IF($B$9="Total",'Inputs indirect expenditure'!F98, IF($B$9="PCT",'Inputs indirect expenditure'!F50,'Inputs indirect expenditure'!F26)))</f>
        <v>995330</v>
      </c>
      <c r="K15" s="328">
        <f>IF($B$9="SHA", 'Inputs indirect expenditure'!G73, IF($B$9="Total",'Inputs indirect expenditure'!G98, IF($B$9="PCT",'Inputs indirect expenditure'!G50,'Inputs indirect expenditure'!G26)))</f>
        <v>6599301.125</v>
      </c>
      <c r="L15" s="627">
        <f>IF($B$9="SHA", 'Inputs indirect expenditure'!H73, IF($B$9="Total",'Inputs indirect expenditure'!H98, IF($B$9="PCT",'Inputs indirect expenditure'!H50,'Inputs indirect expenditure'!H26)))</f>
        <v>36644487.125</v>
      </c>
      <c r="M15" s="8"/>
      <c r="N15" s="8"/>
      <c r="O15" s="8"/>
      <c r="P15" s="236"/>
      <c r="Q15" s="236"/>
      <c r="R15" s="236"/>
      <c r="S15" s="236"/>
      <c r="T15" s="236"/>
      <c r="U15" s="236"/>
    </row>
    <row r="16" spans="1:21" ht="18" customHeight="1" x14ac:dyDescent="0.3">
      <c r="A16" s="11"/>
      <c r="B16" s="286" t="str">
        <f>IF($B$9="Trusts and Foundation Trusts",'Inputs indirect expenditure'!D15,'Inputs indirect expenditure'!D39)</f>
        <v>2007/08</v>
      </c>
      <c r="C16" s="328">
        <f>IF($B$9="PCT", 'Inputs indirect expenditure'!E39, IF($B$9="Trusts and Foundation Trusts",'Inputs indirect expenditure'!E15, IF($B$9="SHA",'Inputs indirect expenditure'!E63,'Inputs indirect expenditure'!E88)))</f>
        <v>33126863</v>
      </c>
      <c r="D16" s="628">
        <f>IF($B$9="PCT", 'Inputs indirect expenditure'!F39, IF($B$9="Trusts and Foundation Trusts",'Inputs indirect expenditure'!F15, IF($B$9="SHA",'Inputs indirect expenditure'!F63,'Inputs indirect expenditure'!F88)))</f>
        <v>1041135</v>
      </c>
      <c r="E16" s="328">
        <f>IF($B$9="PCT", 'Inputs indirect expenditure'!G39, IF($B$9="Trusts and Foundation Trusts",'Inputs indirect expenditure'!G15, IF($B$9="SHA",'Inputs indirect expenditure'!G63,'Inputs indirect expenditure'!G88)))</f>
        <v>7360897</v>
      </c>
      <c r="F16" s="328">
        <f>IF($B$9="PCT", 'Inputs indirect expenditure'!H39, IF($B$9="Trusts and Foundation Trusts",'Inputs indirect expenditure'!H15, IF($B$9="SHA",'Inputs indirect expenditure'!H63,'Inputs indirect expenditure'!H88)))</f>
        <v>42771927</v>
      </c>
      <c r="G16" s="236"/>
      <c r="H16" s="286" t="s">
        <v>4</v>
      </c>
      <c r="I16" s="627">
        <f>IF($B$9="SHA", 'Inputs indirect expenditure'!E74, IF($B$9="Total",'Inputs indirect expenditure'!E99, IF($B$9="PCT",'Inputs indirect expenditure'!E51,'Inputs indirect expenditure'!E27)))</f>
        <v>30306044.70163</v>
      </c>
      <c r="J16" s="628">
        <f>IF($B$9="SHA", 'Inputs indirect expenditure'!F74, IF($B$9="Total",'Inputs indirect expenditure'!F99, IF($B$9="PCT",'Inputs indirect expenditure'!F51,'Inputs indirect expenditure'!F27)))</f>
        <v>967707.29836999997</v>
      </c>
      <c r="K16" s="328">
        <f>IF($B$9="SHA", 'Inputs indirect expenditure'!G74, IF($B$9="Total",'Inputs indirect expenditure'!G99, IF($B$9="PCT",'Inputs indirect expenditure'!G51,'Inputs indirect expenditure'!G27)))</f>
        <v>6808830</v>
      </c>
      <c r="L16" s="627">
        <f>IF($B$9="SHA", 'Inputs indirect expenditure'!H74, IF($B$9="Total",'Inputs indirect expenditure'!H99, IF($B$9="PCT",'Inputs indirect expenditure'!H51,'Inputs indirect expenditure'!H27)))</f>
        <v>39365862</v>
      </c>
      <c r="M16" s="8"/>
      <c r="N16" s="8"/>
      <c r="O16" s="8"/>
      <c r="P16" s="236"/>
      <c r="Q16" s="236"/>
      <c r="R16" s="236"/>
      <c r="S16" s="236"/>
      <c r="T16" s="236"/>
      <c r="U16" s="236"/>
    </row>
    <row r="17" spans="1:21" ht="18" customHeight="1" x14ac:dyDescent="0.3">
      <c r="A17" s="11"/>
      <c r="B17" s="286" t="str">
        <f>IF($B$9="Trusts and Foundation Trusts",'Inputs indirect expenditure'!D16,'Inputs indirect expenditure'!D40)</f>
        <v>2008/09</v>
      </c>
      <c r="C17" s="328">
        <f>IF($B$9="PCT", 'Inputs indirect expenditure'!E40, IF($B$9="Trusts and Foundation Trusts",'Inputs indirect expenditure'!E16, IF($B$9="SHA",'Inputs indirect expenditure'!E64,'Inputs indirect expenditure'!E89)))</f>
        <v>34845222</v>
      </c>
      <c r="D17" s="628">
        <f>IF($B$9="PCT", 'Inputs indirect expenditure'!F40, IF($B$9="Trusts and Foundation Trusts",'Inputs indirect expenditure'!F16, IF($B$9="SHA",'Inputs indirect expenditure'!F64,'Inputs indirect expenditure'!F89)))</f>
        <v>1506515</v>
      </c>
      <c r="E17" s="328">
        <f>IF($B$9="PCT", 'Inputs indirect expenditure'!G40, IF($B$9="Trusts and Foundation Trusts",'Inputs indirect expenditure'!G16, IF($B$9="SHA",'Inputs indirect expenditure'!G64,'Inputs indirect expenditure'!G89)))</f>
        <v>7972458</v>
      </c>
      <c r="F17" s="328">
        <f>IF($B$9="PCT", 'Inputs indirect expenditure'!H40, IF($B$9="Trusts and Foundation Trusts",'Inputs indirect expenditure'!H16, IF($B$9="SHA",'Inputs indirect expenditure'!H64,'Inputs indirect expenditure'!H89)))</f>
        <v>45010088</v>
      </c>
      <c r="G17" s="236"/>
      <c r="H17" s="286" t="s">
        <v>5</v>
      </c>
      <c r="I17" s="627">
        <f>IF($B$9="SHA", 'Inputs indirect expenditure'!E75, IF($B$9="Total",'Inputs indirect expenditure'!E100, IF($B$9="PCT",'Inputs indirect expenditure'!E52,'Inputs indirect expenditure'!E28)))</f>
        <v>32572379.139851034</v>
      </c>
      <c r="J17" s="628">
        <f>IF($B$9="SHA", 'Inputs indirect expenditure'!F75, IF($B$9="Total",'Inputs indirect expenditure'!F100, IF($B$9="PCT",'Inputs indirect expenditure'!F52,'Inputs indirect expenditure'!F28)))</f>
        <v>1435736.7426</v>
      </c>
      <c r="K17" s="328">
        <f>IF($B$9="SHA", 'Inputs indirect expenditure'!G75, IF($B$9="Total",'Inputs indirect expenditure'!G100, IF($B$9="PCT",'Inputs indirect expenditure'!G52,'Inputs indirect expenditure'!G28)))</f>
        <v>7597741.5569399996</v>
      </c>
      <c r="L17" s="627">
        <f>IF($B$9="SHA", 'Inputs indirect expenditure'!H75, IF($B$9="Total",'Inputs indirect expenditure'!H100, IF($B$9="PCT",'Inputs indirect expenditure'!H52,'Inputs indirect expenditure'!H28)))</f>
        <v>42571131.439391032</v>
      </c>
      <c r="M17" s="8"/>
      <c r="N17" s="8"/>
      <c r="O17" s="8"/>
      <c r="P17" s="236"/>
      <c r="Q17" s="236"/>
      <c r="R17" s="236"/>
      <c r="S17" s="236"/>
      <c r="T17" s="236"/>
      <c r="U17" s="236"/>
    </row>
    <row r="18" spans="1:21" ht="18" customHeight="1" x14ac:dyDescent="0.25">
      <c r="A18" s="8"/>
      <c r="B18" s="286" t="str">
        <f>IF($B$9="Trusts and Foundation Trusts",'Inputs indirect expenditure'!D17,'Inputs indirect expenditure'!D41)</f>
        <v>2009/10</v>
      </c>
      <c r="C18" s="328">
        <f>IF($B$9="PCT", 'Inputs indirect expenditure'!E41, IF($B$9="Trusts and Foundation Trusts",'Inputs indirect expenditure'!E17, IF($B$9="SHA",'Inputs indirect expenditure'!E65,'Inputs indirect expenditure'!E90)))</f>
        <v>36855076</v>
      </c>
      <c r="D18" s="628">
        <f>IF($B$9="PCT", 'Inputs indirect expenditure'!F41, IF($B$9="Trusts and Foundation Trusts",'Inputs indirect expenditure'!F17, IF($B$9="SHA",'Inputs indirect expenditure'!F65,'Inputs indirect expenditure'!F90)))</f>
        <v>1804668</v>
      </c>
      <c r="E18" s="328">
        <f>IF($B$9="PCT", 'Inputs indirect expenditure'!G41, IF($B$9="Trusts and Foundation Trusts",'Inputs indirect expenditure'!G17, IF($B$9="SHA",'Inputs indirect expenditure'!G65,'Inputs indirect expenditure'!G90)))</f>
        <v>8629035</v>
      </c>
      <c r="F18" s="328">
        <f>IF($B$9="PCT", 'Inputs indirect expenditure'!H41, IF($B$9="Trusts and Foundation Trusts",'Inputs indirect expenditure'!H17, IF($B$9="SHA",'Inputs indirect expenditure'!H65,'Inputs indirect expenditure'!H90)))</f>
        <v>48528441</v>
      </c>
      <c r="G18" s="236"/>
      <c r="H18" s="286" t="s">
        <v>6</v>
      </c>
      <c r="I18" s="627">
        <f>IF($B$9="SHA", 'Inputs indirect expenditure'!E76, IF($B$9="Total",'Inputs indirect expenditure'!E101, IF($B$9="PCT",'Inputs indirect expenditure'!E53,'Inputs indirect expenditure'!E29)))</f>
        <v>34911729.861659989</v>
      </c>
      <c r="J18" s="628">
        <f>IF($B$9="SHA", 'Inputs indirect expenditure'!F76, IF($B$9="Total",'Inputs indirect expenditure'!F101, IF($B$9="PCT",'Inputs indirect expenditure'!F53,'Inputs indirect expenditure'!F29)))</f>
        <v>1643244.8954399999</v>
      </c>
      <c r="K18" s="328">
        <f>IF($B$9="SHA", 'Inputs indirect expenditure'!G76, IF($B$9="Total",'Inputs indirect expenditure'!G101, IF($B$9="PCT",'Inputs indirect expenditure'!G53,'Inputs indirect expenditure'!G29)))</f>
        <v>8370123.3679799996</v>
      </c>
      <c r="L18" s="627">
        <f>IF($B$9="SHA", 'Inputs indirect expenditure'!H76, IF($B$9="Total",'Inputs indirect expenditure'!H101, IF($B$9="PCT",'Inputs indirect expenditure'!H53,'Inputs indirect expenditure'!H29)))</f>
        <v>46167272.125079989</v>
      </c>
      <c r="M18" s="8"/>
      <c r="N18" s="8"/>
      <c r="O18" s="8"/>
      <c r="P18" s="236"/>
      <c r="Q18" s="236"/>
      <c r="R18" s="236"/>
      <c r="S18" s="236"/>
      <c r="T18" s="236"/>
      <c r="U18" s="236"/>
    </row>
    <row r="19" spans="1:21" ht="18" customHeight="1" x14ac:dyDescent="0.25">
      <c r="A19" s="8"/>
      <c r="B19" s="286" t="str">
        <f>IF($B$9="Trusts and Foundation Trusts",'Inputs indirect expenditure'!D18,'Inputs indirect expenditure'!D42)</f>
        <v>2010/11</v>
      </c>
      <c r="C19" s="328">
        <f>IF($B$9="PCT", 'Inputs indirect expenditure'!E42, IF($B$9="Trusts and Foundation Trusts",'Inputs indirect expenditure'!E18, IF($B$9="SHA",'Inputs indirect expenditure'!E66,'Inputs indirect expenditure'!E91)))</f>
        <v>37824774</v>
      </c>
      <c r="D19" s="628">
        <f>IF($B$9="PCT", 'Inputs indirect expenditure'!F42, IF($B$9="Trusts and Foundation Trusts",'Inputs indirect expenditure'!F18, IF($B$9="SHA",'Inputs indirect expenditure'!F66,'Inputs indirect expenditure'!F91)))</f>
        <v>1753583</v>
      </c>
      <c r="E19" s="328">
        <f>IF($B$9="PCT", 'Inputs indirect expenditure'!G42, IF($B$9="Trusts and Foundation Trusts",'Inputs indirect expenditure'!G18, IF($B$9="SHA",'Inputs indirect expenditure'!G66,'Inputs indirect expenditure'!G91)))</f>
        <v>7326514</v>
      </c>
      <c r="F19" s="328">
        <f>IF($B$9="PCT", 'Inputs indirect expenditure'!H42, IF($B$9="Trusts and Foundation Trusts",'Inputs indirect expenditure'!H18, IF($B$9="SHA",'Inputs indirect expenditure'!H66,'Inputs indirect expenditure'!H91)))</f>
        <v>50194850</v>
      </c>
      <c r="G19" s="236"/>
      <c r="H19" s="286" t="s">
        <v>7</v>
      </c>
      <c r="I19" s="627">
        <f>IF($B$9="SHA", 'Inputs indirect expenditure'!E77, IF($B$9="Total",'Inputs indirect expenditure'!E102, IF($B$9="PCT",'Inputs indirect expenditure'!E54,'Inputs indirect expenditure'!E30)))</f>
        <v>36962626</v>
      </c>
      <c r="J19" s="628">
        <f>IF($B$9="SHA", 'Inputs indirect expenditure'!F77, IF($B$9="Total",'Inputs indirect expenditure'!F102, IF($B$9="PCT",'Inputs indirect expenditure'!F54,'Inputs indirect expenditure'!F30)))</f>
        <v>1753583</v>
      </c>
      <c r="K19" s="328">
        <f>IF($B$9="SHA", 'Inputs indirect expenditure'!G77, IF($B$9="Total",'Inputs indirect expenditure'!G102, IF($B$9="PCT",'Inputs indirect expenditure'!G54,'Inputs indirect expenditure'!G30)))</f>
        <v>7326514</v>
      </c>
      <c r="L19" s="627">
        <f>IF($B$9="SHA", 'Inputs indirect expenditure'!H77, IF($B$9="Total",'Inputs indirect expenditure'!H102, IF($B$9="PCT",'Inputs indirect expenditure'!H54,'Inputs indirect expenditure'!H30)))</f>
        <v>49332702</v>
      </c>
      <c r="M19" s="8"/>
      <c r="N19" s="8"/>
      <c r="O19" s="8"/>
      <c r="P19" s="236"/>
      <c r="Q19" s="236"/>
      <c r="R19" s="236"/>
      <c r="S19" s="236"/>
      <c r="T19" s="236"/>
      <c r="U19" s="236"/>
    </row>
    <row r="20" spans="1:21" ht="18" customHeight="1" x14ac:dyDescent="0.25">
      <c r="A20" s="8"/>
      <c r="B20" s="288"/>
      <c r="C20" s="288"/>
      <c r="D20" s="288"/>
      <c r="E20" s="288"/>
      <c r="F20" s="288"/>
      <c r="G20" s="236"/>
      <c r="H20" s="236"/>
      <c r="I20" s="236"/>
      <c r="J20" s="236"/>
      <c r="K20" s="236"/>
      <c r="L20" s="8"/>
      <c r="M20" s="8"/>
      <c r="N20" s="8"/>
      <c r="O20" s="8"/>
      <c r="P20" s="236"/>
      <c r="Q20" s="236"/>
      <c r="R20" s="236"/>
      <c r="S20" s="236"/>
      <c r="T20" s="236"/>
      <c r="U20" s="236"/>
    </row>
    <row r="21" spans="1:21" x14ac:dyDescent="0.25">
      <c r="A21" s="52"/>
      <c r="B21" s="281"/>
      <c r="C21" s="281"/>
      <c r="D21" s="281"/>
      <c r="E21" s="281"/>
      <c r="F21" s="281"/>
      <c r="G21" s="281"/>
      <c r="H21" s="281"/>
      <c r="I21" s="281"/>
      <c r="J21" s="281"/>
      <c r="K21" s="236"/>
      <c r="L21" s="236"/>
      <c r="M21" s="236"/>
      <c r="N21" s="236"/>
      <c r="O21" s="236"/>
      <c r="P21" s="236"/>
      <c r="Q21" s="236"/>
      <c r="R21" s="8"/>
      <c r="S21" s="8"/>
      <c r="T21" s="8"/>
      <c r="U21" s="8"/>
    </row>
    <row r="22" spans="1:21" x14ac:dyDescent="0.25">
      <c r="A22" s="52"/>
      <c r="B22" s="668" t="s">
        <v>451</v>
      </c>
      <c r="C22" s="669"/>
      <c r="D22" s="281"/>
      <c r="E22" s="281"/>
      <c r="F22" s="281"/>
      <c r="G22" s="464"/>
      <c r="H22" s="668" t="s">
        <v>475</v>
      </c>
      <c r="I22" s="669"/>
      <c r="J22" s="281"/>
      <c r="K22" s="474"/>
      <c r="L22" s="236"/>
      <c r="M22" s="236"/>
      <c r="N22" s="236"/>
      <c r="O22" s="236"/>
      <c r="P22" s="236"/>
      <c r="Q22" s="236"/>
      <c r="R22" s="8"/>
      <c r="S22" s="8"/>
      <c r="T22" s="8"/>
      <c r="U22" s="8"/>
    </row>
    <row r="23" spans="1:21" x14ac:dyDescent="0.25">
      <c r="A23" s="8"/>
      <c r="B23" s="236"/>
      <c r="C23" s="236"/>
      <c r="D23" s="236"/>
      <c r="E23" s="236"/>
      <c r="F23" s="236"/>
      <c r="G23" s="236"/>
      <c r="H23" s="236"/>
      <c r="I23" s="236"/>
      <c r="J23" s="236"/>
      <c r="K23" s="474"/>
      <c r="L23" s="236"/>
      <c r="M23" s="236"/>
      <c r="N23" s="236"/>
      <c r="O23" s="236"/>
      <c r="P23" s="236"/>
      <c r="Q23" s="236"/>
      <c r="R23" s="8"/>
      <c r="S23" s="8"/>
      <c r="T23" s="8"/>
      <c r="U23" s="8"/>
    </row>
    <row r="24" spans="1:21" x14ac:dyDescent="0.25">
      <c r="A24" s="236"/>
      <c r="B24" s="236"/>
      <c r="C24" s="236"/>
      <c r="D24" s="236"/>
      <c r="E24" s="236"/>
      <c r="F24" s="236"/>
      <c r="G24" s="236"/>
      <c r="H24" s="236"/>
      <c r="I24" s="236"/>
      <c r="J24" s="236"/>
      <c r="K24" s="474"/>
      <c r="L24" s="236"/>
      <c r="M24" s="236"/>
      <c r="N24" s="236"/>
      <c r="O24" s="236"/>
      <c r="P24" s="236"/>
      <c r="Q24" s="236"/>
      <c r="R24" s="236"/>
      <c r="S24" s="236"/>
      <c r="T24" s="236"/>
      <c r="U24" s="236"/>
    </row>
    <row r="25" spans="1:21" ht="24" customHeight="1" x14ac:dyDescent="0.25">
      <c r="A25" s="236"/>
      <c r="B25" s="236"/>
      <c r="C25" s="236"/>
      <c r="D25" s="236"/>
      <c r="E25" s="236"/>
      <c r="F25" s="236"/>
      <c r="G25" s="236"/>
      <c r="H25" s="236"/>
      <c r="I25" s="236"/>
      <c r="J25" s="236"/>
      <c r="K25" s="474"/>
      <c r="L25" s="236"/>
      <c r="M25" s="236"/>
      <c r="N25" s="236"/>
      <c r="O25" s="236"/>
      <c r="P25" s="236"/>
      <c r="Q25" s="236"/>
      <c r="R25" s="236"/>
      <c r="S25" s="236"/>
      <c r="T25" s="236"/>
      <c r="U25" s="236"/>
    </row>
    <row r="26" spans="1:21" x14ac:dyDescent="0.25">
      <c r="A26" s="236"/>
      <c r="B26" s="236"/>
      <c r="C26" s="236"/>
      <c r="D26" s="236"/>
      <c r="E26" s="236"/>
      <c r="F26" s="236"/>
      <c r="G26" s="236"/>
      <c r="H26" s="236"/>
      <c r="I26" s="236"/>
      <c r="J26" s="236"/>
      <c r="K26" s="474"/>
      <c r="L26" s="236"/>
      <c r="M26" s="236"/>
      <c r="N26" s="236"/>
      <c r="O26" s="236"/>
      <c r="P26" s="236"/>
      <c r="Q26" s="236"/>
      <c r="R26" s="236"/>
      <c r="S26" s="236"/>
      <c r="T26" s="236"/>
      <c r="U26" s="236"/>
    </row>
    <row r="27" spans="1:21" x14ac:dyDescent="0.25">
      <c r="A27" s="236"/>
      <c r="B27" s="236"/>
      <c r="C27" s="236"/>
      <c r="D27" s="236"/>
      <c r="E27" s="236"/>
      <c r="F27" s="236"/>
      <c r="G27" s="236"/>
      <c r="H27" s="236"/>
      <c r="I27" s="236"/>
      <c r="J27" s="236"/>
      <c r="K27" s="474"/>
      <c r="L27" s="236"/>
      <c r="M27" s="236"/>
      <c r="N27" s="236"/>
      <c r="O27" s="236"/>
      <c r="P27" s="236"/>
      <c r="Q27" s="236"/>
      <c r="R27" s="236"/>
      <c r="S27" s="236"/>
      <c r="T27" s="236"/>
      <c r="U27" s="236"/>
    </row>
    <row r="28" spans="1:21" x14ac:dyDescent="0.25">
      <c r="A28" s="236"/>
      <c r="B28" s="236"/>
      <c r="C28" s="236"/>
      <c r="D28" s="236"/>
      <c r="E28" s="236"/>
      <c r="F28" s="236"/>
      <c r="G28" s="236"/>
      <c r="H28" s="236"/>
      <c r="I28" s="236"/>
      <c r="J28" s="236"/>
      <c r="K28" s="474"/>
      <c r="L28" s="236"/>
      <c r="M28" s="236"/>
      <c r="N28" s="236"/>
      <c r="O28" s="236"/>
      <c r="P28" s="236"/>
      <c r="Q28" s="236"/>
      <c r="R28" s="236"/>
      <c r="S28" s="236"/>
      <c r="T28" s="236"/>
      <c r="U28" s="236"/>
    </row>
    <row r="29" spans="1:21" x14ac:dyDescent="0.25">
      <c r="A29" s="271"/>
      <c r="B29" s="236"/>
      <c r="C29" s="236"/>
      <c r="D29" s="236"/>
      <c r="E29" s="236"/>
      <c r="F29" s="236"/>
      <c r="G29" s="236"/>
      <c r="H29" s="236"/>
      <c r="I29" s="236"/>
      <c r="J29" s="236"/>
      <c r="K29" s="474"/>
      <c r="L29" s="236"/>
      <c r="M29" s="236"/>
      <c r="N29" s="236"/>
      <c r="O29" s="236"/>
      <c r="P29" s="236"/>
      <c r="Q29" s="236"/>
      <c r="R29" s="236"/>
      <c r="S29" s="236"/>
      <c r="T29" s="236"/>
      <c r="U29" s="236"/>
    </row>
    <row r="30" spans="1:21" x14ac:dyDescent="0.25">
      <c r="A30" s="236"/>
      <c r="B30" s="236"/>
      <c r="C30" s="236"/>
      <c r="D30" s="236"/>
      <c r="E30" s="236"/>
      <c r="F30" s="236"/>
      <c r="G30" s="236"/>
      <c r="H30" s="236"/>
      <c r="I30" s="236"/>
      <c r="J30" s="236"/>
      <c r="K30" s="236"/>
      <c r="L30" s="236"/>
      <c r="M30" s="236"/>
      <c r="N30" s="236"/>
      <c r="O30" s="236"/>
      <c r="P30" s="236"/>
      <c r="Q30" s="236"/>
      <c r="R30" s="236"/>
      <c r="S30" s="236"/>
      <c r="T30" s="236"/>
      <c r="U30" s="236"/>
    </row>
    <row r="31" spans="1:21" x14ac:dyDescent="0.25">
      <c r="A31" s="236"/>
      <c r="B31" s="236"/>
      <c r="C31" s="236"/>
      <c r="D31" s="236"/>
      <c r="E31" s="236"/>
      <c r="F31" s="236"/>
      <c r="G31" s="236"/>
      <c r="H31" s="236"/>
      <c r="I31" s="236"/>
      <c r="J31" s="236"/>
      <c r="K31" s="236"/>
      <c r="L31" s="236"/>
      <c r="M31" s="236"/>
      <c r="N31" s="236"/>
      <c r="O31" s="236"/>
      <c r="P31" s="236"/>
      <c r="Q31" s="236"/>
      <c r="R31" s="236"/>
      <c r="S31" s="236"/>
      <c r="T31" s="236"/>
      <c r="U31" s="236"/>
    </row>
    <row r="32" spans="1:21" x14ac:dyDescent="0.25">
      <c r="A32" s="236"/>
      <c r="B32" s="236"/>
      <c r="C32" s="236"/>
      <c r="D32" s="236"/>
      <c r="E32" s="236"/>
      <c r="F32" s="236"/>
      <c r="G32" s="236"/>
      <c r="H32" s="236"/>
      <c r="I32" s="236"/>
      <c r="J32" s="236"/>
      <c r="K32" s="236"/>
      <c r="L32" s="236"/>
      <c r="M32" s="236"/>
      <c r="N32" s="236"/>
      <c r="O32" s="236"/>
      <c r="P32" s="236"/>
      <c r="Q32" s="236"/>
      <c r="R32" s="236"/>
      <c r="S32" s="236"/>
      <c r="T32" s="236"/>
      <c r="U32" s="236"/>
    </row>
    <row r="33" spans="1:21" x14ac:dyDescent="0.25">
      <c r="A33" s="236"/>
      <c r="B33" s="236"/>
      <c r="C33" s="236"/>
      <c r="D33" s="236"/>
      <c r="E33" s="236"/>
      <c r="F33" s="236"/>
      <c r="G33" s="236"/>
      <c r="H33" s="236"/>
      <c r="I33" s="236"/>
      <c r="J33" s="236"/>
      <c r="K33" s="236"/>
      <c r="L33" s="236"/>
      <c r="M33" s="236"/>
      <c r="N33" s="236"/>
      <c r="O33" s="236"/>
      <c r="P33" s="236"/>
      <c r="Q33" s="236"/>
      <c r="R33" s="236"/>
      <c r="S33" s="236"/>
      <c r="T33" s="236"/>
      <c r="U33" s="236"/>
    </row>
    <row r="34" spans="1:21" ht="24" customHeight="1" x14ac:dyDescent="0.25">
      <c r="A34" s="236"/>
      <c r="B34" s="236"/>
      <c r="C34" s="236"/>
      <c r="D34" s="236"/>
      <c r="E34" s="236"/>
      <c r="F34" s="236"/>
      <c r="G34" s="236"/>
      <c r="H34" s="236"/>
      <c r="I34" s="236"/>
      <c r="J34" s="236"/>
      <c r="K34" s="236"/>
      <c r="L34" s="236"/>
      <c r="M34" s="236"/>
      <c r="N34" s="236"/>
      <c r="O34" s="236"/>
      <c r="P34" s="236"/>
      <c r="Q34" s="236"/>
      <c r="R34" s="236"/>
      <c r="S34" s="236"/>
      <c r="T34" s="236"/>
      <c r="U34" s="236"/>
    </row>
    <row r="35" spans="1:21" x14ac:dyDescent="0.25">
      <c r="A35" s="236"/>
      <c r="B35" s="236"/>
      <c r="C35" s="236"/>
      <c r="D35" s="236"/>
      <c r="E35" s="236"/>
      <c r="F35" s="236"/>
      <c r="G35" s="236"/>
      <c r="H35" s="236"/>
      <c r="I35" s="236"/>
      <c r="J35" s="236"/>
      <c r="K35" s="236"/>
      <c r="L35" s="236"/>
      <c r="M35" s="236"/>
      <c r="N35" s="236"/>
      <c r="O35" s="236"/>
      <c r="P35" s="236"/>
      <c r="Q35" s="236"/>
      <c r="R35" s="236"/>
      <c r="S35" s="236"/>
      <c r="T35" s="236"/>
      <c r="U35" s="236"/>
    </row>
    <row r="36" spans="1:21" x14ac:dyDescent="0.25">
      <c r="A36" s="236"/>
      <c r="B36" s="236"/>
      <c r="C36" s="236"/>
      <c r="D36" s="236"/>
      <c r="E36" s="236"/>
      <c r="F36" s="236"/>
      <c r="G36" s="236"/>
      <c r="H36" s="236"/>
      <c r="I36" s="236"/>
      <c r="J36" s="236"/>
      <c r="K36" s="236"/>
      <c r="L36" s="236"/>
      <c r="M36" s="236"/>
      <c r="N36" s="236"/>
      <c r="O36" s="236"/>
      <c r="P36" s="236"/>
      <c r="Q36" s="236"/>
      <c r="R36" s="236"/>
      <c r="S36" s="236"/>
      <c r="T36" s="236"/>
      <c r="U36" s="236"/>
    </row>
    <row r="37" spans="1:21" x14ac:dyDescent="0.25">
      <c r="A37" s="236"/>
      <c r="B37" s="236"/>
      <c r="C37" s="236"/>
      <c r="D37" s="236"/>
      <c r="E37" s="236"/>
      <c r="F37" s="236"/>
      <c r="G37" s="236"/>
      <c r="H37" s="236"/>
      <c r="I37" s="236"/>
      <c r="J37" s="236"/>
      <c r="K37" s="236"/>
      <c r="L37" s="236"/>
      <c r="M37" s="236"/>
      <c r="N37" s="236"/>
      <c r="O37" s="236"/>
      <c r="P37" s="236"/>
      <c r="Q37" s="236"/>
      <c r="R37" s="236"/>
      <c r="S37" s="236"/>
      <c r="T37" s="236"/>
      <c r="U37" s="236"/>
    </row>
    <row r="38" spans="1:21" x14ac:dyDescent="0.25">
      <c r="A38" s="236"/>
      <c r="B38" s="236"/>
      <c r="C38" s="236"/>
      <c r="D38" s="236"/>
      <c r="E38" s="236"/>
      <c r="F38" s="236"/>
      <c r="G38" s="236"/>
      <c r="H38" s="236"/>
      <c r="I38" s="236"/>
      <c r="J38" s="236"/>
      <c r="K38" s="236"/>
      <c r="L38" s="236"/>
      <c r="M38" s="236"/>
      <c r="N38" s="236"/>
      <c r="O38" s="236"/>
      <c r="P38" s="236"/>
      <c r="Q38" s="236"/>
      <c r="R38" s="236"/>
      <c r="S38" s="236"/>
      <c r="T38" s="236"/>
      <c r="U38" s="236"/>
    </row>
    <row r="39" spans="1:21" x14ac:dyDescent="0.25">
      <c r="A39" s="236"/>
      <c r="B39" s="236"/>
      <c r="C39" s="236"/>
      <c r="D39" s="236"/>
      <c r="E39" s="236"/>
      <c r="F39" s="236"/>
      <c r="G39" s="236"/>
      <c r="H39" s="236"/>
      <c r="I39" s="236"/>
      <c r="J39" s="236"/>
      <c r="K39" s="236"/>
      <c r="L39" s="236"/>
      <c r="M39" s="236"/>
      <c r="N39" s="236"/>
      <c r="O39" s="236"/>
      <c r="P39" s="236"/>
      <c r="Q39" s="236"/>
      <c r="R39" s="236"/>
      <c r="S39" s="236"/>
      <c r="T39" s="236"/>
      <c r="U39" s="236"/>
    </row>
    <row r="40" spans="1:21" x14ac:dyDescent="0.25">
      <c r="A40" s="236"/>
      <c r="B40" s="236"/>
      <c r="C40" s="236"/>
      <c r="D40" s="236"/>
      <c r="E40" s="236"/>
      <c r="F40" s="236"/>
      <c r="G40" s="236"/>
      <c r="H40" s="236"/>
      <c r="I40" s="236"/>
      <c r="J40" s="236"/>
      <c r="K40" s="236"/>
      <c r="L40" s="236"/>
      <c r="M40" s="236"/>
      <c r="N40" s="236"/>
      <c r="O40" s="236"/>
      <c r="P40" s="236"/>
      <c r="Q40" s="236"/>
      <c r="R40" s="236"/>
      <c r="S40" s="236"/>
      <c r="T40" s="236"/>
      <c r="U40" s="236"/>
    </row>
    <row r="41" spans="1:21" x14ac:dyDescent="0.25">
      <c r="A41" s="236"/>
      <c r="B41" s="236"/>
      <c r="C41" s="236"/>
      <c r="D41" s="236"/>
      <c r="E41" s="236"/>
      <c r="F41" s="236"/>
      <c r="G41" s="236"/>
      <c r="H41" s="236"/>
      <c r="I41" s="236"/>
      <c r="J41" s="236"/>
      <c r="K41" s="236"/>
      <c r="L41" s="236"/>
      <c r="M41" s="236"/>
      <c r="N41" s="236"/>
      <c r="O41" s="236"/>
      <c r="P41" s="236"/>
      <c r="Q41" s="236"/>
      <c r="R41" s="236"/>
      <c r="S41" s="236"/>
      <c r="T41" s="236"/>
      <c r="U41" s="236"/>
    </row>
    <row r="42" spans="1:21" x14ac:dyDescent="0.25">
      <c r="A42" s="236"/>
      <c r="B42" s="236"/>
      <c r="C42" s="236"/>
      <c r="D42" s="236"/>
      <c r="E42" s="236"/>
      <c r="F42" s="236"/>
      <c r="G42" s="236"/>
      <c r="H42" s="236"/>
      <c r="I42" s="236"/>
      <c r="J42" s="236"/>
      <c r="K42" s="236"/>
      <c r="L42" s="236"/>
      <c r="M42" s="236"/>
      <c r="N42" s="236"/>
      <c r="O42" s="236"/>
      <c r="P42" s="236"/>
      <c r="Q42" s="236"/>
      <c r="R42" s="236"/>
      <c r="S42" s="236"/>
      <c r="T42" s="236"/>
      <c r="U42" s="236"/>
    </row>
    <row r="43" spans="1:21" ht="24" customHeight="1" x14ac:dyDescent="0.25">
      <c r="A43" s="236"/>
      <c r="B43" s="236"/>
      <c r="C43" s="236"/>
      <c r="D43" s="236"/>
      <c r="E43" s="236"/>
      <c r="F43" s="236"/>
      <c r="G43" s="236"/>
      <c r="H43" s="236"/>
      <c r="I43" s="236"/>
      <c r="J43" s="236"/>
      <c r="K43" s="236"/>
      <c r="L43" s="236"/>
      <c r="M43" s="236"/>
      <c r="N43" s="236"/>
      <c r="O43" s="236"/>
      <c r="P43" s="236"/>
      <c r="Q43" s="236"/>
      <c r="R43" s="236"/>
      <c r="S43" s="236"/>
      <c r="T43" s="236"/>
      <c r="U43" s="236"/>
    </row>
    <row r="44" spans="1:21" x14ac:dyDescent="0.25">
      <c r="A44" s="236"/>
      <c r="B44" s="236"/>
      <c r="C44" s="236"/>
      <c r="D44" s="236"/>
      <c r="E44" s="236"/>
      <c r="F44" s="236"/>
      <c r="G44" s="236"/>
      <c r="H44" s="236"/>
      <c r="I44" s="236"/>
      <c r="J44" s="236"/>
      <c r="K44" s="236"/>
      <c r="L44" s="236"/>
      <c r="M44" s="236"/>
      <c r="N44" s="236"/>
      <c r="O44" s="236"/>
      <c r="P44" s="236"/>
      <c r="Q44" s="236"/>
      <c r="R44" s="236"/>
      <c r="S44" s="236"/>
      <c r="T44" s="236"/>
      <c r="U44" s="236"/>
    </row>
    <row r="45" spans="1:21" x14ac:dyDescent="0.25">
      <c r="A45" s="236"/>
      <c r="B45" s="236"/>
      <c r="C45" s="236"/>
      <c r="D45" s="236"/>
      <c r="E45" s="236"/>
      <c r="F45" s="236"/>
      <c r="G45" s="236"/>
      <c r="H45" s="236"/>
      <c r="I45" s="236"/>
      <c r="J45" s="236"/>
      <c r="K45" s="236"/>
      <c r="L45" s="236"/>
      <c r="M45" s="236"/>
      <c r="N45" s="236"/>
      <c r="O45" s="236"/>
      <c r="P45" s="236"/>
      <c r="Q45" s="236"/>
      <c r="R45" s="236"/>
      <c r="S45" s="236"/>
      <c r="T45" s="236"/>
      <c r="U45" s="236"/>
    </row>
    <row r="46" spans="1:21" x14ac:dyDescent="0.25">
      <c r="A46" s="236"/>
      <c r="B46" s="236"/>
      <c r="C46" s="236"/>
      <c r="D46" s="236"/>
      <c r="E46" s="236"/>
      <c r="F46" s="236"/>
      <c r="G46" s="236"/>
      <c r="H46" s="236"/>
      <c r="I46" s="236"/>
      <c r="J46" s="236"/>
      <c r="K46" s="236"/>
      <c r="L46" s="236"/>
      <c r="M46" s="236"/>
      <c r="N46" s="236"/>
      <c r="O46" s="236"/>
      <c r="P46" s="236"/>
      <c r="Q46" s="236"/>
      <c r="R46" s="236"/>
      <c r="S46" s="236"/>
      <c r="T46" s="236"/>
      <c r="U46" s="236"/>
    </row>
    <row r="47" spans="1:21" x14ac:dyDescent="0.25">
      <c r="A47" s="236"/>
      <c r="B47" s="236"/>
      <c r="C47" s="236"/>
      <c r="D47" s="236"/>
      <c r="E47" s="236"/>
      <c r="F47" s="236"/>
      <c r="G47" s="236"/>
      <c r="H47" s="236"/>
      <c r="I47" s="236"/>
      <c r="J47" s="236"/>
      <c r="K47" s="236"/>
      <c r="L47" s="236"/>
      <c r="M47" s="236"/>
      <c r="N47" s="236"/>
      <c r="O47" s="236"/>
      <c r="P47" s="236"/>
      <c r="Q47" s="236"/>
      <c r="R47" s="236"/>
      <c r="S47" s="236"/>
      <c r="T47" s="236"/>
      <c r="U47" s="236"/>
    </row>
    <row r="48" spans="1:21" x14ac:dyDescent="0.25">
      <c r="A48" s="236"/>
      <c r="B48" s="236"/>
      <c r="C48" s="236"/>
      <c r="D48" s="236"/>
      <c r="E48" s="236"/>
      <c r="F48" s="236"/>
      <c r="G48" s="236"/>
      <c r="H48" s="236"/>
      <c r="I48" s="236"/>
      <c r="J48" s="236"/>
      <c r="K48" s="236"/>
      <c r="L48" s="236"/>
      <c r="M48" s="236"/>
      <c r="N48" s="236"/>
      <c r="O48" s="236"/>
      <c r="P48" s="236"/>
      <c r="Q48" s="236"/>
      <c r="R48" s="236"/>
      <c r="S48" s="236"/>
      <c r="T48" s="236"/>
      <c r="U48" s="236"/>
    </row>
    <row r="51" ht="24" customHeight="1" x14ac:dyDescent="0.25"/>
    <row r="62" ht="24" customHeight="1" x14ac:dyDescent="0.25"/>
  </sheetData>
  <customSheetViews>
    <customSheetView guid="{9EA95E61-FCA5-4867-AEB4-B8C24058ACDD}" showGridLines="0" showRowCol="0" topLeftCell="A22">
      <selection activeCell="G27" sqref="G27"/>
      <pageMargins left="0.7" right="0.7" top="0.75" bottom="0.75" header="0.3" footer="0.3"/>
      <pageSetup paperSize="9" orientation="portrait" r:id="rId1"/>
    </customSheetView>
  </customSheetViews>
  <mergeCells count="3">
    <mergeCell ref="B9:D9"/>
    <mergeCell ref="B22:C22"/>
    <mergeCell ref="H22:I22"/>
  </mergeCells>
  <dataValidations count="4">
    <dataValidation allowBlank="1" showInputMessage="1" showErrorMessage="1" promptTitle="Current data" prompt="This data has not been deflated_x000a_" sqref="B22:C22"/>
    <dataValidation allowBlank="1" showInputMessage="1" showErrorMessage="1" promptTitle="Constant data" prompt="Data has been deflated using appropriate deflators. More on the deflators can be found in the Deflators worksheet." sqref="G22"/>
    <dataValidation type="list" allowBlank="1" showInputMessage="1" showErrorMessage="1" sqref="B9:D9">
      <formula1>authority2</formula1>
    </dataValidation>
    <dataValidation allowBlank="1" showInputMessage="1" showErrorMessage="1" promptTitle="Constant data" prompt="This data has been deflated using an appropriate deflator_x000a__x000a_" sqref="H22:I22"/>
  </dataValidation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4:M62"/>
  <sheetViews>
    <sheetView showRowColHeaders="0" topLeftCell="A10" zoomScaleNormal="100" workbookViewId="0">
      <selection activeCell="C35" sqref="C35"/>
    </sheetView>
  </sheetViews>
  <sheetFormatPr defaultRowHeight="15" x14ac:dyDescent="0.25"/>
  <cols>
    <col min="2" max="2" width="24.5703125" customWidth="1"/>
    <col min="3" max="9" width="14.5703125" customWidth="1"/>
  </cols>
  <sheetData>
    <row r="4" spans="1:13" ht="30" x14ac:dyDescent="0.4">
      <c r="B4" s="2" t="s">
        <v>390</v>
      </c>
    </row>
    <row r="5" spans="1:13" ht="18" customHeight="1" x14ac:dyDescent="0.75">
      <c r="B5" s="4"/>
    </row>
    <row r="6" spans="1:13" ht="18" customHeight="1" x14ac:dyDescent="0.25">
      <c r="B6" s="280" t="s">
        <v>391</v>
      </c>
      <c r="C6" s="281"/>
      <c r="D6" s="281"/>
      <c r="E6" s="281"/>
      <c r="F6" s="281"/>
      <c r="G6" s="281"/>
      <c r="H6" s="281"/>
      <c r="I6" s="281"/>
    </row>
    <row r="7" spans="1:13" ht="18" customHeight="1" x14ac:dyDescent="0.25">
      <c r="A7">
        <v>2</v>
      </c>
      <c r="B7" s="280" t="s">
        <v>407</v>
      </c>
      <c r="C7" s="279"/>
      <c r="D7" s="281"/>
      <c r="E7" s="281">
        <v>1</v>
      </c>
      <c r="F7" s="281"/>
      <c r="G7" s="281"/>
      <c r="H7" s="281"/>
      <c r="I7" s="281"/>
    </row>
    <row r="8" spans="1:13" ht="18" customHeight="1" x14ac:dyDescent="0.25">
      <c r="B8" s="280"/>
      <c r="C8" s="279"/>
      <c r="D8" s="281"/>
      <c r="E8" s="281"/>
      <c r="F8" s="281"/>
      <c r="G8" s="281"/>
      <c r="H8" s="281"/>
      <c r="I8" s="281"/>
    </row>
    <row r="9" spans="1:13" ht="18" customHeight="1" x14ac:dyDescent="0.25">
      <c r="B9" s="280"/>
      <c r="C9" s="279"/>
      <c r="D9" s="281"/>
      <c r="E9" s="281"/>
      <c r="F9" s="281"/>
      <c r="G9" s="281"/>
      <c r="H9" s="281"/>
      <c r="I9" s="281"/>
    </row>
    <row r="10" spans="1:13" ht="18" customHeight="1" x14ac:dyDescent="0.25">
      <c r="B10" s="280"/>
      <c r="C10" s="279"/>
      <c r="D10" s="281"/>
      <c r="E10" s="281"/>
      <c r="F10" s="281"/>
      <c r="G10" s="281"/>
      <c r="H10" s="281"/>
      <c r="I10" s="281"/>
    </row>
    <row r="11" spans="1:13" ht="18" customHeight="1" x14ac:dyDescent="0.25">
      <c r="B11" s="289"/>
      <c r="C11" s="290"/>
      <c r="D11" s="290"/>
      <c r="E11" s="289"/>
      <c r="F11" s="289"/>
      <c r="G11" s="289"/>
      <c r="H11" s="289"/>
      <c r="I11" s="291"/>
    </row>
    <row r="12" spans="1:13" ht="18" customHeight="1" x14ac:dyDescent="0.25">
      <c r="A12" s="366"/>
      <c r="B12" s="415"/>
      <c r="C12" s="299" t="s">
        <v>196</v>
      </c>
      <c r="D12" s="299" t="s">
        <v>197</v>
      </c>
      <c r="E12" s="299" t="s">
        <v>198</v>
      </c>
      <c r="F12" s="299" t="s">
        <v>199</v>
      </c>
      <c r="G12" s="416" t="s">
        <v>200</v>
      </c>
      <c r="H12" s="416" t="s">
        <v>6</v>
      </c>
      <c r="I12" s="417" t="s">
        <v>7</v>
      </c>
      <c r="J12" s="5"/>
      <c r="K12" s="404" t="s">
        <v>381</v>
      </c>
      <c r="L12" s="420"/>
      <c r="M12" s="421"/>
    </row>
    <row r="13" spans="1:13" ht="18" customHeight="1" x14ac:dyDescent="0.25">
      <c r="A13" s="366"/>
      <c r="B13" s="432" t="s">
        <v>218</v>
      </c>
      <c r="C13" s="429"/>
      <c r="D13" s="429"/>
      <c r="E13" s="429"/>
      <c r="F13" s="429"/>
      <c r="G13" s="430"/>
      <c r="H13" s="430"/>
      <c r="I13" s="431"/>
      <c r="J13" s="5"/>
      <c r="K13" s="426"/>
      <c r="L13" s="427"/>
      <c r="M13" s="428"/>
    </row>
    <row r="14" spans="1:13" ht="18" customHeight="1" x14ac:dyDescent="0.25">
      <c r="B14" s="418" t="s">
        <v>219</v>
      </c>
      <c r="C14" s="408">
        <v>31334252.480110005</v>
      </c>
      <c r="D14" s="408">
        <v>33926746.314999998</v>
      </c>
      <c r="E14" s="408">
        <v>35177509.125</v>
      </c>
      <c r="F14" s="408">
        <v>36539983.701629996</v>
      </c>
      <c r="G14" s="410">
        <v>39213453.649081036</v>
      </c>
      <c r="H14" s="410">
        <v>42145100.102129996</v>
      </c>
      <c r="I14" s="422">
        <v>43513839</v>
      </c>
      <c r="J14" s="5"/>
      <c r="K14" s="401" t="s">
        <v>216</v>
      </c>
      <c r="L14" s="364"/>
      <c r="M14" s="405"/>
    </row>
    <row r="15" spans="1:13" ht="18" customHeight="1" x14ac:dyDescent="0.25">
      <c r="B15" s="418" t="s">
        <v>220</v>
      </c>
      <c r="C15" s="408">
        <v>1557282.4487299998</v>
      </c>
      <c r="D15" s="408">
        <v>1459935.5</v>
      </c>
      <c r="E15" s="408">
        <v>1185244</v>
      </c>
      <c r="F15" s="408">
        <v>1354520.29837</v>
      </c>
      <c r="G15" s="410">
        <v>1895451.8837600001</v>
      </c>
      <c r="H15" s="410">
        <v>2195295.3909299998</v>
      </c>
      <c r="I15" s="370">
        <v>2127889</v>
      </c>
      <c r="J15" s="5"/>
      <c r="K15" s="401" t="s">
        <v>387</v>
      </c>
      <c r="L15" s="364"/>
      <c r="M15" s="405"/>
    </row>
    <row r="16" spans="1:13" ht="18" customHeight="1" x14ac:dyDescent="0.25">
      <c r="B16" s="418" t="s">
        <v>310</v>
      </c>
      <c r="C16" s="408">
        <v>11981995</v>
      </c>
      <c r="D16" s="408">
        <v>14214691</v>
      </c>
      <c r="E16" s="408">
        <v>15833718</v>
      </c>
      <c r="F16" s="408">
        <v>18565596</v>
      </c>
      <c r="G16" s="410">
        <v>20184852</v>
      </c>
      <c r="H16" s="410">
        <v>22017445</v>
      </c>
      <c r="I16" s="370">
        <v>23931309</v>
      </c>
      <c r="J16" s="5"/>
      <c r="K16" s="401"/>
      <c r="L16" s="364"/>
      <c r="M16" s="405"/>
    </row>
    <row r="17" spans="1:13" ht="18" customHeight="1" x14ac:dyDescent="0.25">
      <c r="B17" s="418" t="s">
        <v>221</v>
      </c>
      <c r="C17" s="408">
        <v>8757990</v>
      </c>
      <c r="D17" s="408">
        <v>10271344</v>
      </c>
      <c r="E17" s="408">
        <v>11378727</v>
      </c>
      <c r="F17" s="408">
        <v>13036200</v>
      </c>
      <c r="G17" s="423">
        <v>13991803</v>
      </c>
      <c r="H17" s="408">
        <v>14911074</v>
      </c>
      <c r="I17" s="422">
        <v>16077609</v>
      </c>
      <c r="J17" s="5"/>
      <c r="K17" s="401" t="s">
        <v>213</v>
      </c>
      <c r="L17" s="364"/>
      <c r="M17" s="405"/>
    </row>
    <row r="18" spans="1:13" ht="18" customHeight="1" x14ac:dyDescent="0.25">
      <c r="B18" s="418" t="s">
        <v>47</v>
      </c>
      <c r="C18" s="408">
        <v>5115514.2809764491</v>
      </c>
      <c r="D18" s="408">
        <v>5839664.3710000003</v>
      </c>
      <c r="E18" s="408">
        <v>6568362.6799999997</v>
      </c>
      <c r="F18" s="408">
        <v>7784592.0729</v>
      </c>
      <c r="G18" s="410">
        <v>7426030.9178999998</v>
      </c>
      <c r="H18" s="410">
        <v>7635390.1285600001</v>
      </c>
      <c r="I18" s="370">
        <v>8025361</v>
      </c>
      <c r="J18" s="5"/>
      <c r="K18" s="402" t="s">
        <v>201</v>
      </c>
      <c r="L18" s="364"/>
      <c r="M18" s="405"/>
    </row>
    <row r="19" spans="1:13" ht="18" customHeight="1" x14ac:dyDescent="0.25">
      <c r="B19" s="418" t="s">
        <v>140</v>
      </c>
      <c r="C19" s="408">
        <v>8094174.9440000001</v>
      </c>
      <c r="D19" s="408">
        <v>8013483.2259999998</v>
      </c>
      <c r="E19" s="408">
        <v>8250323.8930000002</v>
      </c>
      <c r="F19" s="408">
        <v>8303500.9179999996</v>
      </c>
      <c r="G19" s="410">
        <v>8376264.432</v>
      </c>
      <c r="H19" s="410">
        <v>8621421.1300000008</v>
      </c>
      <c r="I19" s="370">
        <v>8880735.3440000005</v>
      </c>
      <c r="J19" s="5"/>
      <c r="K19" s="403" t="s">
        <v>388</v>
      </c>
      <c r="L19" s="406"/>
      <c r="M19" s="407"/>
    </row>
    <row r="20" spans="1:13" ht="18" customHeight="1" x14ac:dyDescent="0.25">
      <c r="B20" s="418" t="s">
        <v>222</v>
      </c>
      <c r="C20" s="408">
        <v>9569836</v>
      </c>
      <c r="D20" s="408">
        <v>11162141</v>
      </c>
      <c r="E20" s="370">
        <v>11209422</v>
      </c>
      <c r="F20" s="370">
        <v>11697639</v>
      </c>
      <c r="G20" s="370">
        <v>12074672</v>
      </c>
      <c r="H20" s="370">
        <v>12683418</v>
      </c>
      <c r="I20" s="370">
        <v>12962081</v>
      </c>
      <c r="J20" s="5"/>
    </row>
    <row r="21" spans="1:13" ht="18" customHeight="1" x14ac:dyDescent="0.25">
      <c r="A21" s="5"/>
      <c r="B21" s="418" t="s">
        <v>392</v>
      </c>
      <c r="C21" s="408">
        <v>278000</v>
      </c>
      <c r="D21" s="408">
        <v>262000</v>
      </c>
      <c r="E21" s="370">
        <v>229000</v>
      </c>
      <c r="F21" s="370">
        <v>226000</v>
      </c>
      <c r="G21" s="370">
        <v>242958</v>
      </c>
      <c r="H21" s="370">
        <v>241608</v>
      </c>
      <c r="I21" s="370">
        <v>212245</v>
      </c>
      <c r="J21" s="5"/>
    </row>
    <row r="22" spans="1:13" ht="18" customHeight="1" x14ac:dyDescent="0.25">
      <c r="A22" s="5"/>
      <c r="B22" s="418" t="s">
        <v>224</v>
      </c>
      <c r="C22" s="409">
        <v>64707050.153816454</v>
      </c>
      <c r="D22" s="409">
        <v>70935314.412</v>
      </c>
      <c r="E22" s="373">
        <v>73998588.697999999</v>
      </c>
      <c r="F22" s="373">
        <v>78942435.990899995</v>
      </c>
      <c r="G22" s="373">
        <v>83220633.882741034</v>
      </c>
      <c r="H22" s="373">
        <v>88433306.751619995</v>
      </c>
      <c r="I22" s="373">
        <v>91799759.343999997</v>
      </c>
      <c r="J22" s="5"/>
    </row>
    <row r="23" spans="1:13" ht="18" customHeight="1" x14ac:dyDescent="0.25">
      <c r="A23" s="5"/>
      <c r="B23" s="418"/>
      <c r="C23" s="409"/>
      <c r="D23" s="409"/>
      <c r="E23" s="370"/>
      <c r="F23" s="370"/>
      <c r="G23" s="370"/>
      <c r="H23" s="370"/>
      <c r="I23" s="370"/>
      <c r="J23" s="5"/>
    </row>
    <row r="24" spans="1:13" ht="18" customHeight="1" x14ac:dyDescent="0.25">
      <c r="A24" s="5"/>
      <c r="B24" s="419" t="s">
        <v>225</v>
      </c>
      <c r="C24" s="409"/>
      <c r="D24" s="409"/>
      <c r="E24" s="370"/>
      <c r="F24" s="370"/>
      <c r="G24" s="370"/>
      <c r="H24" s="370"/>
      <c r="I24" s="370"/>
      <c r="J24" s="5"/>
    </row>
    <row r="25" spans="1:13" ht="18" customHeight="1" x14ac:dyDescent="0.25">
      <c r="A25" s="5"/>
      <c r="B25" s="274" t="s">
        <v>219</v>
      </c>
      <c r="C25" s="411">
        <v>38212088</v>
      </c>
      <c r="D25" s="411">
        <v>39516362</v>
      </c>
      <c r="E25" s="370">
        <v>39359457</v>
      </c>
      <c r="F25" s="370">
        <v>39525586</v>
      </c>
      <c r="G25" s="370">
        <v>41200614</v>
      </c>
      <c r="H25" s="370">
        <v>43406879</v>
      </c>
      <c r="I25" s="370">
        <v>43513839</v>
      </c>
      <c r="J25" s="5"/>
    </row>
    <row r="26" spans="1:13" ht="18" customHeight="1" x14ac:dyDescent="0.3">
      <c r="B26" s="274" t="s">
        <v>220</v>
      </c>
      <c r="C26" s="411">
        <v>1669078</v>
      </c>
      <c r="D26" s="411">
        <v>1440740</v>
      </c>
      <c r="E26" s="411">
        <v>1089513</v>
      </c>
      <c r="F26" s="411">
        <v>1305572</v>
      </c>
      <c r="G26" s="411">
        <v>1988902</v>
      </c>
      <c r="H26" s="411">
        <v>2373791</v>
      </c>
      <c r="I26" s="411">
        <v>2127889</v>
      </c>
      <c r="K26" s="246"/>
    </row>
    <row r="27" spans="1:13" ht="18" customHeight="1" x14ac:dyDescent="0.3">
      <c r="B27" s="274" t="s">
        <v>315</v>
      </c>
      <c r="C27" s="411">
        <v>12585219</v>
      </c>
      <c r="D27" s="411">
        <v>15063465</v>
      </c>
      <c r="E27" s="411">
        <v>16481702</v>
      </c>
      <c r="F27" s="411">
        <v>19256774</v>
      </c>
      <c r="G27" s="411">
        <v>20421390</v>
      </c>
      <c r="H27" s="411">
        <v>22731361</v>
      </c>
      <c r="I27" s="411">
        <v>23931309</v>
      </c>
      <c r="K27" s="246"/>
    </row>
    <row r="28" spans="1:13" ht="18" customHeight="1" x14ac:dyDescent="0.3">
      <c r="B28" s="424" t="s">
        <v>221</v>
      </c>
      <c r="C28" s="411">
        <v>8908327</v>
      </c>
      <c r="D28" s="411">
        <v>10650038</v>
      </c>
      <c r="E28" s="411">
        <v>11640863</v>
      </c>
      <c r="F28" s="411">
        <v>13367264.856002657</v>
      </c>
      <c r="G28" s="411">
        <v>14140508.469508</v>
      </c>
      <c r="H28" s="411">
        <v>15427876.675999999</v>
      </c>
      <c r="I28" s="411">
        <v>16077604</v>
      </c>
      <c r="K28" s="246"/>
    </row>
    <row r="29" spans="1:13" ht="18" customHeight="1" x14ac:dyDescent="0.3">
      <c r="B29" s="424" t="s">
        <v>47</v>
      </c>
      <c r="C29" s="411">
        <v>3308036</v>
      </c>
      <c r="D29" s="411">
        <v>3578676</v>
      </c>
      <c r="E29" s="411">
        <v>4190683</v>
      </c>
      <c r="F29" s="411">
        <v>4292293</v>
      </c>
      <c r="G29" s="411">
        <v>3994568</v>
      </c>
      <c r="H29" s="411">
        <v>3958031</v>
      </c>
      <c r="I29" s="411">
        <v>3893374</v>
      </c>
      <c r="J29" s="5"/>
      <c r="K29" s="246"/>
    </row>
    <row r="30" spans="1:13" ht="18" customHeight="1" x14ac:dyDescent="0.3">
      <c r="B30" s="424" t="s">
        <v>140</v>
      </c>
      <c r="C30" s="411">
        <v>5931102.0326811802</v>
      </c>
      <c r="D30" s="411">
        <v>6514497.3790748697</v>
      </c>
      <c r="E30" s="411">
        <v>6944132.5587071804</v>
      </c>
      <c r="F30" s="411">
        <v>7454440.1813448202</v>
      </c>
      <c r="G30" s="411">
        <v>7927564.2930153301</v>
      </c>
      <c r="H30" s="411">
        <v>8477306.9124877099</v>
      </c>
      <c r="I30" s="411">
        <v>8880735.3440000005</v>
      </c>
      <c r="J30" s="5"/>
      <c r="K30" s="246"/>
    </row>
    <row r="31" spans="1:13" ht="18" customHeight="1" x14ac:dyDescent="0.3">
      <c r="B31" s="424" t="s">
        <v>222</v>
      </c>
      <c r="C31" s="411">
        <v>11670404.906738559</v>
      </c>
      <c r="D31" s="411">
        <v>13001164.445567448</v>
      </c>
      <c r="E31" s="411">
        <v>12542012.72574419</v>
      </c>
      <c r="F31" s="411">
        <v>12645671.111368861</v>
      </c>
      <c r="G31" s="411">
        <v>12673068.453165414</v>
      </c>
      <c r="H31" s="411">
        <v>13076603.958000001</v>
      </c>
      <c r="I31" s="411">
        <v>12962081</v>
      </c>
      <c r="J31" s="5"/>
      <c r="K31" s="246"/>
    </row>
    <row r="32" spans="1:13" ht="18" customHeight="1" x14ac:dyDescent="0.3">
      <c r="A32" s="281"/>
      <c r="B32" s="424" t="s">
        <v>392</v>
      </c>
      <c r="C32" s="411">
        <v>331183.30547743692</v>
      </c>
      <c r="D32" s="411">
        <v>300985.91688492848</v>
      </c>
      <c r="E32" s="411">
        <v>253688.98454382003</v>
      </c>
      <c r="F32" s="411">
        <v>243309.57052000001</v>
      </c>
      <c r="G32" s="411">
        <v>251747.7262339491</v>
      </c>
      <c r="H32" s="411">
        <v>248856.16224529999</v>
      </c>
      <c r="I32" s="411">
        <v>212245.30799999999</v>
      </c>
      <c r="J32" s="255"/>
      <c r="K32" s="246"/>
    </row>
    <row r="33" spans="1:11" ht="18" customHeight="1" x14ac:dyDescent="0.3">
      <c r="A33" s="281"/>
      <c r="B33" s="424" t="s">
        <v>224</v>
      </c>
      <c r="C33" s="425">
        <v>70030219.244897187</v>
      </c>
      <c r="D33" s="425">
        <v>75002463.741527244</v>
      </c>
      <c r="E33" s="425">
        <v>76020350.268995181</v>
      </c>
      <c r="F33" s="425">
        <v>78834136.719236344</v>
      </c>
      <c r="G33" s="425">
        <v>82176972.94192268</v>
      </c>
      <c r="H33" s="425">
        <v>86969344.708733022</v>
      </c>
      <c r="I33" s="425">
        <v>87667767.651999995</v>
      </c>
      <c r="J33" s="261"/>
      <c r="K33" s="246"/>
    </row>
    <row r="34" spans="1:11" ht="18" customHeight="1" x14ac:dyDescent="0.3">
      <c r="A34" s="281"/>
      <c r="B34" s="231"/>
      <c r="J34" s="261"/>
      <c r="K34" s="246"/>
    </row>
    <row r="35" spans="1:11" ht="18" customHeight="1" x14ac:dyDescent="0.3">
      <c r="A35" s="281"/>
      <c r="J35" s="261"/>
    </row>
    <row r="36" spans="1:11" ht="18" customHeight="1" x14ac:dyDescent="0.3">
      <c r="A36" s="281"/>
      <c r="B36" s="412"/>
      <c r="C36" s="413"/>
      <c r="D36" s="413"/>
      <c r="E36" s="413"/>
      <c r="F36" s="413"/>
      <c r="G36" s="413"/>
      <c r="H36" s="413"/>
      <c r="I36" s="413"/>
      <c r="J36" s="261"/>
    </row>
    <row r="37" spans="1:11" ht="18" customHeight="1" x14ac:dyDescent="0.3">
      <c r="A37" s="281"/>
      <c r="J37" s="261"/>
    </row>
    <row r="38" spans="1:11" ht="18" customHeight="1" x14ac:dyDescent="0.3">
      <c r="A38" s="281"/>
      <c r="J38" s="261"/>
    </row>
    <row r="39" spans="1:11" ht="18" customHeight="1" x14ac:dyDescent="0.3">
      <c r="A39" s="281"/>
      <c r="J39" s="261"/>
    </row>
    <row r="40" spans="1:11" ht="18" customHeight="1" x14ac:dyDescent="0.3">
      <c r="A40" s="281"/>
      <c r="J40" s="261"/>
    </row>
    <row r="41" spans="1:11" ht="18" customHeight="1" x14ac:dyDescent="0.3">
      <c r="J41" s="261"/>
    </row>
    <row r="42" spans="1:11" ht="18" customHeight="1" x14ac:dyDescent="0.3">
      <c r="J42" s="256"/>
    </row>
    <row r="43" spans="1:11" ht="18" customHeight="1" x14ac:dyDescent="0.3">
      <c r="J43" s="247"/>
    </row>
    <row r="44" spans="1:11" ht="18" customHeight="1" x14ac:dyDescent="0.3">
      <c r="J44" s="247"/>
    </row>
    <row r="45" spans="1:11" ht="18" customHeight="1" x14ac:dyDescent="0.25">
      <c r="J45" s="5"/>
    </row>
    <row r="46" spans="1:11" ht="18" customHeight="1" x14ac:dyDescent="0.25">
      <c r="J46" s="5"/>
    </row>
    <row r="47" spans="1:11" ht="18" customHeight="1" x14ac:dyDescent="0.25">
      <c r="J47" s="5"/>
    </row>
    <row r="48" spans="1:11" ht="18" customHeight="1" x14ac:dyDescent="0.25">
      <c r="J48" s="5"/>
    </row>
    <row r="49" spans="1:10" ht="18" customHeight="1" x14ac:dyDescent="0.25">
      <c r="J49" s="5"/>
    </row>
    <row r="50" spans="1:10" ht="18" customHeight="1" x14ac:dyDescent="0.25">
      <c r="J50" s="5"/>
    </row>
    <row r="51" spans="1:10" x14ac:dyDescent="0.25">
      <c r="A51" s="154"/>
      <c r="J51" s="5"/>
    </row>
    <row r="52" spans="1:10" x14ac:dyDescent="0.25">
      <c r="A52" s="154"/>
      <c r="J52" s="5"/>
    </row>
    <row r="53" spans="1:10" x14ac:dyDescent="0.25">
      <c r="A53" s="154"/>
      <c r="J53" s="5"/>
    </row>
    <row r="54" spans="1:10" x14ac:dyDescent="0.25">
      <c r="J54" s="5"/>
    </row>
    <row r="55" spans="1:10" x14ac:dyDescent="0.25">
      <c r="J55" s="5"/>
    </row>
    <row r="56" spans="1:10" x14ac:dyDescent="0.25">
      <c r="J56" s="5"/>
    </row>
    <row r="57" spans="1:10" x14ac:dyDescent="0.25">
      <c r="A57" s="154"/>
      <c r="J57" s="5"/>
    </row>
    <row r="58" spans="1:10" x14ac:dyDescent="0.25">
      <c r="A58" s="154"/>
      <c r="J58" s="5"/>
    </row>
    <row r="59" spans="1:10" x14ac:dyDescent="0.25">
      <c r="A59" s="154"/>
      <c r="J59" s="5"/>
    </row>
    <row r="60" spans="1:10" x14ac:dyDescent="0.25">
      <c r="A60" s="154"/>
      <c r="J60" s="5"/>
    </row>
    <row r="61" spans="1:10" x14ac:dyDescent="0.25">
      <c r="A61" s="154"/>
      <c r="J61" s="5"/>
    </row>
    <row r="62" spans="1:10" x14ac:dyDescent="0.25">
      <c r="A62" s="154"/>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1</xdr:col>
                    <xdr:colOff>0</xdr:colOff>
                    <xdr:row>7</xdr:row>
                    <xdr:rowOff>28575</xdr:rowOff>
                  </from>
                  <to>
                    <xdr:col>2</xdr:col>
                    <xdr:colOff>85725</xdr:colOff>
                    <xdr:row>8</xdr:row>
                    <xdr:rowOff>19050</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1</xdr:col>
                    <xdr:colOff>0</xdr:colOff>
                    <xdr:row>8</xdr:row>
                    <xdr:rowOff>19050</xdr:rowOff>
                  </from>
                  <to>
                    <xdr:col>1</xdr:col>
                    <xdr:colOff>1257300</xdr:colOff>
                    <xdr:row>9</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M62"/>
  <sheetViews>
    <sheetView showGridLines="0" showRowColHeaders="0" tabSelected="1" topLeftCell="B4" zoomScaleNormal="100" workbookViewId="0">
      <selection activeCell="K28" sqref="K28"/>
    </sheetView>
  </sheetViews>
  <sheetFormatPr defaultRowHeight="15" x14ac:dyDescent="0.25"/>
  <cols>
    <col min="2" max="2" width="35.85546875" customWidth="1"/>
    <col min="3" max="3" width="11.28515625" customWidth="1"/>
    <col min="4" max="4" width="9" customWidth="1"/>
    <col min="5" max="5" width="19" customWidth="1"/>
    <col min="6" max="6" width="11.42578125" customWidth="1"/>
    <col min="7" max="7" width="9" customWidth="1"/>
    <col min="8" max="9" width="9.7109375" customWidth="1"/>
  </cols>
  <sheetData>
    <row r="1" spans="2:10" x14ac:dyDescent="0.25">
      <c r="B1" s="231"/>
      <c r="C1" s="231"/>
    </row>
    <row r="2" spans="2:10" x14ac:dyDescent="0.25">
      <c r="B2" s="231"/>
      <c r="C2" s="231"/>
    </row>
    <row r="3" spans="2:10" x14ac:dyDescent="0.25">
      <c r="B3" s="231"/>
      <c r="C3" s="231"/>
    </row>
    <row r="4" spans="2:10" ht="30" x14ac:dyDescent="0.4">
      <c r="B4" s="2" t="s">
        <v>445</v>
      </c>
    </row>
    <row r="5" spans="2:10" ht="18" customHeight="1" x14ac:dyDescent="0.75">
      <c r="B5" s="4"/>
    </row>
    <row r="6" spans="2:10" ht="18" customHeight="1" x14ac:dyDescent="0.25">
      <c r="B6" s="280" t="s">
        <v>477</v>
      </c>
      <c r="C6" s="281"/>
      <c r="D6" s="281"/>
      <c r="E6" s="281"/>
      <c r="F6" s="281"/>
      <c r="G6" s="281"/>
      <c r="H6" s="281"/>
      <c r="I6" s="281"/>
    </row>
    <row r="7" spans="2:10" ht="18" customHeight="1" x14ac:dyDescent="0.25">
      <c r="B7" s="466" t="s">
        <v>478</v>
      </c>
      <c r="C7" s="284"/>
      <c r="D7" s="281"/>
      <c r="E7" s="281"/>
      <c r="F7" s="281"/>
      <c r="G7" s="281"/>
      <c r="H7" s="281"/>
      <c r="I7" s="281"/>
    </row>
    <row r="8" spans="2:10" ht="18" customHeight="1" x14ac:dyDescent="0.25">
      <c r="B8" s="289"/>
      <c r="C8" s="290"/>
      <c r="D8" s="290"/>
      <c r="E8" s="289"/>
      <c r="F8" s="289"/>
      <c r="G8" s="289"/>
      <c r="H8" s="289"/>
      <c r="I8" s="291"/>
    </row>
    <row r="9" spans="2:10" ht="18" customHeight="1" x14ac:dyDescent="0.25">
      <c r="B9" s="312" t="s">
        <v>446</v>
      </c>
      <c r="C9" s="290"/>
      <c r="D9" s="290"/>
      <c r="E9" s="290"/>
      <c r="F9" s="290"/>
      <c r="G9" s="292"/>
      <c r="H9" s="292"/>
      <c r="I9" s="293"/>
      <c r="J9" s="5"/>
    </row>
    <row r="10" spans="2:10" ht="18" customHeight="1" x14ac:dyDescent="0.25">
      <c r="B10" s="294"/>
      <c r="C10" s="295"/>
      <c r="D10" s="295"/>
      <c r="E10" s="295"/>
      <c r="F10" s="295"/>
      <c r="G10" s="296"/>
      <c r="H10" s="296"/>
      <c r="I10" s="297"/>
      <c r="J10" s="5"/>
    </row>
    <row r="11" spans="2:10" ht="18" customHeight="1" x14ac:dyDescent="0.25">
      <c r="B11" s="298"/>
      <c r="C11" s="299" t="s">
        <v>56</v>
      </c>
      <c r="D11" s="299" t="s">
        <v>278</v>
      </c>
      <c r="E11" s="299" t="s">
        <v>279</v>
      </c>
      <c r="F11" s="299" t="s">
        <v>162</v>
      </c>
      <c r="G11" s="296"/>
      <c r="H11" s="296"/>
      <c r="I11" s="297"/>
      <c r="J11" s="5"/>
    </row>
    <row r="12" spans="2:10" ht="18" customHeight="1" x14ac:dyDescent="0.25">
      <c r="B12" s="298" t="s">
        <v>196</v>
      </c>
      <c r="C12" s="621">
        <v>675303.14700003446</v>
      </c>
      <c r="D12" s="621">
        <v>18746</v>
      </c>
      <c r="E12" s="622">
        <v>4421465.1339764148</v>
      </c>
      <c r="F12" s="621">
        <v>5115514.2809764501</v>
      </c>
      <c r="G12" s="296"/>
      <c r="H12" s="296"/>
      <c r="I12" s="297"/>
      <c r="J12" s="5"/>
    </row>
    <row r="13" spans="2:10" ht="18" customHeight="1" x14ac:dyDescent="0.25">
      <c r="B13" s="298" t="s">
        <v>197</v>
      </c>
      <c r="C13" s="621">
        <v>778520.87100000004</v>
      </c>
      <c r="D13" s="621">
        <v>14048</v>
      </c>
      <c r="E13" s="622">
        <v>5047095.5</v>
      </c>
      <c r="F13" s="621">
        <v>5839664.3710000003</v>
      </c>
      <c r="G13" s="300"/>
      <c r="H13" s="300"/>
      <c r="I13" s="297"/>
      <c r="J13" s="5"/>
    </row>
    <row r="14" spans="2:10" ht="18" customHeight="1" x14ac:dyDescent="0.25">
      <c r="B14" s="298" t="s">
        <v>198</v>
      </c>
      <c r="C14" s="621">
        <v>859911</v>
      </c>
      <c r="D14" s="621">
        <v>15638</v>
      </c>
      <c r="E14" s="622">
        <v>5692813.6799999997</v>
      </c>
      <c r="F14" s="621">
        <v>6568362.6799999997</v>
      </c>
      <c r="G14" s="296"/>
      <c r="H14" s="296"/>
      <c r="I14" s="297"/>
      <c r="J14" s="5"/>
    </row>
    <row r="15" spans="2:10" ht="18" customHeight="1" x14ac:dyDescent="0.25">
      <c r="B15" s="298" t="s">
        <v>199</v>
      </c>
      <c r="C15" s="621">
        <v>1174841</v>
      </c>
      <c r="D15" s="621">
        <v>12117</v>
      </c>
      <c r="E15" s="622">
        <v>6597634.0729</v>
      </c>
      <c r="F15" s="621">
        <v>7784592.0729</v>
      </c>
      <c r="G15" s="296"/>
      <c r="H15" s="296"/>
      <c r="I15" s="297"/>
      <c r="J15" s="5"/>
    </row>
    <row r="16" spans="2:10" ht="18" customHeight="1" x14ac:dyDescent="0.25">
      <c r="B16" s="298" t="s">
        <v>200</v>
      </c>
      <c r="C16" s="623">
        <v>1109565.85458</v>
      </c>
      <c r="D16" s="624">
        <v>14255</v>
      </c>
      <c r="E16" s="622">
        <v>6302210.0633199997</v>
      </c>
      <c r="F16" s="623">
        <v>7426030.9178999998</v>
      </c>
      <c r="G16" s="295"/>
      <c r="H16" s="295"/>
      <c r="I16" s="295"/>
      <c r="J16" s="5"/>
    </row>
    <row r="17" spans="1:13" ht="18" customHeight="1" x14ac:dyDescent="0.25">
      <c r="A17" s="5"/>
      <c r="B17" s="298" t="s">
        <v>6</v>
      </c>
      <c r="C17" s="623">
        <v>1099782.3706200002</v>
      </c>
      <c r="D17" s="621">
        <v>19094</v>
      </c>
      <c r="E17" s="622">
        <v>6516513.7579399999</v>
      </c>
      <c r="F17" s="623">
        <v>7635390.1285600001</v>
      </c>
      <c r="G17" s="301"/>
      <c r="H17" s="301"/>
      <c r="I17" s="297"/>
      <c r="J17" s="5"/>
    </row>
    <row r="18" spans="1:13" ht="18" customHeight="1" x14ac:dyDescent="0.25">
      <c r="A18" s="5"/>
      <c r="B18" s="298" t="s">
        <v>7</v>
      </c>
      <c r="C18" s="625">
        <v>1171813</v>
      </c>
      <c r="D18" s="625">
        <v>13092</v>
      </c>
      <c r="E18" s="625">
        <v>6839898</v>
      </c>
      <c r="F18" s="626">
        <v>8025361</v>
      </c>
      <c r="G18" s="296"/>
      <c r="H18" s="296"/>
      <c r="I18" s="297"/>
      <c r="J18" s="5"/>
    </row>
    <row r="19" spans="1:13" ht="18" customHeight="1" x14ac:dyDescent="0.25">
      <c r="A19" s="5"/>
      <c r="B19" s="301"/>
      <c r="C19" s="295"/>
      <c r="D19" s="295"/>
      <c r="E19" s="302"/>
      <c r="F19" s="303"/>
      <c r="G19" s="296"/>
      <c r="H19" s="296"/>
      <c r="I19" s="297"/>
      <c r="J19" s="5"/>
    </row>
    <row r="20" spans="1:13" ht="18" customHeight="1" x14ac:dyDescent="0.25">
      <c r="A20" s="5"/>
      <c r="B20" s="313" t="s">
        <v>280</v>
      </c>
      <c r="C20" s="295"/>
      <c r="D20" s="295"/>
      <c r="E20" s="295"/>
      <c r="F20" s="295"/>
      <c r="G20" s="296"/>
      <c r="H20" s="296"/>
      <c r="I20" s="297"/>
      <c r="J20" s="5"/>
    </row>
    <row r="21" spans="1:13" ht="18" customHeight="1" x14ac:dyDescent="0.25">
      <c r="A21" s="5"/>
      <c r="B21" s="301"/>
      <c r="C21" s="311"/>
      <c r="D21" s="311"/>
      <c r="E21" s="295"/>
      <c r="F21" s="295"/>
      <c r="G21" s="301"/>
      <c r="H21" s="301"/>
      <c r="I21" s="297"/>
      <c r="J21" s="5"/>
    </row>
    <row r="22" spans="1:13" ht="18" customHeight="1" x14ac:dyDescent="0.25">
      <c r="B22" s="304" t="s">
        <v>282</v>
      </c>
      <c r="C22" s="311"/>
      <c r="D22" s="311"/>
      <c r="E22" s="305" t="s">
        <v>281</v>
      </c>
      <c r="F22" s="296"/>
      <c r="G22" s="297"/>
      <c r="H22" s="5"/>
    </row>
    <row r="23" spans="1:13" ht="18" customHeight="1" x14ac:dyDescent="0.25">
      <c r="B23" s="306" t="s">
        <v>279</v>
      </c>
      <c r="C23" s="311"/>
      <c r="D23" s="311"/>
      <c r="E23" s="307" t="s">
        <v>213</v>
      </c>
      <c r="F23" s="301"/>
      <c r="G23" s="297"/>
      <c r="H23" s="5"/>
    </row>
    <row r="24" spans="1:13" ht="18" customHeight="1" x14ac:dyDescent="0.25">
      <c r="B24" s="301"/>
      <c r="C24" s="295"/>
      <c r="D24" s="295"/>
      <c r="E24" s="301"/>
      <c r="F24" s="301"/>
      <c r="G24" s="301"/>
      <c r="H24" s="301"/>
      <c r="I24" s="297"/>
      <c r="J24" s="5"/>
      <c r="K24" s="670"/>
      <c r="L24" s="671"/>
      <c r="M24" s="671"/>
    </row>
    <row r="25" spans="1:13" ht="18" customHeight="1" x14ac:dyDescent="0.25">
      <c r="B25" s="301"/>
      <c r="C25" s="295"/>
      <c r="D25" s="295"/>
      <c r="E25" s="301"/>
      <c r="F25" s="301"/>
      <c r="G25" s="301"/>
      <c r="H25" s="301"/>
      <c r="I25" s="297"/>
      <c r="J25" s="5"/>
      <c r="K25" s="672"/>
      <c r="L25" s="673"/>
      <c r="M25" s="673"/>
    </row>
    <row r="26" spans="1:13" ht="18" customHeight="1" x14ac:dyDescent="0.25">
      <c r="B26" s="308"/>
      <c r="C26" s="310" t="s">
        <v>196</v>
      </c>
      <c r="D26" s="310" t="s">
        <v>197</v>
      </c>
      <c r="E26" s="310" t="s">
        <v>198</v>
      </c>
      <c r="F26" s="310" t="s">
        <v>199</v>
      </c>
      <c r="G26" s="310" t="s">
        <v>200</v>
      </c>
      <c r="H26" s="310" t="s">
        <v>6</v>
      </c>
      <c r="I26" s="310" t="s">
        <v>7</v>
      </c>
      <c r="J26" s="5"/>
      <c r="K26" s="397"/>
      <c r="L26" s="438"/>
      <c r="M26" s="438"/>
    </row>
    <row r="27" spans="1:13" ht="18" customHeight="1" x14ac:dyDescent="0.25">
      <c r="A27" s="281"/>
      <c r="B27" s="314" t="str">
        <f>IF(AND($B$23="PCTs", $E$23 ="Premises"), 'Inputs direct labour (2)'!D53, IF(AND($B$23="PCTs", $E$23 ="Equipment"), 'Inputs direct labour (2)'!D39, IF(AND($B$23="All trusts", $E$23 ="Equipment"), 'Inputs direct labour (2)'!D13, IF(AND($B$23="All trusts", $E$23 ="Premises"), 'Inputs direct labour (2)'!D27,””))))</f>
        <v xml:space="preserve">Building and Engineering Equipment </v>
      </c>
      <c r="C27" s="309">
        <f>IF(AND($B$23="PCTs", $E$23 ="Premises"), 'Inputs direct labour (2)'!E53, IF(AND($B$23="PCTs", $E$23 ="Equipment"), 'Inputs direct labour (2)'!E39, IF(AND($B$23="All trusts", $E$23 ="Equipment"), 'Inputs direct labour (2)'!E13, IF(AND($B$23="All trusts", $E$23 ="Premises"), 'Inputs direct labour (2)'!E27,””))))</f>
        <v>88141.321819006378</v>
      </c>
      <c r="D27" s="309">
        <f>IF(AND($B$23="PCTs", $E$23 ="Premises"), 'Inputs direct labour (2)'!F53, IF(AND($B$23="PCTs", $E$23 ="Equipment"), 'Inputs direct labour (2)'!F39, IF(AND($B$23="All trusts", $E$23 ="Equipment"), 'Inputs direct labour (2)'!F13, IF(AND($B$23="All trusts", $E$23 ="Premises"), 'Inputs direct labour (2)'!F27,””))))</f>
        <v>85151</v>
      </c>
      <c r="E27" s="309">
        <f>IF(AND($B$23="PCTs", $E$23 ="Premises"), 'Inputs direct labour (2)'!G53, IF(AND($B$23="PCTs", $E$23 ="Equipment"), 'Inputs direct labour (2)'!G39, IF(AND($B$23="All trusts", $E$23 ="Equipment"), 'Inputs direct labour (2)'!G13, IF(AND($B$23="All trusts", $E$23 ="Premises"), 'Inputs direct labour (2)'!G27,””))))</f>
        <v>86569</v>
      </c>
      <c r="F27" s="309">
        <f>IF(AND($B$23="PCTs", $E$23 ="Premises"), 'Inputs direct labour (2)'!H53, IF(AND($B$23="PCTs", $E$23 ="Equipment"), 'Inputs direct labour (2)'!H39, IF(AND($B$23="All trusts", $E$23 ="Equipment"), 'Inputs direct labour (2)'!H13, IF(AND($B$23="All trusts", $E$23 ="Premises"), 'Inputs direct labour (2)'!H27,””))))</f>
        <v>95776</v>
      </c>
      <c r="G27" s="309">
        <f>IF(AND($B$23="PCTs", $E$23 ="Premises"), 'Inputs direct labour (2)'!I53, IF(AND($B$23="PCTs", $E$23 ="Equipment"), 'Inputs direct labour (2)'!I39, IF(AND($B$23="All trusts", $E$23 ="Equipment"), 'Inputs direct labour (2)'!I13, IF(AND($B$23="All trusts", $E$23 ="Premises"), 'Inputs direct labour (2)'!I27,””))))</f>
        <v>79577.07346</v>
      </c>
      <c r="H27" s="309">
        <f>IF(AND($B$23="PCTs", $E$23 ="Premises"), 'Inputs direct labour (2)'!J53, IF(AND($B$23="PCTs", $E$23 ="Equipment"), 'Inputs direct labour (2)'!J39, IF(AND($B$23="All trusts", $E$23 ="Equipment"), 'Inputs direct labour (2)'!J13, IF(AND($B$23="All trusts", $E$23 ="Premises"), 'Inputs direct labour (2)'!J27,””))))</f>
        <v>75321.988870000001</v>
      </c>
      <c r="I27" s="309">
        <f>IF(AND($B$23="PCTs", $E$23 ="Premises"), 'Inputs direct labour (2)'!K53, IF(AND($B$23="PCTs", $E$23 ="Equipment"), 'Inputs direct labour (2)'!K39, IF(AND($B$23="All trusts", $E$23 ="Equipment"), 'Inputs direct labour (2)'!K13, IF(AND($B$23="All trusts", $E$23 ="Premises"), 'Inputs direct labour (2)'!K27,””))))</f>
        <v>66904</v>
      </c>
      <c r="J27" s="255"/>
      <c r="K27" s="397"/>
      <c r="L27" s="438"/>
      <c r="M27" s="438"/>
    </row>
    <row r="28" spans="1:13" ht="18" customHeight="1" x14ac:dyDescent="0.3">
      <c r="A28" s="281"/>
      <c r="B28" s="314" t="str">
        <f>IF(AND($B$23="PCTs", $E$23 ="Premises"), 'Inputs direct labour (2)'!D54, IF(AND($B$23="PCTs", $E$23 ="Equipment"), 'Inputs direct labour (2)'!D40, IF(AND($B$23="All trusts", $E$23 ="Equipment"), 'Inputs direct labour (2)'!D14, IF(AND($B$23="All trusts", $E$23 ="Premises"), 'Inputs direct labour (2)'!D28,””))))</f>
        <v xml:space="preserve">Building &amp; Engineering Contracts </v>
      </c>
      <c r="C28" s="309">
        <f>IF(AND($B$23="PCTs", $E$23 ="Premises"), 'Inputs direct labour (2)'!E54, IF(AND($B$23="PCTs", $E$23 ="Equipment"), 'Inputs direct labour (2)'!E40, IF(AND($B$23="All trusts", $E$23 ="Equipment"), 'Inputs direct labour (2)'!E14, IF(AND($B$23="All trusts", $E$23 ="Premises"), 'Inputs direct labour (2)'!E28,””))))</f>
        <v>186380.30639977392</v>
      </c>
      <c r="D28" s="309">
        <f>IF(AND($B$23="PCTs", $E$23 ="Premises"), 'Inputs direct labour (2)'!F54, IF(AND($B$23="PCTs", $E$23 ="Equipment"), 'Inputs direct labour (2)'!F40, IF(AND($B$23="All trusts", $E$23 ="Equipment"), 'Inputs direct labour (2)'!F14, IF(AND($B$23="All trusts", $E$23 ="Premises"), 'Inputs direct labour (2)'!F28,””))))</f>
        <v>197368</v>
      </c>
      <c r="E28" s="309">
        <f>IF(AND($B$23="PCTs", $E$23 ="Premises"), 'Inputs direct labour (2)'!G54, IF(AND($B$23="PCTs", $E$23 ="Equipment"), 'Inputs direct labour (2)'!G40, IF(AND($B$23="All trusts", $E$23 ="Equipment"), 'Inputs direct labour (2)'!G14, IF(AND($B$23="All trusts", $E$23 ="Premises"), 'Inputs direct labour (2)'!G28,””))))</f>
        <v>210435</v>
      </c>
      <c r="F28" s="309">
        <f>IF(AND($B$23="PCTs", $E$23 ="Premises"), 'Inputs direct labour (2)'!H54, IF(AND($B$23="PCTs", $E$23 ="Equipment"), 'Inputs direct labour (2)'!H40, IF(AND($B$23="All trusts", $E$23 ="Equipment"), 'Inputs direct labour (2)'!H14, IF(AND($B$23="All trusts", $E$23 ="Premises"), 'Inputs direct labour (2)'!H28,””))))</f>
        <v>243097</v>
      </c>
      <c r="G28" s="309">
        <f>IF(AND($B$23="PCTs", $E$23 ="Premises"), 'Inputs direct labour (2)'!I54, IF(AND($B$23="PCTs", $E$23 ="Equipment"), 'Inputs direct labour (2)'!I40, IF(AND($B$23="All trusts", $E$23 ="Equipment"), 'Inputs direct labour (2)'!I14, IF(AND($B$23="All trusts", $E$23 ="Premises"), 'Inputs direct labour (2)'!I28,””))))</f>
        <v>196779.12672999999</v>
      </c>
      <c r="H28" s="309">
        <f>IF(AND($B$23="PCTs", $E$23 ="Premises"), 'Inputs direct labour (2)'!J54, IF(AND($B$23="PCTs", $E$23 ="Equipment"), 'Inputs direct labour (2)'!J40, IF(AND($B$23="All trusts", $E$23 ="Equipment"), 'Inputs direct labour (2)'!J14, IF(AND($B$23="All trusts", $E$23 ="Premises"), 'Inputs direct labour (2)'!J28,””))))</f>
        <v>122817.26641</v>
      </c>
      <c r="I28" s="309">
        <f>IF(AND($B$23="PCTs", $E$23 ="Premises"), 'Inputs direct labour (2)'!K54, IF(AND($B$23="PCTs", $E$23 ="Equipment"), 'Inputs direct labour (2)'!K40, IF(AND($B$23="All trusts", $E$23 ="Equipment"), 'Inputs direct labour (2)'!K14, IF(AND($B$23="All trusts", $E$23 ="Premises"), 'Inputs direct labour (2)'!K28,””))))</f>
        <v>138915</v>
      </c>
      <c r="J28" s="261"/>
      <c r="K28" s="400"/>
      <c r="L28" s="438"/>
      <c r="M28" s="438"/>
    </row>
    <row r="29" spans="1:13" ht="18" customHeight="1" x14ac:dyDescent="0.3">
      <c r="A29" s="281"/>
      <c r="B29" s="314" t="str">
        <f>IF(AND($B$23="PCTs", $E$23 ="Premises"), 'Inputs direct labour (2)'!D55, IF(AND($B$23="PCTs", $E$23 ="Equipment"), 'Inputs direct labour (2)'!D41, IF(AND($B$23="All trusts", $E$23 ="Equipment"), 'Inputs direct labour (2)'!D15, IF(AND($B$23="All trusts", $E$23 ="Premises"), 'Inputs direct labour (2)'!D29,””))))</f>
        <v>FT premises - capital items</v>
      </c>
      <c r="C29" s="309">
        <f>IF(AND($B$23="PCTs", $E$23 ="Premises"), 'Inputs direct labour (2)'!E55, IF(AND($B$23="PCTs", $E$23 ="Equipment"), 'Inputs direct labour (2)'!E41, IF(AND($B$23="All trusts", $E$23 ="Equipment"), 'Inputs direct labour (2)'!E15, IF(AND($B$23="All trusts", $E$23 ="Premises"), 'Inputs direct labour (2)'!E29,””))))</f>
        <v>91973</v>
      </c>
      <c r="D29" s="309">
        <f>IF(AND($B$23="PCTs", $E$23 ="Premises"), 'Inputs direct labour (2)'!F55, IF(AND($B$23="PCTs", $E$23 ="Equipment"), 'Inputs direct labour (2)'!F41, IF(AND($B$23="All trusts", $E$23 ="Equipment"), 'Inputs direct labour (2)'!F15, IF(AND($B$23="All trusts", $E$23 ="Premises"), 'Inputs direct labour (2)'!F29,””))))</f>
        <v>170520</v>
      </c>
      <c r="E29" s="309">
        <f>IF(AND($B$23="PCTs", $E$23 ="Premises"), 'Inputs direct labour (2)'!G55, IF(AND($B$23="PCTs", $E$23 ="Equipment"), 'Inputs direct labour (2)'!G41, IF(AND($B$23="All trusts", $E$23 ="Equipment"), 'Inputs direct labour (2)'!G15, IF(AND($B$23="All trusts", $E$23 ="Premises"), 'Inputs direct labour (2)'!G29,””))))</f>
        <v>264195.75</v>
      </c>
      <c r="F29" s="309">
        <f>IF(AND($B$23="PCTs", $E$23 ="Premises"), 'Inputs direct labour (2)'!H55, IF(AND($B$23="PCTs", $E$23 ="Equipment"), 'Inputs direct labour (2)'!H41, IF(AND($B$23="All trusts", $E$23 ="Equipment"), 'Inputs direct labour (2)'!H15, IF(AND($B$23="All trusts", $E$23 ="Premises"), 'Inputs direct labour (2)'!H29,””))))</f>
        <v>420979.58</v>
      </c>
      <c r="G29" s="309">
        <f>IF(AND($B$23="PCTs", $E$23 ="Premises"), 'Inputs direct labour (2)'!I55, IF(AND($B$23="PCTs", $E$23 ="Equipment"), 'Inputs direct labour (2)'!I41, IF(AND($B$23="All trusts", $E$23 ="Equipment"), 'Inputs direct labour (2)'!I15, IF(AND($B$23="All trusts", $E$23 ="Premises"), 'Inputs direct labour (2)'!I29,””))))</f>
        <v>603072</v>
      </c>
      <c r="H29" s="309">
        <f>IF(AND($B$23="PCTs", $E$23 ="Premises"), 'Inputs direct labour (2)'!J55, IF(AND($B$23="PCTs", $E$23 ="Equipment"), 'Inputs direct labour (2)'!J41, IF(AND($B$23="All trusts", $E$23 ="Equipment"), 'Inputs direct labour (2)'!J15, IF(AND($B$23="All trusts", $E$23 ="Premises"), 'Inputs direct labour (2)'!J29,””))))</f>
        <v>607632.00000000012</v>
      </c>
      <c r="I29" s="309">
        <f>IF(AND($B$23="PCTs", $E$23 ="Premises"), 'Inputs direct labour (2)'!K55, IF(AND($B$23="PCTs", $E$23 ="Equipment"), 'Inputs direct labour (2)'!K41, IF(AND($B$23="All trusts", $E$23 ="Equipment"), 'Inputs direct labour (2)'!K15, IF(AND($B$23="All trusts", $E$23 ="Premises"), 'Inputs direct labour (2)'!K29,””))))</f>
        <v>685504</v>
      </c>
      <c r="J29" s="261"/>
      <c r="K29" s="397"/>
      <c r="L29" s="438"/>
      <c r="M29" s="438"/>
    </row>
    <row r="30" spans="1:13" ht="18" customHeight="1" x14ac:dyDescent="0.3">
      <c r="A30" s="281"/>
      <c r="B30" s="314">
        <f>IF(AND($B$23="PCTs", $E$23 ="Premises"), 'Inputs direct labour (2)'!D56, IF(AND($B$23="PCTs", $E$23 ="Equipment"), 'Inputs direct labour (2)'!D42, IF(AND($B$23="All trusts", $E$23 ="Equipment"), 'Inputs direct labour (2)'!D16, IF(AND($B$23="All trusts", $E$23 ="Premises"), 'Inputs direct labour (2)'!D30,””))))</f>
        <v>0</v>
      </c>
      <c r="C30" s="309">
        <f>IF(AND($B$23="PCTs", $E$23 ="Premises"), 'Inputs direct labour (2)'!E56, IF(AND($B$23="PCTs", $E$23 ="Equipment"), 'Inputs direct labour (2)'!E42, IF(AND($B$23="All trusts", $E$23 ="Equipment"), 'Inputs direct labour (2)'!E16, IF(AND($B$23="All trusts", $E$23 ="Premises"), 'Inputs direct labour (2)'!E30,””))))</f>
        <v>0</v>
      </c>
      <c r="D30" s="309">
        <f>IF(AND($B$23="PCTs", $E$23 ="Premises"), 'Inputs direct labour (2)'!F56, IF(AND($B$23="PCTs", $E$23 ="Equipment"), 'Inputs direct labour (2)'!F42, IF(AND($B$23="All trusts", $E$23 ="Equipment"), 'Inputs direct labour (2)'!F16, IF(AND($B$23="All trusts", $E$23 ="Premises"), 'Inputs direct labour (2)'!F30,””))))</f>
        <v>0</v>
      </c>
      <c r="E30" s="309">
        <f>IF(AND($B$23="PCTs", $E$23 ="Premises"), 'Inputs direct labour (2)'!G56, IF(AND($B$23="PCTs", $E$23 ="Equipment"), 'Inputs direct labour (2)'!G42, IF(AND($B$23="All trusts", $E$23 ="Equipment"), 'Inputs direct labour (2)'!G16, IF(AND($B$23="All trusts", $E$23 ="Premises"), 'Inputs direct labour (2)'!G30,””))))</f>
        <v>0</v>
      </c>
      <c r="F30" s="309">
        <f>IF(AND($B$23="PCTs", $E$23 ="Premises"), 'Inputs direct labour (2)'!H56, IF(AND($B$23="PCTs", $E$23 ="Equipment"), 'Inputs direct labour (2)'!H42, IF(AND($B$23="All trusts", $E$23 ="Equipment"), 'Inputs direct labour (2)'!H16, IF(AND($B$23="All trusts", $E$23 ="Premises"), 'Inputs direct labour (2)'!H30,””))))</f>
        <v>0</v>
      </c>
      <c r="G30" s="309">
        <f>IF(AND($B$23="PCTs", $E$23 ="Premises"), 'Inputs direct labour (2)'!I56, IF(AND($B$23="PCTs", $E$23 ="Equipment"), 'Inputs direct labour (2)'!I42, IF(AND($B$23="All trusts", $E$23 ="Equipment"), 'Inputs direct labour (2)'!I16, IF(AND($B$23="All trusts", $E$23 ="Premises"), 'Inputs direct labour (2)'!I30,””))))</f>
        <v>0</v>
      </c>
      <c r="H30" s="309">
        <f>IF(AND($B$23="PCTs", $E$23 ="Premises"), 'Inputs direct labour (2)'!J56, IF(AND($B$23="PCTs", $E$23 ="Equipment"), 'Inputs direct labour (2)'!J42, IF(AND($B$23="All trusts", $E$23 ="Equipment"), 'Inputs direct labour (2)'!J16, IF(AND($B$23="All trusts", $E$23 ="Premises"), 'Inputs direct labour (2)'!J30,””))))</f>
        <v>0</v>
      </c>
      <c r="I30" s="309">
        <f>IF(AND($B$23="PCTs", $E$23 ="Premises"), 'Inputs direct labour (2)'!K56, IF(AND($B$23="PCTs", $E$23 ="Equipment"), 'Inputs direct labour (2)'!K42, IF(AND($B$23="All trusts", $E$23 ="Equipment"), 'Inputs direct labour (2)'!K16, IF(AND($B$23="All trusts", $E$23 ="Premises"), 'Inputs direct labour (2)'!K30,””))))</f>
        <v>0</v>
      </c>
      <c r="J30" s="261"/>
      <c r="K30" s="439"/>
      <c r="L30" s="381"/>
      <c r="M30" s="381"/>
    </row>
    <row r="31" spans="1:13" ht="18" customHeight="1" x14ac:dyDescent="0.3">
      <c r="A31" s="281"/>
      <c r="B31" s="314" t="str">
        <f>IF(AND($B$23="PCTs", $E$23 ="Premises"), 'Inputs direct labour (2)'!D57, IF(AND($B$23="PCTs", $E$23 ="Equipment"), 'Inputs direct labour (2)'!D43, IF(AND($B$23="All trusts", $E$23 ="Equipment"), 'Inputs direct labour (2)'!D17, IF(AND($B$23="All trusts", $E$23 ="Premises"), 'Inputs direct labour (2)'!D31,””))))</f>
        <v xml:space="preserve">Business Rates </v>
      </c>
      <c r="C31" s="309">
        <f>IF(AND($B$23="PCTs", $E$23 ="Premises"), 'Inputs direct labour (2)'!E57, IF(AND($B$23="PCTs", $E$23 ="Equipment"), 'Inputs direct labour (2)'!E43, IF(AND($B$23="All trusts", $E$23 ="Equipment"), 'Inputs direct labour (2)'!E17, IF(AND($B$23="All trusts", $E$23 ="Premises"), 'Inputs direct labour (2)'!E31,””))))</f>
        <v>157516.4129629033</v>
      </c>
      <c r="D31" s="309">
        <f>IF(AND($B$23="PCTs", $E$23 ="Premises"), 'Inputs direct labour (2)'!F57, IF(AND($B$23="PCTs", $E$23 ="Equipment"), 'Inputs direct labour (2)'!F43, IF(AND($B$23="All trusts", $E$23 ="Equipment"), 'Inputs direct labour (2)'!F17, IF(AND($B$23="All trusts", $E$23 ="Premises"), 'Inputs direct labour (2)'!F31,””))))</f>
        <v>163147</v>
      </c>
      <c r="E31" s="309">
        <f>IF(AND($B$23="PCTs", $E$23 ="Premises"), 'Inputs direct labour (2)'!G57, IF(AND($B$23="PCTs", $E$23 ="Equipment"), 'Inputs direct labour (2)'!G43, IF(AND($B$23="All trusts", $E$23 ="Equipment"), 'Inputs direct labour (2)'!G17, IF(AND($B$23="All trusts", $E$23 ="Premises"), 'Inputs direct labour (2)'!G31,””))))</f>
        <v>183930</v>
      </c>
      <c r="F31" s="309">
        <f>IF(AND($B$23="PCTs", $E$23 ="Premises"), 'Inputs direct labour (2)'!H57, IF(AND($B$23="PCTs", $E$23 ="Equipment"), 'Inputs direct labour (2)'!H43, IF(AND($B$23="All trusts", $E$23 ="Equipment"), 'Inputs direct labour (2)'!H17, IF(AND($B$23="All trusts", $E$23 ="Premises"), 'Inputs direct labour (2)'!H31,””))))</f>
        <v>157402</v>
      </c>
      <c r="G31" s="309">
        <f>IF(AND($B$23="PCTs", $E$23 ="Premises"), 'Inputs direct labour (2)'!I57, IF(AND($B$23="PCTs", $E$23 ="Equipment"), 'Inputs direct labour (2)'!I43, IF(AND($B$23="All trusts", $E$23 ="Equipment"), 'Inputs direct labour (2)'!I17, IF(AND($B$23="All trusts", $E$23 ="Premises"), 'Inputs direct labour (2)'!I31,””))))</f>
        <v>125162.7917</v>
      </c>
      <c r="H31" s="309">
        <f>IF(AND($B$23="PCTs", $E$23 ="Premises"), 'Inputs direct labour (2)'!J57, IF(AND($B$23="PCTs", $E$23 ="Equipment"), 'Inputs direct labour (2)'!J43, IF(AND($B$23="All trusts", $E$23 ="Equipment"), 'Inputs direct labour (2)'!J17, IF(AND($B$23="All trusts", $E$23 ="Premises"), 'Inputs direct labour (2)'!J31,””))))</f>
        <v>125657.21574</v>
      </c>
      <c r="I31" s="309">
        <f>IF(AND($B$23="PCTs", $E$23 ="Premises"), 'Inputs direct labour (2)'!K57, IF(AND($B$23="PCTs", $E$23 ="Equipment"), 'Inputs direct labour (2)'!K43, IF(AND($B$23="All trusts", $E$23 ="Equipment"), 'Inputs direct labour (2)'!K17, IF(AND($B$23="All trusts", $E$23 ="Premises"), 'Inputs direct labour (2)'!K31,””))))</f>
        <v>135102</v>
      </c>
      <c r="J31" s="261"/>
      <c r="K31" s="439"/>
      <c r="L31" s="381"/>
      <c r="M31" s="381"/>
    </row>
    <row r="32" spans="1:13" ht="18" customHeight="1" x14ac:dyDescent="0.3">
      <c r="A32" s="281"/>
      <c r="B32" s="314">
        <f>IF(AND($B$23="PCTs", $E$23 ="Premises"), 'Inputs direct labour (2)'!D58, IF(AND($B$23="PCTs", $E$23 ="Equipment"), 'Inputs direct labour (2)'!D44, IF(AND($B$23="All trusts", $E$23 ="Equipment"), 'Inputs direct labour (2)'!D18, IF(AND($B$23="All trusts", $E$23 ="Premises"), 'Inputs direct labour (2)'!D32,””))))</f>
        <v>0</v>
      </c>
      <c r="C32" s="309">
        <f>IF(AND($B$23="PCTs", $E$23 ="Premises"), 'Inputs direct labour (2)'!E58, IF(AND($B$23="PCTs", $E$23 ="Equipment"), 'Inputs direct labour (2)'!E44, IF(AND($B$23="All trusts", $E$23 ="Equipment"), 'Inputs direct labour (2)'!E18, IF(AND($B$23="All trusts", $E$23 ="Premises"), 'Inputs direct labour (2)'!E32,””))))</f>
        <v>0</v>
      </c>
      <c r="D32" s="309">
        <f>IF(AND($B$23="PCTs", $E$23 ="Premises"), 'Inputs direct labour (2)'!F58, IF(AND($B$23="PCTs", $E$23 ="Equipment"), 'Inputs direct labour (2)'!F44, IF(AND($B$23="All trusts", $E$23 ="Equipment"), 'Inputs direct labour (2)'!F18, IF(AND($B$23="All trusts", $E$23 ="Premises"), 'Inputs direct labour (2)'!F32,””))))</f>
        <v>0</v>
      </c>
      <c r="E32" s="309">
        <f>IF(AND($B$23="PCTs", $E$23 ="Premises"), 'Inputs direct labour (2)'!G58, IF(AND($B$23="PCTs", $E$23 ="Equipment"), 'Inputs direct labour (2)'!G44, IF(AND($B$23="All trusts", $E$23 ="Equipment"), 'Inputs direct labour (2)'!G18, IF(AND($B$23="All trusts", $E$23 ="Premises"), 'Inputs direct labour (2)'!G32,””))))</f>
        <v>0</v>
      </c>
      <c r="F32" s="309">
        <f>IF(AND($B$23="PCTs", $E$23 ="Premises"), 'Inputs direct labour (2)'!H58, IF(AND($B$23="PCTs", $E$23 ="Equipment"), 'Inputs direct labour (2)'!H44, IF(AND($B$23="All trusts", $E$23 ="Equipment"), 'Inputs direct labour (2)'!H18, IF(AND($B$23="All trusts", $E$23 ="Premises"), 'Inputs direct labour (2)'!H32,””))))</f>
        <v>0</v>
      </c>
      <c r="G32" s="309">
        <f>IF(AND($B$23="PCTs", $E$23 ="Premises"), 'Inputs direct labour (2)'!I58, IF(AND($B$23="PCTs", $E$23 ="Equipment"), 'Inputs direct labour (2)'!I44, IF(AND($B$23="All trusts", $E$23 ="Equipment"), 'Inputs direct labour (2)'!I18, IF(AND($B$23="All trusts", $E$23 ="Premises"), 'Inputs direct labour (2)'!I32,””))))</f>
        <v>0</v>
      </c>
      <c r="H32" s="309">
        <f>IF(AND($B$23="PCTs", $E$23 ="Premises"), 'Inputs direct labour (2)'!J58, IF(AND($B$23="PCTs", $E$23 ="Equipment"), 'Inputs direct labour (2)'!J44, IF(AND($B$23="All trusts", $E$23 ="Equipment"), 'Inputs direct labour (2)'!J18, IF(AND($B$23="All trusts", $E$23 ="Premises"), 'Inputs direct labour (2)'!J32,””))))</f>
        <v>0</v>
      </c>
      <c r="I32" s="309">
        <f>IF(AND($B$23="PCTs", $E$23 ="Premises"), 'Inputs direct labour (2)'!K58, IF(AND($B$23="PCTs", $E$23 ="Equipment"), 'Inputs direct labour (2)'!K44, IF(AND($B$23="All trusts", $E$23 ="Equipment"), 'Inputs direct labour (2)'!K18, IF(AND($B$23="All trusts", $E$23 ="Premises"), 'Inputs direct labour (2)'!K32,””))))</f>
        <v>0</v>
      </c>
      <c r="J32" s="261"/>
      <c r="K32" s="246"/>
    </row>
    <row r="33" spans="1:11" ht="18" customHeight="1" x14ac:dyDescent="0.3">
      <c r="A33" s="281"/>
      <c r="B33" s="314">
        <f>IF(AND($B$23="PCTs", $E$23 ="Premises"), 'Inputs direct labour (2)'!D59, IF(AND($B$23="PCTs", $E$23 ="Equipment"), 'Inputs direct labour (2)'!D45, IF(AND($B$23="All trusts", $E$23 ="Equipment"), 'Inputs direct labour (2)'!D19, IF(AND($B$23="All trusts", $E$23 ="Premises"), 'Inputs direct labour (2)'!D33,””))))</f>
        <v>0</v>
      </c>
      <c r="C33" s="309">
        <f>IF(AND($B$23="PCTs", $E$23 ="Premises"), 'Inputs direct labour (2)'!E59, IF(AND($B$23="PCTs", $E$23 ="Equipment"), 'Inputs direct labour (2)'!E45, IF(AND($B$23="All trusts", $E$23 ="Equipment"), 'Inputs direct labour (2)'!E19, IF(AND($B$23="All trusts", $E$23 ="Premises"), 'Inputs direct labour (2)'!E33,””))))</f>
        <v>0</v>
      </c>
      <c r="D33" s="309">
        <f>IF(AND($B$23="PCTs", $E$23 ="Premises"), 'Inputs direct labour (2)'!F59, IF(AND($B$23="PCTs", $E$23 ="Equipment"), 'Inputs direct labour (2)'!F45, IF(AND($B$23="All trusts", $E$23 ="Equipment"), 'Inputs direct labour (2)'!F19, IF(AND($B$23="All trusts", $E$23 ="Premises"), 'Inputs direct labour (2)'!F33,””))))</f>
        <v>0</v>
      </c>
      <c r="E33" s="309">
        <f>IF(AND($B$23="PCTs", $E$23 ="Premises"), 'Inputs direct labour (2)'!G59, IF(AND($B$23="PCTs", $E$23 ="Equipment"), 'Inputs direct labour (2)'!G45, IF(AND($B$23="All trusts", $E$23 ="Equipment"), 'Inputs direct labour (2)'!G19, IF(AND($B$23="All trusts", $E$23 ="Premises"), 'Inputs direct labour (2)'!G33,””))))</f>
        <v>0</v>
      </c>
      <c r="F33" s="309">
        <f>IF(AND($B$23="PCTs", $E$23 ="Premises"), 'Inputs direct labour (2)'!H59, IF(AND($B$23="PCTs", $E$23 ="Equipment"), 'Inputs direct labour (2)'!H45, IF(AND($B$23="All trusts", $E$23 ="Equipment"), 'Inputs direct labour (2)'!H19, IF(AND($B$23="All trusts", $E$23 ="Premises"), 'Inputs direct labour (2)'!H33,””))))</f>
        <v>0</v>
      </c>
      <c r="G33" s="309">
        <f>IF(AND($B$23="PCTs", $E$23 ="Premises"), 'Inputs direct labour (2)'!I59, IF(AND($B$23="PCTs", $E$23 ="Equipment"), 'Inputs direct labour (2)'!I45, IF(AND($B$23="All trusts", $E$23 ="Equipment"), 'Inputs direct labour (2)'!I19, IF(AND($B$23="All trusts", $E$23 ="Premises"), 'Inputs direct labour (2)'!I33,””))))</f>
        <v>0</v>
      </c>
      <c r="H33" s="309">
        <f>IF(AND($B$23="PCTs", $E$23 ="Premises"), 'Inputs direct labour (2)'!J59, IF(AND($B$23="PCTs", $E$23 ="Equipment"), 'Inputs direct labour (2)'!J45, IF(AND($B$23="All trusts", $E$23 ="Equipment"), 'Inputs direct labour (2)'!J19, IF(AND($B$23="All trusts", $E$23 ="Premises"), 'Inputs direct labour (2)'!J33,””))))</f>
        <v>0</v>
      </c>
      <c r="I33" s="309">
        <f>IF(AND($B$23="PCTs", $E$23 ="Premises"), 'Inputs direct labour (2)'!K59, IF(AND($B$23="PCTs", $E$23 ="Equipment"), 'Inputs direct labour (2)'!K45, IF(AND($B$23="All trusts", $E$23 ="Equipment"), 'Inputs direct labour (2)'!K19, IF(AND($B$23="All trusts", $E$23 ="Premises"), 'Inputs direct labour (2)'!K33,””))))</f>
        <v>0</v>
      </c>
      <c r="J33" s="261"/>
      <c r="K33" s="246"/>
    </row>
    <row r="34" spans="1:11" ht="18" customHeight="1" x14ac:dyDescent="0.3">
      <c r="A34" s="281"/>
      <c r="B34" s="314">
        <f>IF(AND($B$23="PCTs", $E$23 ="Premises"), 'Inputs direct labour (2)'!D60, IF(AND($B$23="PCTs", $E$23 ="Equipment"), 'Inputs direct labour (2)'!D46, IF(AND($B$23="All trusts", $E$23 ="Equipment"), 'Inputs direct labour (2)'!D20, IF(AND($B$23="All trusts", $E$23 ="Premises"), 'Inputs direct labour (2)'!D34,””))))</f>
        <v>0</v>
      </c>
      <c r="C34" s="309">
        <f>IF(AND($B$23="PCTs", $E$23 ="Premises"), 'Inputs direct labour (2)'!E60, IF(AND($B$23="PCTs", $E$23 ="Equipment"), 'Inputs direct labour (2)'!E46, IF(AND($B$23="All trusts", $E$23 ="Equipment"), 'Inputs direct labour (2)'!E20, IF(AND($B$23="All trusts", $E$23 ="Premises"), 'Inputs direct labour (2)'!E34,””))))</f>
        <v>0</v>
      </c>
      <c r="D34" s="309">
        <f>IF(AND($B$23="PCTs", $E$23 ="Premises"), 'Inputs direct labour (2)'!F60, IF(AND($B$23="PCTs", $E$23 ="Equipment"), 'Inputs direct labour (2)'!F46, IF(AND($B$23="All trusts", $E$23 ="Equipment"), 'Inputs direct labour (2)'!F20, IF(AND($B$23="All trusts", $E$23 ="Premises"), 'Inputs direct labour (2)'!F34,””))))</f>
        <v>0</v>
      </c>
      <c r="E34" s="309">
        <f>IF(AND($B$23="PCTs", $E$23 ="Premises"), 'Inputs direct labour (2)'!G60, IF(AND($B$23="PCTs", $E$23 ="Equipment"), 'Inputs direct labour (2)'!G46, IF(AND($B$23="All trusts", $E$23 ="Equipment"), 'Inputs direct labour (2)'!G20, IF(AND($B$23="All trusts", $E$23 ="Premises"), 'Inputs direct labour (2)'!G34,””))))</f>
        <v>0</v>
      </c>
      <c r="F34" s="309">
        <f>IF(AND($B$23="PCTs", $E$23 ="Premises"), 'Inputs direct labour (2)'!H60, IF(AND($B$23="PCTs", $E$23 ="Equipment"), 'Inputs direct labour (2)'!H46, IF(AND($B$23="All trusts", $E$23 ="Equipment"), 'Inputs direct labour (2)'!H20, IF(AND($B$23="All trusts", $E$23 ="Premises"), 'Inputs direct labour (2)'!H34,””))))</f>
        <v>0</v>
      </c>
      <c r="G34" s="309">
        <f>IF(AND($B$23="PCTs", $E$23 ="Premises"), 'Inputs direct labour (2)'!I60, IF(AND($B$23="PCTs", $E$23 ="Equipment"), 'Inputs direct labour (2)'!I46, IF(AND($B$23="All trusts", $E$23 ="Equipment"), 'Inputs direct labour (2)'!I20, IF(AND($B$23="All trusts", $E$23 ="Premises"), 'Inputs direct labour (2)'!I34,””))))</f>
        <v>0</v>
      </c>
      <c r="H34" s="309">
        <f>IF(AND($B$23="PCTs", $E$23 ="Premises"), 'Inputs direct labour (2)'!J60, IF(AND($B$23="PCTs", $E$23 ="Equipment"), 'Inputs direct labour (2)'!J46, IF(AND($B$23="All trusts", $E$23 ="Equipment"), 'Inputs direct labour (2)'!J20, IF(AND($B$23="All trusts", $E$23 ="Premises"), 'Inputs direct labour (2)'!J34,””))))</f>
        <v>0</v>
      </c>
      <c r="I34" s="309">
        <f>IF(AND($B$23="PCTs", $E$23 ="Premises"), 'Inputs direct labour (2)'!K60, IF(AND($B$23="PCTs", $E$23 ="Equipment"), 'Inputs direct labour (2)'!K46, IF(AND($B$23="All trusts", $E$23 ="Equipment"), 'Inputs direct labour (2)'!K20, IF(AND($B$23="All trusts", $E$23 ="Premises"), 'Inputs direct labour (2)'!K34,””))))</f>
        <v>0</v>
      </c>
      <c r="J34" s="261"/>
      <c r="K34" s="246"/>
    </row>
    <row r="35" spans="1:11" ht="18" customHeight="1" x14ac:dyDescent="0.3">
      <c r="A35" s="281"/>
      <c r="B35" s="314">
        <f>IF(AND($B$23="PCTs", $E$23 ="Premises"), 'Inputs direct labour (2)'!D61, IF(AND($B$23="PCTs", $E$23 ="Equipment"), 'Inputs direct labour (2)'!D47, IF(AND($B$23="All trusts", $E$23 ="Equipment"), 'Inputs direct labour (2)'!D21, IF(AND($B$23="All trusts", $E$23 ="Premises"), 'Inputs direct labour (2)'!D35,””))))</f>
        <v>0</v>
      </c>
      <c r="C35" s="309">
        <f>IF(AND($B$23="PCTs", $E$23 ="Premises"), 'Inputs direct labour (2)'!E61, IF(AND($B$23="PCTs", $E$23 ="Equipment"), 'Inputs direct labour (2)'!E47, IF(AND($B$23="All trusts", $E$23 ="Equipment"), 'Inputs direct labour (2)'!E21, IF(AND($B$23="All trusts", $E$23 ="Premises"), 'Inputs direct labour (2)'!E35,””))))</f>
        <v>0</v>
      </c>
      <c r="D35" s="309">
        <f>IF(AND($B$23="PCTs", $E$23 ="Premises"), 'Inputs direct labour (2)'!F61, IF(AND($B$23="PCTs", $E$23 ="Equipment"), 'Inputs direct labour (2)'!F47, IF(AND($B$23="All trusts", $E$23 ="Equipment"), 'Inputs direct labour (2)'!F21, IF(AND($B$23="All trusts", $E$23 ="Premises"), 'Inputs direct labour (2)'!F35,””))))</f>
        <v>0</v>
      </c>
      <c r="E35" s="309">
        <f>IF(AND($B$23="PCTs", $E$23 ="Premises"), 'Inputs direct labour (2)'!G61, IF(AND($B$23="PCTs", $E$23 ="Equipment"), 'Inputs direct labour (2)'!G47, IF(AND($B$23="All trusts", $E$23 ="Equipment"), 'Inputs direct labour (2)'!G21, IF(AND($B$23="All trusts", $E$23 ="Premises"), 'Inputs direct labour (2)'!G35,””))))</f>
        <v>0</v>
      </c>
      <c r="F35" s="309">
        <f>IF(AND($B$23="PCTs", $E$23 ="Premises"), 'Inputs direct labour (2)'!H61, IF(AND($B$23="PCTs", $E$23 ="Equipment"), 'Inputs direct labour (2)'!H47, IF(AND($B$23="All trusts", $E$23 ="Equipment"), 'Inputs direct labour (2)'!H21, IF(AND($B$23="All trusts", $E$23 ="Premises"), 'Inputs direct labour (2)'!H35,””))))</f>
        <v>0</v>
      </c>
      <c r="G35" s="309">
        <f>IF(AND($B$23="PCTs", $E$23 ="Premises"), 'Inputs direct labour (2)'!I61, IF(AND($B$23="PCTs", $E$23 ="Equipment"), 'Inputs direct labour (2)'!I47, IF(AND($B$23="All trusts", $E$23 ="Equipment"), 'Inputs direct labour (2)'!I21, IF(AND($B$23="All trusts", $E$23 ="Premises"), 'Inputs direct labour (2)'!I35,””))))</f>
        <v>0</v>
      </c>
      <c r="H35" s="309">
        <f>IF(AND($B$23="PCTs", $E$23 ="Premises"), 'Inputs direct labour (2)'!J61, IF(AND($B$23="PCTs", $E$23 ="Equipment"), 'Inputs direct labour (2)'!J47, IF(AND($B$23="All trusts", $E$23 ="Equipment"), 'Inputs direct labour (2)'!J21, IF(AND($B$23="All trusts", $E$23 ="Premises"), 'Inputs direct labour (2)'!J35,””))))</f>
        <v>0</v>
      </c>
      <c r="I35" s="309">
        <f>IF(AND($B$23="PCTs", $E$23 ="Premises"), 'Inputs direct labour (2)'!K61, IF(AND($B$23="PCTs", $E$23 ="Equipment"), 'Inputs direct labour (2)'!K47, IF(AND($B$23="All trusts", $E$23 ="Equipment"), 'Inputs direct labour (2)'!K21, IF(AND($B$23="All trusts", $E$23 ="Premises"), 'Inputs direct labour (2)'!K35,””))))</f>
        <v>0</v>
      </c>
      <c r="J35" s="261"/>
      <c r="K35" s="246"/>
    </row>
    <row r="36" spans="1:11" ht="18" customHeight="1" x14ac:dyDescent="0.3">
      <c r="B36" s="257"/>
      <c r="C36" s="258"/>
      <c r="D36" s="258"/>
      <c r="E36" s="258"/>
      <c r="F36" s="258"/>
      <c r="G36" s="259"/>
      <c r="H36" s="259"/>
      <c r="I36" s="260"/>
      <c r="J36" s="261"/>
      <c r="K36" s="246"/>
    </row>
    <row r="37" spans="1:11" ht="18" customHeight="1" x14ac:dyDescent="0.3">
      <c r="B37" s="242"/>
      <c r="C37" s="243"/>
      <c r="D37" s="243"/>
      <c r="E37" s="243"/>
      <c r="F37" s="243"/>
      <c r="G37" s="244"/>
      <c r="H37" s="244"/>
      <c r="I37" s="245"/>
      <c r="J37" s="256"/>
      <c r="K37" s="246"/>
    </row>
    <row r="38" spans="1:11" ht="18" customHeight="1" x14ac:dyDescent="0.3">
      <c r="B38" s="244"/>
      <c r="C38" s="243"/>
      <c r="D38" s="243"/>
      <c r="E38" s="243"/>
      <c r="F38" s="243"/>
      <c r="G38" s="244"/>
      <c r="H38" s="244"/>
      <c r="I38" s="245"/>
      <c r="J38" s="247"/>
      <c r="K38" s="246"/>
    </row>
    <row r="39" spans="1:11" ht="18" customHeight="1" x14ac:dyDescent="0.35">
      <c r="B39" s="177"/>
      <c r="C39" s="165"/>
      <c r="D39" s="165"/>
      <c r="E39" s="165"/>
      <c r="F39" s="165"/>
      <c r="G39" s="177"/>
      <c r="H39" s="177"/>
      <c r="I39" s="238"/>
      <c r="J39" s="247"/>
      <c r="K39" s="246"/>
    </row>
    <row r="40" spans="1:11" ht="18" customHeight="1" x14ac:dyDescent="0.35">
      <c r="B40" s="177"/>
      <c r="C40" s="165"/>
      <c r="D40" s="165"/>
      <c r="E40" s="165"/>
      <c r="F40" s="165"/>
      <c r="G40" s="179"/>
      <c r="H40" s="179"/>
      <c r="I40" s="238"/>
      <c r="J40" s="5"/>
    </row>
    <row r="41" spans="1:11" ht="18" customHeight="1" x14ac:dyDescent="0.35">
      <c r="B41" s="177"/>
      <c r="C41" s="165"/>
      <c r="D41" s="165"/>
      <c r="E41" s="165"/>
      <c r="F41" s="165"/>
      <c r="G41" s="179"/>
      <c r="H41" s="179"/>
      <c r="I41" s="238"/>
      <c r="J41" s="5"/>
    </row>
    <row r="42" spans="1:11" ht="18" customHeight="1" x14ac:dyDescent="0.35">
      <c r="B42" s="177"/>
      <c r="C42" s="165"/>
      <c r="D42" s="165"/>
      <c r="E42" s="165"/>
      <c r="F42" s="165"/>
      <c r="G42" s="179"/>
      <c r="H42" s="179"/>
      <c r="I42" s="238"/>
      <c r="J42" s="5"/>
    </row>
    <row r="43" spans="1:11" ht="18" customHeight="1" x14ac:dyDescent="0.35">
      <c r="B43" s="177"/>
      <c r="C43" s="165"/>
      <c r="D43" s="165"/>
      <c r="E43" s="165"/>
      <c r="F43" s="165"/>
      <c r="G43" s="180"/>
      <c r="H43" s="179"/>
      <c r="I43" s="238"/>
      <c r="J43" s="5"/>
    </row>
    <row r="44" spans="1:11" ht="18" customHeight="1" x14ac:dyDescent="0.35">
      <c r="B44" s="240"/>
      <c r="C44" s="165"/>
      <c r="D44" s="165"/>
      <c r="E44" s="165"/>
      <c r="F44" s="165"/>
      <c r="G44" s="177"/>
      <c r="H44" s="177"/>
      <c r="I44" s="237"/>
      <c r="J44" s="5"/>
    </row>
    <row r="45" spans="1:11" ht="18" customHeight="1" x14ac:dyDescent="0.35">
      <c r="B45" s="177"/>
      <c r="C45" s="165"/>
      <c r="D45" s="165"/>
      <c r="E45" s="181"/>
      <c r="F45" s="181"/>
      <c r="G45" s="182"/>
      <c r="H45" s="182"/>
      <c r="I45" s="239"/>
      <c r="J45" s="5"/>
    </row>
    <row r="46" spans="1:11" ht="23.25" x14ac:dyDescent="0.35">
      <c r="A46" s="154"/>
      <c r="B46" s="177"/>
      <c r="C46" s="165"/>
      <c r="D46" s="165"/>
      <c r="E46" s="181"/>
      <c r="F46" s="181"/>
      <c r="G46" s="177"/>
      <c r="H46" s="177"/>
      <c r="I46" s="237"/>
      <c r="J46" s="5"/>
    </row>
    <row r="47" spans="1:11" ht="23.25" x14ac:dyDescent="0.35">
      <c r="A47" s="154"/>
      <c r="B47" s="177"/>
      <c r="C47" s="165"/>
      <c r="D47" s="165"/>
      <c r="E47" s="181"/>
      <c r="F47" s="181"/>
      <c r="G47" s="184"/>
      <c r="H47" s="181"/>
      <c r="I47" s="239"/>
      <c r="J47" s="5"/>
    </row>
    <row r="48" spans="1:11" ht="23.25" x14ac:dyDescent="0.35">
      <c r="A48" s="154"/>
      <c r="B48" s="240"/>
      <c r="C48" s="165"/>
      <c r="D48" s="165"/>
      <c r="E48" s="181"/>
      <c r="F48" s="181"/>
      <c r="G48" s="177"/>
      <c r="H48" s="177"/>
      <c r="I48" s="237"/>
      <c r="J48" s="5"/>
    </row>
    <row r="49" spans="1:10" ht="23.25" x14ac:dyDescent="0.35">
      <c r="B49" s="177"/>
      <c r="C49" s="165"/>
      <c r="D49" s="165"/>
      <c r="E49" s="181"/>
      <c r="F49" s="181"/>
      <c r="G49" s="182"/>
      <c r="H49" s="182"/>
      <c r="I49" s="241"/>
      <c r="J49" s="5"/>
    </row>
    <row r="50" spans="1:10" ht="23.25" x14ac:dyDescent="0.35">
      <c r="B50" s="240"/>
      <c r="C50" s="181"/>
      <c r="D50" s="181"/>
      <c r="E50" s="20"/>
      <c r="F50" s="20"/>
      <c r="G50" s="20"/>
      <c r="H50" s="20"/>
      <c r="I50" s="20"/>
      <c r="J50" s="5"/>
    </row>
    <row r="51" spans="1:10" ht="23.25" x14ac:dyDescent="0.35">
      <c r="B51" s="240"/>
      <c r="C51" s="181"/>
      <c r="D51" s="181"/>
      <c r="E51" s="20"/>
      <c r="F51" s="20"/>
      <c r="G51" s="20"/>
      <c r="H51" s="20"/>
      <c r="I51" s="20"/>
      <c r="J51" s="5"/>
    </row>
    <row r="52" spans="1:10" ht="23.25" x14ac:dyDescent="0.35">
      <c r="A52" s="154"/>
      <c r="B52" s="240"/>
      <c r="C52" s="181"/>
      <c r="D52" s="181"/>
      <c r="E52" s="20"/>
      <c r="F52" s="20"/>
      <c r="G52" s="20"/>
      <c r="H52" s="20"/>
      <c r="I52" s="20"/>
      <c r="J52" s="5"/>
    </row>
    <row r="53" spans="1:10" ht="23.25" x14ac:dyDescent="0.35">
      <c r="A53" s="154"/>
      <c r="B53" s="240"/>
      <c r="C53" s="181"/>
      <c r="D53" s="181"/>
      <c r="E53" s="5"/>
      <c r="F53" s="5"/>
      <c r="G53" s="5"/>
      <c r="H53" s="5"/>
      <c r="I53" s="5"/>
      <c r="J53" s="5"/>
    </row>
    <row r="54" spans="1:10" ht="23.25" x14ac:dyDescent="0.35">
      <c r="A54" s="154"/>
      <c r="B54" s="240"/>
      <c r="C54" s="181"/>
      <c r="D54" s="181"/>
      <c r="E54" s="5"/>
      <c r="F54" s="5"/>
      <c r="G54" s="5"/>
      <c r="H54" s="5"/>
      <c r="I54" s="5"/>
      <c r="J54" s="5"/>
    </row>
    <row r="55" spans="1:10" ht="23.25" x14ac:dyDescent="0.35">
      <c r="A55" s="154"/>
      <c r="B55" s="10"/>
      <c r="C55" s="10"/>
      <c r="D55" s="10"/>
      <c r="E55" s="5"/>
      <c r="F55" s="5"/>
      <c r="G55" s="5"/>
      <c r="H55" s="5"/>
      <c r="I55" s="5"/>
      <c r="J55" s="5"/>
    </row>
    <row r="56" spans="1:10" ht="23.25" x14ac:dyDescent="0.35">
      <c r="A56" s="154"/>
      <c r="B56" s="10"/>
      <c r="C56" s="10"/>
      <c r="D56" s="10"/>
      <c r="J56" s="5"/>
    </row>
    <row r="57" spans="1:10" ht="23.25" x14ac:dyDescent="0.35">
      <c r="A57" s="154"/>
      <c r="B57" s="189"/>
      <c r="C57" s="10"/>
      <c r="D57" s="10"/>
    </row>
    <row r="58" spans="1:10" x14ac:dyDescent="0.25">
      <c r="B58" s="154"/>
    </row>
    <row r="59" spans="1:10" x14ac:dyDescent="0.25">
      <c r="B59" s="154"/>
    </row>
    <row r="60" spans="1:10" x14ac:dyDescent="0.25">
      <c r="B60" s="154"/>
    </row>
    <row r="61" spans="1:10" x14ac:dyDescent="0.25">
      <c r="B61" s="154"/>
    </row>
    <row r="62" spans="1:10" x14ac:dyDescent="0.25">
      <c r="B62" s="154"/>
    </row>
  </sheetData>
  <customSheetViews>
    <customSheetView guid="{9EA95E61-FCA5-4867-AEB4-B8C24058ACDD}" showGridLines="0" showRowCol="0" topLeftCell="A13">
      <selection activeCell="D23" sqref="D23"/>
      <pageMargins left="0.7" right="0.7" top="0.75" bottom="0.75" header="0.3" footer="0.3"/>
      <pageSetup paperSize="9" orientation="portrait" r:id="rId1"/>
    </customSheetView>
  </customSheetViews>
  <mergeCells count="2">
    <mergeCell ref="K24:M24"/>
    <mergeCell ref="K25:M25"/>
  </mergeCells>
  <dataValidations count="2">
    <dataValidation type="list" allowBlank="1" showInputMessage="1" showErrorMessage="1" sqref="B23">
      <formula1>pcts</formula1>
    </dataValidation>
    <dataValidation type="list" allowBlank="1" showInputMessage="1" showErrorMessage="1" sqref="E23">
      <formula1>Capitalcosts</formula1>
    </dataValidation>
  </dataValidation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4:W80"/>
  <sheetViews>
    <sheetView showGridLines="0" showRowColHeaders="0" topLeftCell="A31" zoomScale="60" zoomScaleNormal="60" workbookViewId="0">
      <selection activeCell="E67" sqref="E67"/>
    </sheetView>
  </sheetViews>
  <sheetFormatPr defaultRowHeight="15" x14ac:dyDescent="0.25"/>
  <cols>
    <col min="4" max="4" width="24.85546875" customWidth="1"/>
    <col min="5" max="5" width="43.7109375" customWidth="1"/>
    <col min="6" max="6" width="39.7109375" customWidth="1"/>
    <col min="7" max="7" width="35.5703125" customWidth="1"/>
    <col min="8" max="8" width="47.5703125" customWidth="1"/>
    <col min="9" max="9" width="43.7109375" customWidth="1"/>
    <col min="10" max="10" width="39.7109375" customWidth="1"/>
    <col min="11" max="11" width="24.85546875" customWidth="1"/>
    <col min="12" max="12" width="20.5703125" customWidth="1"/>
    <col min="13" max="13" width="26.28515625" customWidth="1"/>
    <col min="14" max="14" width="16.28515625" customWidth="1"/>
    <col min="15" max="15" width="26.28515625" bestFit="1" customWidth="1"/>
    <col min="16" max="16" width="16.28515625" bestFit="1" customWidth="1"/>
    <col min="17" max="17" width="22.5703125" bestFit="1" customWidth="1"/>
    <col min="18" max="18" width="21.28515625" bestFit="1" customWidth="1"/>
    <col min="19" max="19" width="22.28515625" bestFit="1" customWidth="1"/>
  </cols>
  <sheetData>
    <row r="4" spans="2:23" ht="59.25" x14ac:dyDescent="0.75">
      <c r="D4" s="4" t="s">
        <v>140</v>
      </c>
    </row>
    <row r="5" spans="2:23" ht="59.25" x14ac:dyDescent="0.75">
      <c r="D5" s="4"/>
    </row>
    <row r="6" spans="2:23" ht="23.25" thickBot="1" x14ac:dyDescent="0.35">
      <c r="D6" s="674" t="s">
        <v>64</v>
      </c>
      <c r="E6" s="674"/>
      <c r="F6" s="674"/>
      <c r="G6" s="674"/>
      <c r="H6" s="11"/>
      <c r="I6" s="11"/>
      <c r="J6" s="11"/>
    </row>
    <row r="7" spans="2:23" ht="22.5" x14ac:dyDescent="0.3">
      <c r="D7" s="14" t="s">
        <v>1</v>
      </c>
      <c r="E7" s="15" t="s">
        <v>65</v>
      </c>
      <c r="F7" s="15" t="s">
        <v>66</v>
      </c>
      <c r="G7" s="16" t="s">
        <v>3</v>
      </c>
      <c r="H7" s="11"/>
      <c r="I7" s="11"/>
      <c r="J7" s="11"/>
    </row>
    <row r="8" spans="2:23" ht="22.5" x14ac:dyDescent="0.3">
      <c r="B8" s="8"/>
      <c r="D8" s="105" t="s">
        <v>67</v>
      </c>
      <c r="E8" s="86">
        <v>504572701</v>
      </c>
      <c r="F8" s="86">
        <v>49074900472</v>
      </c>
      <c r="G8" s="87">
        <v>4464856836</v>
      </c>
      <c r="H8" s="11"/>
      <c r="I8" s="11"/>
      <c r="J8" s="11"/>
      <c r="T8" s="8"/>
      <c r="U8" s="8"/>
      <c r="V8" s="8"/>
      <c r="W8" s="8"/>
    </row>
    <row r="9" spans="2:23" ht="22.5" x14ac:dyDescent="0.3">
      <c r="B9" s="8"/>
      <c r="D9" s="105" t="s">
        <v>68</v>
      </c>
      <c r="E9" s="86">
        <v>516341468</v>
      </c>
      <c r="F9" s="86">
        <v>50582460208</v>
      </c>
      <c r="G9" s="87">
        <v>4799456503</v>
      </c>
      <c r="H9" s="11"/>
      <c r="I9" s="11"/>
      <c r="J9" s="11"/>
      <c r="T9" s="8"/>
      <c r="U9" s="8"/>
      <c r="V9" s="8"/>
      <c r="W9" s="8"/>
    </row>
    <row r="10" spans="2:23" ht="22.5" x14ac:dyDescent="0.3">
      <c r="B10" s="8"/>
      <c r="D10" s="105" t="s">
        <v>69</v>
      </c>
      <c r="E10" s="86">
        <v>534119797</v>
      </c>
      <c r="F10" s="86">
        <v>52158169497</v>
      </c>
      <c r="G10" s="87">
        <v>5435175325</v>
      </c>
      <c r="H10" s="11"/>
      <c r="I10" s="11"/>
      <c r="J10" s="11"/>
      <c r="T10" s="8"/>
      <c r="U10" s="8"/>
      <c r="V10" s="8"/>
      <c r="W10" s="8"/>
    </row>
    <row r="11" spans="2:23" ht="22.5" x14ac:dyDescent="0.3">
      <c r="B11" s="8"/>
      <c r="D11" s="105" t="s">
        <v>70</v>
      </c>
      <c r="E11" s="86">
        <v>561373380</v>
      </c>
      <c r="F11" s="86">
        <v>54089177055</v>
      </c>
      <c r="G11" s="87">
        <v>5651309236</v>
      </c>
      <c r="H11" s="11"/>
      <c r="I11" s="11"/>
      <c r="J11" s="11"/>
      <c r="T11" s="8"/>
      <c r="U11" s="8"/>
      <c r="V11" s="8"/>
      <c r="W11" s="8"/>
    </row>
    <row r="12" spans="2:23" ht="22.5" x14ac:dyDescent="0.3">
      <c r="B12" s="8"/>
      <c r="D12" s="105" t="s">
        <v>71</v>
      </c>
      <c r="E12" s="86">
        <v>591871608</v>
      </c>
      <c r="F12" s="86">
        <v>56740912048</v>
      </c>
      <c r="G12" s="87">
        <v>6281071387</v>
      </c>
      <c r="H12" s="11"/>
      <c r="I12" s="11"/>
      <c r="J12" s="11"/>
      <c r="T12" s="8"/>
      <c r="U12" s="8"/>
      <c r="V12" s="8"/>
      <c r="W12" s="8"/>
    </row>
    <row r="13" spans="2:23" ht="22.5" x14ac:dyDescent="0.3">
      <c r="B13" s="8"/>
      <c r="D13" s="105" t="s">
        <v>72</v>
      </c>
      <c r="E13" s="86">
        <v>624381798</v>
      </c>
      <c r="F13" s="86">
        <v>59190563180</v>
      </c>
      <c r="G13" s="87">
        <v>7018559073</v>
      </c>
      <c r="H13" s="11"/>
      <c r="I13" s="11"/>
      <c r="J13" s="11"/>
      <c r="T13" s="8"/>
      <c r="U13" s="8"/>
      <c r="V13" s="8"/>
      <c r="W13" s="8"/>
    </row>
    <row r="14" spans="2:23" ht="22.5" x14ac:dyDescent="0.3">
      <c r="B14" s="8"/>
      <c r="D14" s="105" t="s">
        <v>73</v>
      </c>
      <c r="E14" s="86">
        <v>659400104</v>
      </c>
      <c r="F14" s="86">
        <v>61657885237</v>
      </c>
      <c r="G14" s="87">
        <v>7664991607</v>
      </c>
      <c r="H14" s="11"/>
      <c r="I14" s="11"/>
      <c r="J14" s="11"/>
      <c r="T14" s="8"/>
      <c r="U14" s="8"/>
      <c r="V14" s="8"/>
      <c r="W14" s="8"/>
    </row>
    <row r="15" spans="2:23" ht="22.5" x14ac:dyDescent="0.3">
      <c r="B15" s="8"/>
      <c r="D15" s="105" t="s">
        <v>74</v>
      </c>
      <c r="E15" s="86">
        <v>691948868</v>
      </c>
      <c r="F15" s="86">
        <v>64042525435</v>
      </c>
      <c r="G15" s="87">
        <v>8094174944</v>
      </c>
      <c r="H15" s="11"/>
      <c r="I15" s="11"/>
      <c r="J15" s="11"/>
      <c r="T15" s="8"/>
      <c r="U15" s="8"/>
      <c r="V15" s="8"/>
      <c r="W15" s="8"/>
    </row>
    <row r="16" spans="2:23" ht="22.5" x14ac:dyDescent="0.3">
      <c r="B16" s="8"/>
      <c r="D16" s="105" t="s">
        <v>75</v>
      </c>
      <c r="E16" s="86">
        <v>733010929</v>
      </c>
      <c r="F16" s="86">
        <v>67468607795</v>
      </c>
      <c r="G16" s="87">
        <v>8013483226</v>
      </c>
      <c r="H16" s="11"/>
      <c r="I16" s="11"/>
      <c r="J16" s="11"/>
      <c r="T16" s="8"/>
      <c r="U16" s="8"/>
      <c r="V16" s="8"/>
      <c r="W16" s="8"/>
    </row>
    <row r="17" spans="1:23" ht="22.5" x14ac:dyDescent="0.3">
      <c r="B17" s="8"/>
      <c r="D17" s="105" t="s">
        <v>76</v>
      </c>
      <c r="E17" s="86">
        <v>762631738</v>
      </c>
      <c r="F17" s="86">
        <v>70369213090</v>
      </c>
      <c r="G17" s="87">
        <v>8250323893</v>
      </c>
      <c r="H17" s="11"/>
      <c r="I17" s="11"/>
      <c r="J17" s="11"/>
      <c r="T17" s="8"/>
      <c r="U17" s="8"/>
      <c r="V17" s="8"/>
      <c r="W17" s="8"/>
    </row>
    <row r="18" spans="1:23" ht="22.5" x14ac:dyDescent="0.3">
      <c r="B18" s="8"/>
      <c r="D18" s="105" t="s">
        <v>4</v>
      </c>
      <c r="E18" s="86">
        <v>803297137</v>
      </c>
      <c r="F18" s="86">
        <v>73093309000</v>
      </c>
      <c r="G18" s="87">
        <v>8303500918</v>
      </c>
      <c r="H18" s="11"/>
      <c r="I18" s="11"/>
      <c r="J18" s="11"/>
      <c r="T18" s="8"/>
      <c r="U18" s="8"/>
      <c r="V18" s="8"/>
      <c r="W18" s="8"/>
    </row>
    <row r="19" spans="1:23" ht="22.5" x14ac:dyDescent="0.3">
      <c r="B19" s="8"/>
      <c r="D19" s="105" t="s">
        <v>5</v>
      </c>
      <c r="E19" s="86">
        <v>852482281</v>
      </c>
      <c r="F19" s="86">
        <v>77363704790</v>
      </c>
      <c r="G19" s="87">
        <v>8376264432</v>
      </c>
      <c r="H19" s="11"/>
      <c r="I19" s="11"/>
      <c r="J19" s="11"/>
      <c r="T19" s="8"/>
      <c r="U19" s="8"/>
      <c r="V19" s="8"/>
      <c r="W19" s="8"/>
    </row>
    <row r="20" spans="1:23" ht="22.5" x14ac:dyDescent="0.3">
      <c r="B20" s="8"/>
      <c r="D20" s="105" t="s">
        <v>6</v>
      </c>
      <c r="E20" s="86">
        <v>897727347</v>
      </c>
      <c r="F20" s="86">
        <v>81139818758</v>
      </c>
      <c r="G20" s="87">
        <v>8621421130</v>
      </c>
      <c r="H20" s="11"/>
      <c r="I20" s="11"/>
      <c r="J20" s="11"/>
      <c r="T20" s="8"/>
      <c r="U20" s="8"/>
      <c r="V20" s="8"/>
      <c r="W20" s="8"/>
    </row>
    <row r="21" spans="1:23" ht="23.25" thickBot="1" x14ac:dyDescent="0.35">
      <c r="B21" s="8"/>
      <c r="D21" s="106" t="s">
        <v>7</v>
      </c>
      <c r="E21" s="89">
        <v>936743859</v>
      </c>
      <c r="F21" s="89">
        <v>83740259688</v>
      </c>
      <c r="G21" s="90">
        <v>8880735344</v>
      </c>
      <c r="H21" s="11"/>
      <c r="I21" s="11"/>
      <c r="J21" s="11"/>
      <c r="T21" s="8"/>
      <c r="U21" s="8"/>
      <c r="V21" s="8"/>
      <c r="W21" s="8"/>
    </row>
    <row r="22" spans="1:23" ht="22.5" x14ac:dyDescent="0.3">
      <c r="B22" s="8"/>
      <c r="D22" s="11"/>
      <c r="E22" s="11"/>
      <c r="F22" s="11"/>
      <c r="G22" s="11"/>
      <c r="H22" s="11"/>
      <c r="I22" s="11"/>
      <c r="J22" s="11"/>
      <c r="T22" s="8"/>
      <c r="U22" s="8"/>
      <c r="V22" s="8"/>
      <c r="W22" s="8"/>
    </row>
    <row r="23" spans="1:23" ht="22.5" x14ac:dyDescent="0.3">
      <c r="B23" s="8"/>
      <c r="D23" s="11"/>
      <c r="E23" s="11"/>
      <c r="F23" s="11"/>
      <c r="G23" s="11"/>
      <c r="H23" s="11"/>
      <c r="I23" s="11"/>
      <c r="J23" s="11"/>
      <c r="T23" s="8"/>
      <c r="U23" s="8"/>
      <c r="V23" s="8"/>
      <c r="W23" s="8"/>
    </row>
    <row r="24" spans="1:23" ht="22.5" x14ac:dyDescent="0.3">
      <c r="B24" s="8"/>
      <c r="D24" s="11"/>
      <c r="E24" s="11"/>
      <c r="F24" s="11"/>
      <c r="G24" s="11"/>
      <c r="H24" s="11"/>
      <c r="I24" s="11"/>
      <c r="J24" s="11"/>
      <c r="T24" s="8"/>
      <c r="U24" s="8"/>
      <c r="V24" s="8"/>
      <c r="W24" s="8"/>
    </row>
    <row r="25" spans="1:23" ht="23.25" thickBot="1" x14ac:dyDescent="0.3">
      <c r="B25" s="8"/>
      <c r="D25" s="675" t="s">
        <v>8</v>
      </c>
      <c r="E25" s="674"/>
      <c r="F25" s="674"/>
      <c r="G25" s="674"/>
      <c r="H25" s="674"/>
      <c r="I25" s="674"/>
      <c r="J25" s="674"/>
      <c r="T25" s="8"/>
      <c r="U25" s="8"/>
      <c r="V25" s="8"/>
      <c r="W25" s="8"/>
    </row>
    <row r="26" spans="1:23" ht="22.5" x14ac:dyDescent="0.25">
      <c r="A26" s="5" t="s">
        <v>267</v>
      </c>
      <c r="B26" s="52"/>
      <c r="C26" s="6"/>
      <c r="D26" s="14" t="s">
        <v>1</v>
      </c>
      <c r="E26" s="15" t="s">
        <v>9</v>
      </c>
      <c r="F26" s="15" t="s">
        <v>10</v>
      </c>
      <c r="G26" s="15" t="s">
        <v>11</v>
      </c>
      <c r="H26" s="15" t="s">
        <v>12</v>
      </c>
      <c r="I26" s="15" t="s">
        <v>13</v>
      </c>
      <c r="J26" s="16" t="s">
        <v>14</v>
      </c>
      <c r="T26" s="8"/>
      <c r="U26" s="8"/>
      <c r="V26" s="8"/>
      <c r="W26" s="8"/>
    </row>
    <row r="27" spans="1:23" ht="22.5" x14ac:dyDescent="0.25">
      <c r="A27" s="5" t="s">
        <v>268</v>
      </c>
      <c r="B27" s="52"/>
      <c r="C27" s="5"/>
      <c r="D27" s="91" t="s">
        <v>77</v>
      </c>
      <c r="E27" s="25">
        <v>1.0048999999999999</v>
      </c>
      <c r="F27" s="25">
        <v>0.99509999999999998</v>
      </c>
      <c r="G27" s="25">
        <v>1</v>
      </c>
      <c r="H27" s="25">
        <v>1.1020000000000001</v>
      </c>
      <c r="I27" s="25">
        <v>1.0911</v>
      </c>
      <c r="J27" s="92">
        <v>1.0965</v>
      </c>
      <c r="T27" s="8"/>
      <c r="U27" s="8"/>
      <c r="V27" s="8"/>
      <c r="W27" s="8"/>
    </row>
    <row r="28" spans="1:23" ht="22.5" x14ac:dyDescent="0.25">
      <c r="B28" s="8"/>
      <c r="C28" s="5"/>
      <c r="D28" s="85" t="s">
        <v>78</v>
      </c>
      <c r="E28" s="25">
        <v>0.98980000000000001</v>
      </c>
      <c r="F28" s="25">
        <v>0.98950000000000005</v>
      </c>
      <c r="G28" s="25">
        <v>0.98960000000000004</v>
      </c>
      <c r="H28" s="25">
        <v>1.0863</v>
      </c>
      <c r="I28" s="25">
        <v>1.0860000000000001</v>
      </c>
      <c r="J28" s="92">
        <v>1.0862000000000001</v>
      </c>
      <c r="T28" s="8"/>
      <c r="U28" s="8"/>
      <c r="V28" s="8"/>
      <c r="W28" s="8"/>
    </row>
    <row r="29" spans="1:23" ht="22.5" x14ac:dyDescent="0.25">
      <c r="A29" t="s">
        <v>269</v>
      </c>
      <c r="C29" s="5"/>
      <c r="D29" s="85" t="s">
        <v>79</v>
      </c>
      <c r="E29" s="25">
        <v>1.0467</v>
      </c>
      <c r="F29" s="25">
        <v>1.0357000000000001</v>
      </c>
      <c r="G29" s="25">
        <v>1.0411999999999999</v>
      </c>
      <c r="H29" s="25">
        <v>1.0934999999999999</v>
      </c>
      <c r="I29" s="25">
        <v>1.0819000000000001</v>
      </c>
      <c r="J29" s="92">
        <v>1.0876999999999999</v>
      </c>
    </row>
    <row r="30" spans="1:23" ht="22.5" x14ac:dyDescent="0.25">
      <c r="A30" t="s">
        <v>270</v>
      </c>
      <c r="C30" s="5"/>
      <c r="D30" s="85" t="s">
        <v>80</v>
      </c>
      <c r="E30" s="25">
        <v>0.94010000000000005</v>
      </c>
      <c r="F30" s="25">
        <v>0.89659999999999995</v>
      </c>
      <c r="G30" s="25">
        <v>0.91839999999999999</v>
      </c>
      <c r="H30" s="25">
        <v>1.1596</v>
      </c>
      <c r="I30" s="25">
        <v>1.1061000000000001</v>
      </c>
      <c r="J30" s="92">
        <v>1.1328</v>
      </c>
    </row>
    <row r="31" spans="1:23" ht="22.5" x14ac:dyDescent="0.25">
      <c r="A31" t="s">
        <v>271</v>
      </c>
      <c r="C31" s="5"/>
      <c r="D31" s="85" t="s">
        <v>81</v>
      </c>
      <c r="E31" s="25">
        <v>0.9849</v>
      </c>
      <c r="F31" s="25">
        <v>0.98429999999999995</v>
      </c>
      <c r="G31" s="25">
        <v>0.98460000000000003</v>
      </c>
      <c r="H31" s="25">
        <v>1.1292</v>
      </c>
      <c r="I31" s="25">
        <v>1.1285000000000001</v>
      </c>
      <c r="J31" s="92">
        <v>1.1289</v>
      </c>
    </row>
    <row r="32" spans="1:23" ht="22.5" x14ac:dyDescent="0.25">
      <c r="C32" s="5"/>
      <c r="D32" s="85" t="s">
        <v>82</v>
      </c>
      <c r="E32" s="25">
        <v>0.99680000000000002</v>
      </c>
      <c r="F32" s="25">
        <v>0.99399999999999999</v>
      </c>
      <c r="G32" s="25">
        <v>0.99539999999999995</v>
      </c>
      <c r="H32" s="25">
        <v>1.1242000000000001</v>
      </c>
      <c r="I32" s="25">
        <v>1.121</v>
      </c>
      <c r="J32" s="92">
        <v>1.1226</v>
      </c>
    </row>
    <row r="33" spans="1:10" ht="22.5" x14ac:dyDescent="0.25">
      <c r="C33" s="5"/>
      <c r="D33" s="85" t="s">
        <v>83</v>
      </c>
      <c r="E33" s="25">
        <v>0.9849</v>
      </c>
      <c r="F33" s="25">
        <v>0.98380000000000001</v>
      </c>
      <c r="G33" s="25">
        <v>0.98429999999999995</v>
      </c>
      <c r="H33" s="25">
        <v>1.1101000000000001</v>
      </c>
      <c r="I33" s="25">
        <v>1.1088</v>
      </c>
      <c r="J33" s="92">
        <v>1.1094999999999999</v>
      </c>
    </row>
    <row r="34" spans="1:10" ht="22.5" x14ac:dyDescent="0.25">
      <c r="A34" s="5"/>
      <c r="B34" s="5"/>
      <c r="C34" s="5"/>
      <c r="D34" s="85" t="s">
        <v>84</v>
      </c>
      <c r="E34" s="25">
        <v>0.96330000000000005</v>
      </c>
      <c r="F34" s="25">
        <v>0.95889999999999997</v>
      </c>
      <c r="G34" s="25">
        <v>0.96109999999999995</v>
      </c>
      <c r="H34" s="25">
        <v>1.1012</v>
      </c>
      <c r="I34" s="25">
        <v>1.0962000000000001</v>
      </c>
      <c r="J34" s="92">
        <v>1.0987</v>
      </c>
    </row>
    <row r="35" spans="1:10" ht="22.5" x14ac:dyDescent="0.25">
      <c r="C35" s="5"/>
      <c r="D35" s="85" t="s">
        <v>85</v>
      </c>
      <c r="E35" s="25">
        <v>0.90429999999999999</v>
      </c>
      <c r="F35" s="25">
        <v>0.90139999999999998</v>
      </c>
      <c r="G35" s="25">
        <v>0.90280000000000005</v>
      </c>
      <c r="H35" s="25">
        <v>1.0984</v>
      </c>
      <c r="I35" s="25">
        <v>1.0948</v>
      </c>
      <c r="J35" s="92">
        <v>1.0966</v>
      </c>
    </row>
    <row r="36" spans="1:10" ht="22.5" x14ac:dyDescent="0.25">
      <c r="C36" s="5"/>
      <c r="D36" s="85" t="s">
        <v>86</v>
      </c>
      <c r="E36" s="25">
        <v>0.97389999999999999</v>
      </c>
      <c r="F36" s="25">
        <v>0.96589999999999998</v>
      </c>
      <c r="G36" s="25">
        <v>0.96989999999999998</v>
      </c>
      <c r="H36" s="25">
        <v>1.0659000000000001</v>
      </c>
      <c r="I36" s="25">
        <v>1.0571999999999999</v>
      </c>
      <c r="J36" s="92">
        <v>1.0615000000000001</v>
      </c>
    </row>
    <row r="37" spans="1:10" ht="22.5" x14ac:dyDescent="0.25">
      <c r="D37" s="85" t="s">
        <v>87</v>
      </c>
      <c r="E37" s="25">
        <v>0.96750000000000003</v>
      </c>
      <c r="F37" s="25">
        <v>0.93759999999999999</v>
      </c>
      <c r="G37" s="25">
        <v>0.95250000000000001</v>
      </c>
      <c r="H37" s="25">
        <v>1.0734999999999999</v>
      </c>
      <c r="I37" s="25">
        <v>1.0402</v>
      </c>
      <c r="J37" s="92">
        <v>1.0568</v>
      </c>
    </row>
    <row r="38" spans="1:10" ht="22.5" x14ac:dyDescent="0.25">
      <c r="D38" s="85" t="s">
        <v>15</v>
      </c>
      <c r="E38" s="25">
        <v>0.9526</v>
      </c>
      <c r="F38" s="25">
        <v>0.94850000000000001</v>
      </c>
      <c r="G38" s="25">
        <v>0.9506</v>
      </c>
      <c r="H38" s="25">
        <v>1.0636000000000001</v>
      </c>
      <c r="I38" s="25">
        <v>1.0589</v>
      </c>
      <c r="J38" s="92">
        <v>1.0611999999999999</v>
      </c>
    </row>
    <row r="39" spans="1:10" ht="22.5" x14ac:dyDescent="0.25">
      <c r="D39" s="85" t="s">
        <v>16</v>
      </c>
      <c r="E39" s="25">
        <v>0.96460000000000001</v>
      </c>
      <c r="F39" s="25">
        <v>0.96260000000000001</v>
      </c>
      <c r="G39" s="25">
        <v>0.96360000000000001</v>
      </c>
      <c r="H39" s="25">
        <v>1.0692999999999999</v>
      </c>
      <c r="I39" s="25">
        <v>1.0670999999999999</v>
      </c>
      <c r="J39" s="92">
        <v>1.0682</v>
      </c>
    </row>
    <row r="40" spans="1:10" ht="23.25" thickBot="1" x14ac:dyDescent="0.3">
      <c r="D40" s="93" t="s">
        <v>17</v>
      </c>
      <c r="E40" s="30">
        <v>0.98719999999999997</v>
      </c>
      <c r="F40" s="30">
        <v>0.98329999999999995</v>
      </c>
      <c r="G40" s="30">
        <v>0.98519999999999996</v>
      </c>
      <c r="H40" s="30">
        <v>1.0476000000000001</v>
      </c>
      <c r="I40" s="30">
        <v>1.0435000000000001</v>
      </c>
      <c r="J40" s="94">
        <v>1.0455000000000001</v>
      </c>
    </row>
    <row r="41" spans="1:10" ht="22.5" x14ac:dyDescent="0.3">
      <c r="D41" s="11"/>
      <c r="E41" s="11"/>
      <c r="F41" s="11"/>
      <c r="G41" s="11"/>
      <c r="H41" s="11"/>
      <c r="I41" s="11"/>
      <c r="J41" s="11"/>
    </row>
    <row r="42" spans="1:10" ht="22.5" x14ac:dyDescent="0.3">
      <c r="D42" s="11"/>
      <c r="E42" s="11"/>
      <c r="F42" s="11"/>
      <c r="G42" s="11"/>
      <c r="H42" s="11"/>
      <c r="I42" s="11"/>
      <c r="J42" s="11"/>
    </row>
    <row r="43" spans="1:10" ht="22.5" x14ac:dyDescent="0.3">
      <c r="D43" s="11"/>
      <c r="E43" s="11"/>
      <c r="F43" s="11"/>
      <c r="G43" s="11"/>
      <c r="H43" s="11"/>
      <c r="I43" s="11"/>
      <c r="J43" s="11"/>
    </row>
    <row r="44" spans="1:10" ht="22.5" x14ac:dyDescent="0.3">
      <c r="D44" s="95"/>
      <c r="E44" s="11"/>
      <c r="F44" s="11"/>
      <c r="G44" s="11"/>
      <c r="H44" s="11"/>
      <c r="I44" s="11"/>
      <c r="J44" s="11"/>
    </row>
    <row r="45" spans="1:10" ht="23.25" thickBot="1" x14ac:dyDescent="0.3">
      <c r="D45" s="676" t="s">
        <v>18</v>
      </c>
      <c r="E45" s="676"/>
      <c r="F45" s="676"/>
      <c r="G45" s="676"/>
      <c r="H45" s="676"/>
      <c r="I45" s="676"/>
      <c r="J45" s="676"/>
    </row>
    <row r="46" spans="1:10" ht="22.5" x14ac:dyDescent="0.25">
      <c r="D46" s="96" t="s">
        <v>1</v>
      </c>
      <c r="E46" s="97" t="s">
        <v>26</v>
      </c>
      <c r="F46" s="97" t="s">
        <v>27</v>
      </c>
      <c r="G46" s="97" t="s">
        <v>28</v>
      </c>
      <c r="H46" s="97" t="s">
        <v>29</v>
      </c>
      <c r="I46" s="97" t="s">
        <v>30</v>
      </c>
      <c r="J46" s="98" t="s">
        <v>31</v>
      </c>
    </row>
    <row r="47" spans="1:10" ht="22.5" x14ac:dyDescent="0.25">
      <c r="D47" s="99" t="s">
        <v>77</v>
      </c>
      <c r="E47" s="100">
        <v>4.9500000000000004E-3</v>
      </c>
      <c r="F47" s="100">
        <v>-4.9500000000000004E-3</v>
      </c>
      <c r="G47" s="100">
        <v>0</v>
      </c>
      <c r="H47" s="100">
        <v>0.10199999999999999</v>
      </c>
      <c r="I47" s="100">
        <v>9.1120000000000007E-2</v>
      </c>
      <c r="J47" s="101">
        <v>9.6540000000000001E-2</v>
      </c>
    </row>
    <row r="48" spans="1:10" ht="22.5" x14ac:dyDescent="0.25">
      <c r="D48" s="99" t="s">
        <v>78</v>
      </c>
      <c r="E48" s="100">
        <v>-1.022E-2</v>
      </c>
      <c r="F48" s="100">
        <v>-1.048E-2</v>
      </c>
      <c r="G48" s="100">
        <v>-1.035E-2</v>
      </c>
      <c r="H48" s="100">
        <v>8.6330000000000004E-2</v>
      </c>
      <c r="I48" s="100">
        <v>8.6050000000000001E-2</v>
      </c>
      <c r="J48" s="101">
        <v>8.6190000000000003E-2</v>
      </c>
    </row>
    <row r="49" spans="4:10" ht="22.5" x14ac:dyDescent="0.25">
      <c r="D49" s="99" t="s">
        <v>79</v>
      </c>
      <c r="E49" s="100">
        <v>4.6730000000000001E-2</v>
      </c>
      <c r="F49" s="100">
        <v>3.5659999999999997E-2</v>
      </c>
      <c r="G49" s="100">
        <v>4.1200000000000001E-2</v>
      </c>
      <c r="H49" s="100">
        <v>9.3460000000000001E-2</v>
      </c>
      <c r="I49" s="100">
        <v>8.1900000000000001E-2</v>
      </c>
      <c r="J49" s="101">
        <v>8.7679999999999994E-2</v>
      </c>
    </row>
    <row r="50" spans="4:10" ht="22.5" x14ac:dyDescent="0.25">
      <c r="D50" s="99" t="s">
        <v>80</v>
      </c>
      <c r="E50" s="100">
        <v>-5.994E-2</v>
      </c>
      <c r="F50" s="100">
        <v>-0.10340000000000001</v>
      </c>
      <c r="G50" s="100">
        <v>-8.1640000000000004E-2</v>
      </c>
      <c r="H50" s="100">
        <v>0.15959999999999999</v>
      </c>
      <c r="I50" s="100">
        <v>0.1061</v>
      </c>
      <c r="J50" s="101">
        <v>0.1328</v>
      </c>
    </row>
    <row r="51" spans="4:10" ht="22.5" x14ac:dyDescent="0.25">
      <c r="D51" s="99" t="s">
        <v>81</v>
      </c>
      <c r="E51" s="100">
        <v>-1.5129999999999999E-2</v>
      </c>
      <c r="F51" s="100">
        <v>-1.5740000000000001E-2</v>
      </c>
      <c r="G51" s="100">
        <v>-1.5429999999999999E-2</v>
      </c>
      <c r="H51" s="100">
        <v>0.12920000000000001</v>
      </c>
      <c r="I51" s="100">
        <v>0.1285</v>
      </c>
      <c r="J51" s="101">
        <v>0.12889999999999999</v>
      </c>
    </row>
    <row r="52" spans="4:10" ht="22.5" x14ac:dyDescent="0.25">
      <c r="D52" s="99" t="s">
        <v>82</v>
      </c>
      <c r="E52" s="100">
        <v>-3.2299999999999998E-3</v>
      </c>
      <c r="F52" s="100">
        <v>-6.0099999999999997E-3</v>
      </c>
      <c r="G52" s="100">
        <v>-4.62E-3</v>
      </c>
      <c r="H52" s="100">
        <v>0.1242</v>
      </c>
      <c r="I52" s="100">
        <v>0.121</v>
      </c>
      <c r="J52" s="101">
        <v>0.1226</v>
      </c>
    </row>
    <row r="53" spans="4:10" ht="22.5" x14ac:dyDescent="0.25">
      <c r="D53" s="99" t="s">
        <v>83</v>
      </c>
      <c r="E53" s="100">
        <v>-1.507E-2</v>
      </c>
      <c r="F53" s="100">
        <v>-1.6240000000000001E-2</v>
      </c>
      <c r="G53" s="100">
        <v>-1.566E-2</v>
      </c>
      <c r="H53" s="100">
        <v>0.1101</v>
      </c>
      <c r="I53" s="100">
        <v>0.10879999999999999</v>
      </c>
      <c r="J53" s="101">
        <v>0.1095</v>
      </c>
    </row>
    <row r="54" spans="4:10" ht="22.5" x14ac:dyDescent="0.25">
      <c r="D54" s="99" t="s">
        <v>84</v>
      </c>
      <c r="E54" s="100">
        <v>-3.6679999999999997E-2</v>
      </c>
      <c r="F54" s="100">
        <v>-4.1070000000000002E-2</v>
      </c>
      <c r="G54" s="100">
        <v>-3.8879999999999998E-2</v>
      </c>
      <c r="H54" s="100">
        <v>0.1012</v>
      </c>
      <c r="I54" s="100">
        <v>9.6199999999999994E-2</v>
      </c>
      <c r="J54" s="101">
        <v>9.8710000000000006E-2</v>
      </c>
    </row>
    <row r="55" spans="4:10" ht="22.5" x14ac:dyDescent="0.25">
      <c r="D55" s="99" t="s">
        <v>85</v>
      </c>
      <c r="E55" s="100">
        <v>-9.5729999999999996E-2</v>
      </c>
      <c r="F55" s="100">
        <v>-9.8650000000000002E-2</v>
      </c>
      <c r="G55" s="100">
        <v>-9.7189999999999999E-2</v>
      </c>
      <c r="H55" s="100">
        <v>9.8390000000000005E-2</v>
      </c>
      <c r="I55" s="100">
        <v>9.4839999999999994E-2</v>
      </c>
      <c r="J55" s="101">
        <v>9.6610000000000001E-2</v>
      </c>
    </row>
    <row r="56" spans="4:10" ht="22.5" x14ac:dyDescent="0.25">
      <c r="D56" s="99" t="s">
        <v>86</v>
      </c>
      <c r="E56" s="100">
        <v>-2.614E-2</v>
      </c>
      <c r="F56" s="100">
        <v>-3.4110000000000001E-2</v>
      </c>
      <c r="G56" s="100">
        <v>-3.0120000000000001E-2</v>
      </c>
      <c r="H56" s="100">
        <v>6.5909999999999996E-2</v>
      </c>
      <c r="I56" s="100">
        <v>5.7189999999999998E-2</v>
      </c>
      <c r="J56" s="101">
        <v>6.1550000000000001E-2</v>
      </c>
    </row>
    <row r="57" spans="4:10" ht="22.5" x14ac:dyDescent="0.25">
      <c r="D57" s="99" t="s">
        <v>87</v>
      </c>
      <c r="E57" s="100">
        <v>-3.2480000000000002E-2</v>
      </c>
      <c r="F57" s="100">
        <v>-6.2420000000000003E-2</v>
      </c>
      <c r="G57" s="100">
        <v>-4.7449999999999999E-2</v>
      </c>
      <c r="H57" s="100">
        <v>7.3459999999999998E-2</v>
      </c>
      <c r="I57" s="100">
        <v>4.0230000000000002E-2</v>
      </c>
      <c r="J57" s="101">
        <v>5.6840000000000002E-2</v>
      </c>
    </row>
    <row r="58" spans="4:10" ht="22.5" x14ac:dyDescent="0.25">
      <c r="D58" s="99" t="s">
        <v>15</v>
      </c>
      <c r="E58" s="100">
        <v>-4.7379999999999999E-2</v>
      </c>
      <c r="F58" s="100">
        <v>-5.151E-2</v>
      </c>
      <c r="G58" s="100">
        <v>-4.9450000000000001E-2</v>
      </c>
      <c r="H58" s="100">
        <v>6.3549999999999995E-2</v>
      </c>
      <c r="I58" s="100">
        <v>5.8939999999999999E-2</v>
      </c>
      <c r="J58" s="101">
        <v>6.1240000000000003E-2</v>
      </c>
    </row>
    <row r="59" spans="4:10" ht="22.5" x14ac:dyDescent="0.25">
      <c r="D59" s="99" t="s">
        <v>16</v>
      </c>
      <c r="E59" s="100">
        <v>-3.542E-2</v>
      </c>
      <c r="F59" s="100">
        <v>-3.7420000000000002E-2</v>
      </c>
      <c r="G59" s="100">
        <v>-3.6420000000000001E-2</v>
      </c>
      <c r="H59" s="100">
        <v>6.9279999999999994E-2</v>
      </c>
      <c r="I59" s="100">
        <v>6.7070000000000005E-2</v>
      </c>
      <c r="J59" s="101">
        <v>6.8180000000000004E-2</v>
      </c>
    </row>
    <row r="60" spans="4:10" ht="23.25" thickBot="1" x14ac:dyDescent="0.3">
      <c r="D60" s="102" t="s">
        <v>17</v>
      </c>
      <c r="E60" s="103">
        <v>-1.285E-2</v>
      </c>
      <c r="F60" s="103">
        <v>-1.6729999999999998E-2</v>
      </c>
      <c r="G60" s="103">
        <v>-1.4789999999999999E-2</v>
      </c>
      <c r="H60" s="103">
        <v>4.761E-2</v>
      </c>
      <c r="I60" s="103">
        <v>4.3479999999999998E-2</v>
      </c>
      <c r="J60" s="104">
        <v>4.555E-2</v>
      </c>
    </row>
    <row r="61" spans="4:10" ht="22.5" x14ac:dyDescent="0.3">
      <c r="D61" s="11"/>
      <c r="E61" s="11"/>
      <c r="F61" s="11"/>
      <c r="G61" s="11"/>
      <c r="H61" s="11"/>
      <c r="I61" s="11"/>
      <c r="J61" s="11"/>
    </row>
    <row r="62" spans="4:10" ht="22.5" x14ac:dyDescent="0.3">
      <c r="D62" s="11"/>
      <c r="E62" s="11"/>
      <c r="F62" s="11"/>
      <c r="G62" s="11"/>
      <c r="H62" s="11"/>
      <c r="I62" s="11"/>
      <c r="J62" s="11"/>
    </row>
    <row r="63" spans="4:10" ht="22.5" x14ac:dyDescent="0.3">
      <c r="D63" s="11"/>
      <c r="E63" s="11"/>
      <c r="F63" s="11"/>
      <c r="G63" s="11"/>
      <c r="H63" s="11"/>
      <c r="I63" s="11"/>
      <c r="J63" s="11"/>
    </row>
    <row r="64" spans="4:10" ht="22.5" x14ac:dyDescent="0.3">
      <c r="D64" s="95"/>
      <c r="E64" s="11"/>
      <c r="F64" s="11"/>
      <c r="G64" s="11"/>
      <c r="H64" s="11"/>
      <c r="I64" s="11"/>
      <c r="J64" s="11"/>
    </row>
    <row r="65" spans="4:10" ht="23.25" customHeight="1" thickBot="1" x14ac:dyDescent="0.3">
      <c r="D65" s="674" t="s">
        <v>25</v>
      </c>
      <c r="E65" s="677"/>
      <c r="F65" s="677"/>
      <c r="G65" s="677"/>
      <c r="H65" s="677"/>
      <c r="I65" s="677"/>
      <c r="J65" s="677"/>
    </row>
    <row r="66" spans="4:10" ht="22.5" x14ac:dyDescent="0.25">
      <c r="D66" s="14" t="s">
        <v>1</v>
      </c>
      <c r="E66" s="15" t="s">
        <v>26</v>
      </c>
      <c r="F66" s="15" t="s">
        <v>27</v>
      </c>
      <c r="G66" s="15" t="s">
        <v>28</v>
      </c>
      <c r="H66" s="15" t="s">
        <v>29</v>
      </c>
      <c r="I66" s="15" t="s">
        <v>30</v>
      </c>
      <c r="J66" s="16" t="s">
        <v>31</v>
      </c>
    </row>
    <row r="67" spans="4:10" ht="22.5" x14ac:dyDescent="0.25">
      <c r="D67" s="105" t="s">
        <v>67</v>
      </c>
      <c r="E67" s="25">
        <v>1.4262999999999999</v>
      </c>
      <c r="F67" s="25">
        <v>1.6092</v>
      </c>
      <c r="G67" s="25">
        <v>1.5143</v>
      </c>
      <c r="H67" s="25">
        <v>0.31240000000000001</v>
      </c>
      <c r="I67" s="25">
        <v>0.35249999999999998</v>
      </c>
      <c r="J67" s="92">
        <v>0.33169999999999999</v>
      </c>
    </row>
    <row r="68" spans="4:10" ht="22.5" x14ac:dyDescent="0.25">
      <c r="D68" s="105" t="s">
        <v>68</v>
      </c>
      <c r="E68" s="25">
        <v>1.4117999999999999</v>
      </c>
      <c r="F68" s="25">
        <v>1.5923</v>
      </c>
      <c r="G68" s="25">
        <v>1.4986999999999999</v>
      </c>
      <c r="H68" s="25">
        <v>0.33939999999999998</v>
      </c>
      <c r="I68" s="25">
        <v>0.38279999999999997</v>
      </c>
      <c r="J68" s="92">
        <v>0.36030000000000001</v>
      </c>
    </row>
    <row r="69" spans="4:10" ht="22.5" x14ac:dyDescent="0.25">
      <c r="D69" s="105" t="s">
        <v>69</v>
      </c>
      <c r="E69" s="25">
        <v>1.4777</v>
      </c>
      <c r="F69" s="25">
        <v>1.6491</v>
      </c>
      <c r="G69" s="25">
        <v>1.5604</v>
      </c>
      <c r="H69" s="25">
        <v>0.37109999999999999</v>
      </c>
      <c r="I69" s="25">
        <v>0.41420000000000001</v>
      </c>
      <c r="J69" s="92">
        <v>0.39190000000000003</v>
      </c>
    </row>
    <row r="70" spans="4:10" ht="22.5" x14ac:dyDescent="0.25">
      <c r="D70" s="105" t="s">
        <v>70</v>
      </c>
      <c r="E70" s="25">
        <v>1.3892</v>
      </c>
      <c r="F70" s="25">
        <v>1.4786999999999999</v>
      </c>
      <c r="G70" s="25">
        <v>1.4330000000000001</v>
      </c>
      <c r="H70" s="25">
        <v>0.4304</v>
      </c>
      <c r="I70" s="25">
        <v>0.45810000000000001</v>
      </c>
      <c r="J70" s="92">
        <v>0.44390000000000002</v>
      </c>
    </row>
    <row r="71" spans="4:10" ht="22.5" x14ac:dyDescent="0.25">
      <c r="D71" s="105" t="s">
        <v>71</v>
      </c>
      <c r="E71" s="25">
        <v>1.3681000000000001</v>
      </c>
      <c r="F71" s="25">
        <v>1.4554</v>
      </c>
      <c r="G71" s="25">
        <v>1.4109</v>
      </c>
      <c r="H71" s="25">
        <v>0.48599999999999999</v>
      </c>
      <c r="I71" s="25">
        <v>0.51700000000000002</v>
      </c>
      <c r="J71" s="92">
        <v>0.50119999999999998</v>
      </c>
    </row>
    <row r="72" spans="4:10" ht="22.5" x14ac:dyDescent="0.25">
      <c r="D72" s="105" t="s">
        <v>72</v>
      </c>
      <c r="E72" s="25">
        <v>1.3636999999999999</v>
      </c>
      <c r="F72" s="25">
        <v>1.4466000000000001</v>
      </c>
      <c r="G72" s="25">
        <v>1.4044000000000001</v>
      </c>
      <c r="H72" s="25">
        <v>0.54630000000000001</v>
      </c>
      <c r="I72" s="25">
        <v>0.57950000000000002</v>
      </c>
      <c r="J72" s="92">
        <v>0.56259999999999999</v>
      </c>
    </row>
    <row r="73" spans="4:10" ht="22.5" x14ac:dyDescent="0.25">
      <c r="D73" s="105" t="s">
        <v>73</v>
      </c>
      <c r="E73" s="25">
        <v>1.3431999999999999</v>
      </c>
      <c r="F73" s="25">
        <v>1.4231</v>
      </c>
      <c r="G73" s="25">
        <v>1.3824000000000001</v>
      </c>
      <c r="H73" s="25">
        <v>0.60650000000000004</v>
      </c>
      <c r="I73" s="25">
        <v>0.64259999999999995</v>
      </c>
      <c r="J73" s="92">
        <v>0.62419999999999998</v>
      </c>
    </row>
    <row r="74" spans="4:10" ht="22.5" x14ac:dyDescent="0.25">
      <c r="D74" s="105" t="s">
        <v>74</v>
      </c>
      <c r="E74" s="25">
        <v>1.2939000000000001</v>
      </c>
      <c r="F74" s="25">
        <v>1.3647</v>
      </c>
      <c r="G74" s="25">
        <v>1.3286</v>
      </c>
      <c r="H74" s="25">
        <v>0.66790000000000005</v>
      </c>
      <c r="I74" s="25">
        <v>0.70440000000000003</v>
      </c>
      <c r="J74" s="92">
        <v>0.68579999999999997</v>
      </c>
    </row>
    <row r="75" spans="4:10" ht="22.5" x14ac:dyDescent="0.25">
      <c r="D75" s="105" t="s">
        <v>75</v>
      </c>
      <c r="E75" s="25">
        <v>1.17</v>
      </c>
      <c r="F75" s="25">
        <v>1.2301</v>
      </c>
      <c r="G75" s="25">
        <v>1.1995</v>
      </c>
      <c r="H75" s="25">
        <v>0.73360000000000003</v>
      </c>
      <c r="I75" s="25">
        <v>0.7712</v>
      </c>
      <c r="J75" s="92">
        <v>0.75209999999999999</v>
      </c>
    </row>
    <row r="76" spans="4:10" ht="22.5" x14ac:dyDescent="0.25">
      <c r="D76" s="105" t="s">
        <v>76</v>
      </c>
      <c r="E76" s="25">
        <v>1.1395</v>
      </c>
      <c r="F76" s="25">
        <v>1.1880999999999999</v>
      </c>
      <c r="G76" s="25">
        <v>1.1634</v>
      </c>
      <c r="H76" s="25">
        <v>0.78190000000000004</v>
      </c>
      <c r="I76" s="25">
        <v>0.81530000000000002</v>
      </c>
      <c r="J76" s="92">
        <v>0.79830000000000001</v>
      </c>
    </row>
    <row r="77" spans="4:10" ht="22.5" x14ac:dyDescent="0.25">
      <c r="D77" s="105" t="s">
        <v>4</v>
      </c>
      <c r="E77" s="25">
        <v>1.1025</v>
      </c>
      <c r="F77" s="25">
        <v>1.1138999999999999</v>
      </c>
      <c r="G77" s="25">
        <v>1.1082000000000001</v>
      </c>
      <c r="H77" s="25">
        <v>0.83940000000000003</v>
      </c>
      <c r="I77" s="25">
        <v>0.84809999999999997</v>
      </c>
      <c r="J77" s="92">
        <v>0.84370000000000001</v>
      </c>
    </row>
    <row r="78" spans="4:10" ht="22.5" x14ac:dyDescent="0.25">
      <c r="D78" s="105" t="s">
        <v>5</v>
      </c>
      <c r="E78" s="25">
        <v>1.0502</v>
      </c>
      <c r="F78" s="25">
        <v>1.0566</v>
      </c>
      <c r="G78" s="25">
        <v>1.0533999999999999</v>
      </c>
      <c r="H78" s="25">
        <v>0.89270000000000005</v>
      </c>
      <c r="I78" s="25">
        <v>0.89810000000000001</v>
      </c>
      <c r="J78" s="92">
        <v>0.89539999999999997</v>
      </c>
    </row>
    <row r="79" spans="4:10" ht="22.5" x14ac:dyDescent="0.25">
      <c r="D79" s="105" t="s">
        <v>6</v>
      </c>
      <c r="E79" s="25">
        <v>1.0129999999999999</v>
      </c>
      <c r="F79" s="25">
        <v>1.0169999999999999</v>
      </c>
      <c r="G79" s="25">
        <v>1.0149999999999999</v>
      </c>
      <c r="H79" s="25">
        <v>0.9546</v>
      </c>
      <c r="I79" s="25">
        <v>0.95830000000000004</v>
      </c>
      <c r="J79" s="92">
        <v>0.95640000000000003</v>
      </c>
    </row>
    <row r="80" spans="4:10" ht="23.25" thickBot="1" x14ac:dyDescent="0.3">
      <c r="D80" s="106" t="s">
        <v>7</v>
      </c>
      <c r="E80" s="30">
        <v>1</v>
      </c>
      <c r="F80" s="30">
        <v>1</v>
      </c>
      <c r="G80" s="30">
        <v>1</v>
      </c>
      <c r="H80" s="30">
        <v>1</v>
      </c>
      <c r="I80" s="30">
        <v>1</v>
      </c>
      <c r="J80" s="94">
        <v>1</v>
      </c>
    </row>
  </sheetData>
  <customSheetViews>
    <customSheetView guid="{9EA95E61-FCA5-4867-AEB4-B8C24058ACDD}" scale="60" showGridLines="0" showRowCol="0" state="hidden" topLeftCell="A31">
      <selection activeCell="E67" sqref="E67"/>
      <pageMargins left="0.7" right="0.7" top="0.75" bottom="0.75" header="0.3" footer="0.3"/>
      <pageSetup paperSize="9" orientation="portrait" r:id="rId1"/>
    </customSheetView>
  </customSheetViews>
  <mergeCells count="4">
    <mergeCell ref="D6:G6"/>
    <mergeCell ref="D25:J25"/>
    <mergeCell ref="D45:J45"/>
    <mergeCell ref="D65:J65"/>
  </mergeCell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C6:L25"/>
  <sheetViews>
    <sheetView workbookViewId="0">
      <selection activeCell="D10" sqref="D10"/>
    </sheetView>
  </sheetViews>
  <sheetFormatPr defaultRowHeight="15" x14ac:dyDescent="0.25"/>
  <sheetData>
    <row r="6" spans="3:12" ht="15.75" x14ac:dyDescent="0.25">
      <c r="C6" s="190"/>
      <c r="D6" s="191" t="s">
        <v>196</v>
      </c>
      <c r="E6" s="191" t="s">
        <v>197</v>
      </c>
      <c r="F6" s="191" t="s">
        <v>198</v>
      </c>
      <c r="G6" s="191" t="s">
        <v>199</v>
      </c>
      <c r="H6" s="192" t="s">
        <v>200</v>
      </c>
      <c r="I6" s="192" t="s">
        <v>6</v>
      </c>
      <c r="J6" s="193" t="s">
        <v>7</v>
      </c>
    </row>
    <row r="7" spans="3:12" ht="15.75" x14ac:dyDescent="0.25">
      <c r="C7" s="194" t="s">
        <v>218</v>
      </c>
      <c r="D7" s="5"/>
      <c r="E7" s="5"/>
      <c r="F7" s="5"/>
      <c r="G7" s="5"/>
      <c r="H7" s="5"/>
      <c r="I7" s="5"/>
      <c r="J7" s="195"/>
    </row>
    <row r="8" spans="3:12" ht="15.75" x14ac:dyDescent="0.25">
      <c r="C8" s="194" t="s">
        <v>219</v>
      </c>
      <c r="D8" s="196" t="str">
        <f>'[1]L spend'!E47</f>
        <v>2006/7</v>
      </c>
      <c r="E8" s="196" t="str">
        <f>'[1]L spend'!F47</f>
        <v>2007/8</v>
      </c>
      <c r="F8" s="196" t="str">
        <f>'[1]L spend'!G47</f>
        <v>2008/9</v>
      </c>
      <c r="G8" s="196" t="str">
        <f>'[1]L spend'!H47</f>
        <v>2009/10</v>
      </c>
      <c r="H8" s="196" t="str">
        <f>'[1]L spend'!I47</f>
        <v>2010/11</v>
      </c>
      <c r="I8" s="196">
        <f>'[1]L spend'!J47</f>
        <v>0</v>
      </c>
      <c r="J8" s="197">
        <f>'[1]L spend'!K47</f>
        <v>0</v>
      </c>
      <c r="L8" s="194" t="s">
        <v>218</v>
      </c>
    </row>
    <row r="9" spans="3:12" ht="15.75" x14ac:dyDescent="0.25">
      <c r="C9" s="194" t="s">
        <v>220</v>
      </c>
      <c r="D9" s="196">
        <f>'[1]L spend'!E85</f>
        <v>0</v>
      </c>
      <c r="E9" s="196">
        <f>'[1]L spend'!F85</f>
        <v>0</v>
      </c>
      <c r="F9" s="196">
        <f>'[1]L spend'!G85</f>
        <v>0</v>
      </c>
      <c r="G9" s="196">
        <f>'[1]L spend'!H85</f>
        <v>0</v>
      </c>
      <c r="H9" s="196">
        <f>'[1]L spend'!I85</f>
        <v>0</v>
      </c>
      <c r="I9" s="196">
        <f>'[1]L spend'!J85</f>
        <v>0</v>
      </c>
      <c r="J9" s="197">
        <f>'[1]L spend'!K85</f>
        <v>0</v>
      </c>
      <c r="L9" s="194" t="s">
        <v>225</v>
      </c>
    </row>
    <row r="10" spans="3:12" ht="15.75" x14ac:dyDescent="0.25">
      <c r="C10" s="194" t="s">
        <v>221</v>
      </c>
      <c r="D10" s="196">
        <f>'[1]M spend'!D29</f>
        <v>0</v>
      </c>
      <c r="E10" s="196">
        <f>'[1]M spend'!E29</f>
        <v>0</v>
      </c>
      <c r="F10" s="196">
        <f>'[1]M spend'!F29</f>
        <v>0</v>
      </c>
      <c r="G10" s="196">
        <f>'[1]M spend'!G29</f>
        <v>0</v>
      </c>
      <c r="H10" s="196">
        <f>'[1]M spend'!H29</f>
        <v>0</v>
      </c>
      <c r="I10" s="196">
        <f>'[1]M spend'!I29</f>
        <v>0</v>
      </c>
      <c r="J10" s="197">
        <f>'[1]M spend'!J29</f>
        <v>0</v>
      </c>
    </row>
    <row r="11" spans="3:12" ht="15.75" x14ac:dyDescent="0.25">
      <c r="C11" s="194" t="s">
        <v>47</v>
      </c>
      <c r="D11" s="196">
        <f>'[1]K spend'!E55</f>
        <v>0</v>
      </c>
      <c r="E11" s="196">
        <f>'[1]K spend'!F55</f>
        <v>0</v>
      </c>
      <c r="F11" s="196">
        <f>'[1]K spend'!G55</f>
        <v>0</v>
      </c>
      <c r="G11" s="196">
        <f>'[1]K spend'!H55</f>
        <v>0</v>
      </c>
      <c r="H11" s="196">
        <f>'[1]K spend'!I55</f>
        <v>0</v>
      </c>
      <c r="I11" s="196">
        <f>'[1]K spend'!J55</f>
        <v>0</v>
      </c>
      <c r="J11" s="197">
        <f>'[1]K spend'!K55</f>
        <v>0</v>
      </c>
    </row>
    <row r="12" spans="3:12" ht="15.75" x14ac:dyDescent="0.25">
      <c r="C12" s="194" t="s">
        <v>140</v>
      </c>
      <c r="D12" s="196">
        <v>8094174.9440000001</v>
      </c>
      <c r="E12" s="196">
        <v>8013483.2259999998</v>
      </c>
      <c r="F12" s="196">
        <v>8250323.8930000002</v>
      </c>
      <c r="G12" s="196">
        <v>8303500.9179999996</v>
      </c>
      <c r="H12" s="196">
        <v>8376264.432</v>
      </c>
      <c r="I12" s="196">
        <v>8621421.1300000008</v>
      </c>
      <c r="J12" s="197">
        <v>8880735.3440000005</v>
      </c>
    </row>
    <row r="13" spans="3:12" ht="15.75" x14ac:dyDescent="0.25">
      <c r="C13" s="194" t="s">
        <v>222</v>
      </c>
      <c r="D13" s="196">
        <v>9569836</v>
      </c>
      <c r="E13" s="196">
        <v>11162141</v>
      </c>
      <c r="F13" s="196">
        <v>11209422</v>
      </c>
      <c r="G13" s="196">
        <v>11697639</v>
      </c>
      <c r="H13" s="196">
        <v>12074672</v>
      </c>
      <c r="I13" s="196">
        <v>12683418</v>
      </c>
      <c r="J13" s="197">
        <v>12962081</v>
      </c>
    </row>
    <row r="14" spans="3:12" ht="15.75" x14ac:dyDescent="0.25">
      <c r="C14" s="194" t="s">
        <v>223</v>
      </c>
      <c r="D14" s="196">
        <v>278000</v>
      </c>
      <c r="E14" s="196">
        <v>262000</v>
      </c>
      <c r="F14" s="196">
        <v>229000</v>
      </c>
      <c r="G14" s="196">
        <v>226000</v>
      </c>
      <c r="H14" s="196">
        <v>242958</v>
      </c>
      <c r="I14" s="196">
        <v>241608</v>
      </c>
      <c r="J14" s="197">
        <v>212245</v>
      </c>
    </row>
    <row r="15" spans="3:12" ht="15.75" x14ac:dyDescent="0.25">
      <c r="C15" s="198" t="s">
        <v>224</v>
      </c>
      <c r="D15" s="199">
        <f>SUM(D8:D14)</f>
        <v>17942010.943999998</v>
      </c>
      <c r="E15" s="199">
        <f t="shared" ref="E15:J15" si="0">SUM(E8:E14)</f>
        <v>19437624.226</v>
      </c>
      <c r="F15" s="199">
        <f t="shared" si="0"/>
        <v>19688745.892999999</v>
      </c>
      <c r="G15" s="199">
        <f t="shared" si="0"/>
        <v>20227139.917999998</v>
      </c>
      <c r="H15" s="199">
        <f t="shared" si="0"/>
        <v>20693894.432</v>
      </c>
      <c r="I15" s="199">
        <f t="shared" si="0"/>
        <v>21546447.130000003</v>
      </c>
      <c r="J15" s="200">
        <f t="shared" si="0"/>
        <v>22055061.344000001</v>
      </c>
    </row>
    <row r="16" spans="3:12" ht="15.75" x14ac:dyDescent="0.25">
      <c r="C16" s="194"/>
      <c r="D16" s="201"/>
      <c r="E16" s="201"/>
      <c r="F16" s="201"/>
      <c r="G16" s="201"/>
      <c r="H16" s="201"/>
      <c r="I16" s="201"/>
      <c r="J16" s="202"/>
    </row>
    <row r="17" spans="3:10" ht="15.75" x14ac:dyDescent="0.25">
      <c r="C17" s="194" t="s">
        <v>225</v>
      </c>
      <c r="D17" s="201"/>
      <c r="E17" s="201"/>
      <c r="F17" s="201"/>
      <c r="G17" s="201"/>
      <c r="H17" s="201"/>
      <c r="I17" s="201"/>
      <c r="J17" s="202"/>
    </row>
    <row r="18" spans="3:10" ht="15.75" x14ac:dyDescent="0.25">
      <c r="C18" s="194" t="str">
        <f>C8</f>
        <v>NHS staff</v>
      </c>
      <c r="D18" s="196">
        <v>38212088</v>
      </c>
      <c r="E18" s="196">
        <v>39516362</v>
      </c>
      <c r="F18" s="196">
        <v>39359457</v>
      </c>
      <c r="G18" s="196">
        <v>39525586</v>
      </c>
      <c r="H18" s="196">
        <v>41200614</v>
      </c>
      <c r="I18" s="196">
        <v>43406879</v>
      </c>
      <c r="J18" s="197">
        <v>43513839</v>
      </c>
    </row>
    <row r="19" spans="3:10" ht="15.75" x14ac:dyDescent="0.25">
      <c r="C19" s="194" t="str">
        <f t="shared" ref="C19:C24" si="1">C9</f>
        <v>Agency staff</v>
      </c>
      <c r="D19" s="196">
        <v>1669078</v>
      </c>
      <c r="E19" s="196">
        <v>1440740</v>
      </c>
      <c r="F19" s="196">
        <v>1089513</v>
      </c>
      <c r="G19" s="196">
        <v>1305572</v>
      </c>
      <c r="H19" s="196">
        <v>1988902</v>
      </c>
      <c r="I19" s="196">
        <v>2373791</v>
      </c>
      <c r="J19" s="197">
        <v>2127889</v>
      </c>
    </row>
    <row r="20" spans="3:10" ht="15.75" x14ac:dyDescent="0.25">
      <c r="C20" s="194" t="str">
        <f t="shared" si="1"/>
        <v>Intermediates (RC)</v>
      </c>
      <c r="D20" s="196">
        <v>8908327</v>
      </c>
      <c r="E20" s="196">
        <v>10650038</v>
      </c>
      <c r="F20" s="196">
        <v>11640863</v>
      </c>
      <c r="G20" s="196">
        <v>13367264.856002657</v>
      </c>
      <c r="H20" s="196">
        <v>14140508.469508</v>
      </c>
      <c r="I20" s="196">
        <v>15427876.675999999</v>
      </c>
      <c r="J20" s="197">
        <v>16077604</v>
      </c>
    </row>
    <row r="21" spans="3:10" ht="15.75" x14ac:dyDescent="0.25">
      <c r="C21" s="194" t="str">
        <f t="shared" si="1"/>
        <v>Capital</v>
      </c>
      <c r="D21" s="196">
        <v>3308036</v>
      </c>
      <c r="E21" s="196">
        <v>3578676</v>
      </c>
      <c r="F21" s="196">
        <v>4190683</v>
      </c>
      <c r="G21" s="196">
        <v>4292293</v>
      </c>
      <c r="H21" s="196">
        <v>3994568</v>
      </c>
      <c r="I21" s="196">
        <v>3958031</v>
      </c>
      <c r="J21" s="197">
        <v>3893374</v>
      </c>
    </row>
    <row r="22" spans="3:10" ht="15.75" x14ac:dyDescent="0.25">
      <c r="C22" s="194" t="str">
        <f t="shared" si="1"/>
        <v>Prescribing</v>
      </c>
      <c r="D22" s="196">
        <f>(5931102032.68118/1000)</f>
        <v>5931102.0326811802</v>
      </c>
      <c r="E22" s="196">
        <f>(6514497379.07487)/1000</f>
        <v>6514497.3790748697</v>
      </c>
      <c r="F22" s="196">
        <f>(6944132558.70718/1000)</f>
        <v>6944132.5587071804</v>
      </c>
      <c r="G22" s="196">
        <f>(7454440181.34482)/1000</f>
        <v>7454440.1813448202</v>
      </c>
      <c r="H22" s="196">
        <f>(7927564293.01533/1000)</f>
        <v>7927564.2930153301</v>
      </c>
      <c r="I22" s="196">
        <f>(8477306912.48771/1000)</f>
        <v>8477306.9124877099</v>
      </c>
      <c r="J22" s="197">
        <f>(8880735344/1000)</f>
        <v>8880735.3440000005</v>
      </c>
    </row>
    <row r="23" spans="3:10" ht="15.75" x14ac:dyDescent="0.25">
      <c r="C23" s="194" t="str">
        <f t="shared" si="1"/>
        <v>Primary Care</v>
      </c>
      <c r="D23" s="196">
        <v>11660794</v>
      </c>
      <c r="E23" s="196">
        <v>12994731</v>
      </c>
      <c r="F23" s="196">
        <v>12536001</v>
      </c>
      <c r="G23" s="196">
        <v>12642512</v>
      </c>
      <c r="H23" s="196">
        <v>12663273</v>
      </c>
      <c r="I23" s="196">
        <v>13075835</v>
      </c>
      <c r="J23" s="197">
        <v>12962081</v>
      </c>
    </row>
    <row r="24" spans="3:10" ht="15.75" x14ac:dyDescent="0.25">
      <c r="C24" s="194" t="str">
        <f t="shared" si="1"/>
        <v>DH Adminstration</v>
      </c>
      <c r="D24" s="196">
        <v>331183</v>
      </c>
      <c r="E24" s="196">
        <v>300986</v>
      </c>
      <c r="F24" s="196">
        <v>253689</v>
      </c>
      <c r="G24" s="196">
        <v>243310</v>
      </c>
      <c r="H24" s="196">
        <v>251748</v>
      </c>
      <c r="I24" s="196">
        <v>248856</v>
      </c>
      <c r="J24" s="197">
        <v>212245</v>
      </c>
    </row>
    <row r="25" spans="3:10" ht="15.75" x14ac:dyDescent="0.25">
      <c r="C25" s="203" t="str">
        <f>C15</f>
        <v xml:space="preserve">Total </v>
      </c>
      <c r="D25" s="204">
        <v>66115954.399054632</v>
      </c>
      <c r="E25" s="204">
        <v>71516433.858518913</v>
      </c>
      <c r="F25" s="204">
        <v>73454631.349942937</v>
      </c>
      <c r="G25" s="204">
        <v>76978472.227530271</v>
      </c>
      <c r="H25" s="204">
        <v>81000168.529355153</v>
      </c>
      <c r="I25" s="204">
        <v>86181233.981020823</v>
      </c>
      <c r="J25" s="205">
        <v>87667767.651999995</v>
      </c>
    </row>
  </sheetData>
  <customSheetViews>
    <customSheetView guid="{9EA95E61-FCA5-4867-AEB4-B8C24058ACDD}" state="hidden">
      <selection activeCell="D10" sqref="D10"/>
      <pageMargins left="0.7" right="0.7" top="0.75" bottom="0.75" header="0.3" footer="0.3"/>
    </customSheetView>
  </customSheetView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4:M66"/>
  <sheetViews>
    <sheetView showGridLines="0" showRowColHeaders="0" zoomScale="60" zoomScaleNormal="60" workbookViewId="0">
      <selection activeCell="D10" sqref="D10"/>
    </sheetView>
  </sheetViews>
  <sheetFormatPr defaultRowHeight="15" x14ac:dyDescent="0.25"/>
  <cols>
    <col min="4" max="4" width="65.42578125" customWidth="1"/>
    <col min="5" max="5" width="20.7109375" customWidth="1"/>
    <col min="6" max="6" width="15.85546875" customWidth="1"/>
    <col min="7" max="7" width="36.140625" customWidth="1"/>
    <col min="8" max="8" width="21" customWidth="1"/>
    <col min="9" max="11" width="15.85546875" customWidth="1"/>
  </cols>
  <sheetData>
    <row r="4" spans="4:11" ht="59.25" x14ac:dyDescent="0.75">
      <c r="D4" s="4" t="s">
        <v>192</v>
      </c>
    </row>
    <row r="5" spans="4:11" ht="59.25" x14ac:dyDescent="0.75">
      <c r="D5" s="4"/>
    </row>
    <row r="6" spans="4:11" ht="22.5" x14ac:dyDescent="0.3">
      <c r="D6" s="12" t="s">
        <v>240</v>
      </c>
    </row>
    <row r="7" spans="4:11" ht="22.5" x14ac:dyDescent="0.3">
      <c r="D7" s="11"/>
      <c r="E7" s="11"/>
    </row>
    <row r="8" spans="4:11" ht="22.5" x14ac:dyDescent="0.3">
      <c r="D8" s="12" t="s">
        <v>241</v>
      </c>
      <c r="E8" s="11"/>
    </row>
    <row r="9" spans="4:11" ht="23.25" x14ac:dyDescent="0.35">
      <c r="D9" s="162"/>
      <c r="E9" s="165"/>
      <c r="F9" s="165"/>
      <c r="G9" s="162"/>
      <c r="H9" s="162"/>
      <c r="I9" s="162"/>
      <c r="J9" s="162"/>
      <c r="K9" s="237"/>
    </row>
    <row r="18" spans="1:3" x14ac:dyDescent="0.25">
      <c r="A18" s="5"/>
      <c r="B18" s="5"/>
      <c r="C18" s="5"/>
    </row>
    <row r="19" spans="1:3" x14ac:dyDescent="0.25">
      <c r="A19" s="5"/>
      <c r="B19" s="5"/>
      <c r="C19" s="5"/>
    </row>
    <row r="20" spans="1:3" x14ac:dyDescent="0.25">
      <c r="A20" s="5"/>
      <c r="B20" s="5"/>
      <c r="C20" s="5"/>
    </row>
    <row r="21" spans="1:3" x14ac:dyDescent="0.25">
      <c r="A21" s="5"/>
      <c r="B21" s="5"/>
      <c r="C21" s="5"/>
    </row>
    <row r="22" spans="1:3" x14ac:dyDescent="0.25">
      <c r="A22" s="5"/>
      <c r="B22" s="5"/>
      <c r="C22" s="5"/>
    </row>
    <row r="23" spans="1:3" x14ac:dyDescent="0.25">
      <c r="C23" s="5"/>
    </row>
    <row r="24" spans="1:3" x14ac:dyDescent="0.25">
      <c r="C24" s="5"/>
    </row>
    <row r="25" spans="1:3" x14ac:dyDescent="0.25">
      <c r="C25" s="5"/>
    </row>
    <row r="26" spans="1:3" x14ac:dyDescent="0.25">
      <c r="C26" s="5"/>
    </row>
    <row r="29" spans="1:3" x14ac:dyDescent="0.25">
      <c r="B29" s="5"/>
    </row>
    <row r="31" spans="1:3" ht="23.25" customHeight="1" x14ac:dyDescent="0.25"/>
    <row r="35" spans="4:13" ht="22.5" x14ac:dyDescent="0.3">
      <c r="D35" s="248"/>
      <c r="E35" s="248"/>
      <c r="F35" s="248"/>
      <c r="G35" s="248"/>
      <c r="H35" s="248"/>
      <c r="I35" s="248"/>
      <c r="J35" s="248"/>
      <c r="K35" s="248"/>
      <c r="L35" s="261"/>
      <c r="M35" s="246"/>
    </row>
    <row r="36" spans="4:13" ht="22.5" x14ac:dyDescent="0.3">
      <c r="D36" s="248"/>
      <c r="E36" s="248"/>
      <c r="F36" s="248"/>
      <c r="G36" s="248"/>
      <c r="H36" s="248"/>
      <c r="I36" s="248"/>
      <c r="J36" s="248"/>
      <c r="K36" s="248"/>
      <c r="L36" s="261"/>
      <c r="M36" s="246"/>
    </row>
    <row r="37" spans="4:13" ht="22.5" x14ac:dyDescent="0.3">
      <c r="D37" s="248"/>
      <c r="E37" s="248"/>
      <c r="F37" s="248"/>
      <c r="G37" s="248"/>
      <c r="H37" s="248"/>
      <c r="I37" s="248"/>
      <c r="J37" s="248"/>
      <c r="K37" s="248"/>
      <c r="L37" s="261"/>
      <c r="M37" s="246"/>
    </row>
    <row r="38" spans="4:13" ht="22.5" x14ac:dyDescent="0.3">
      <c r="D38" s="248"/>
      <c r="E38" s="248"/>
      <c r="F38" s="248"/>
      <c r="G38" s="248"/>
      <c r="H38" s="248"/>
      <c r="I38" s="248"/>
      <c r="J38" s="248"/>
      <c r="K38" s="248"/>
      <c r="L38" s="261"/>
      <c r="M38" s="246"/>
    </row>
    <row r="39" spans="4:13" ht="22.5" x14ac:dyDescent="0.3">
      <c r="D39" s="248"/>
      <c r="E39" s="248"/>
      <c r="F39" s="248"/>
      <c r="G39" s="248"/>
      <c r="H39" s="248"/>
      <c r="I39" s="248"/>
      <c r="J39" s="248"/>
      <c r="K39" s="248"/>
      <c r="L39" s="261"/>
      <c r="M39" s="246"/>
    </row>
    <row r="40" spans="4:13" ht="22.5" x14ac:dyDescent="0.3">
      <c r="D40" s="257"/>
      <c r="E40" s="258"/>
      <c r="F40" s="258"/>
      <c r="G40" s="258"/>
      <c r="H40" s="258"/>
      <c r="I40" s="259"/>
      <c r="J40" s="259"/>
      <c r="K40" s="260"/>
      <c r="L40" s="261"/>
      <c r="M40" s="246"/>
    </row>
    <row r="41" spans="4:13" ht="22.5" x14ac:dyDescent="0.3">
      <c r="D41" s="242"/>
      <c r="E41" s="243"/>
      <c r="F41" s="243"/>
      <c r="G41" s="243"/>
      <c r="H41" s="243"/>
      <c r="I41" s="244"/>
      <c r="J41" s="244"/>
      <c r="K41" s="245"/>
      <c r="L41" s="256"/>
      <c r="M41" s="246"/>
    </row>
    <row r="42" spans="4:13" ht="22.5" x14ac:dyDescent="0.3">
      <c r="D42" s="244"/>
      <c r="E42" s="243"/>
      <c r="F42" s="243"/>
      <c r="G42" s="243"/>
      <c r="H42" s="243"/>
      <c r="I42" s="244"/>
      <c r="J42" s="244"/>
      <c r="K42" s="245"/>
      <c r="L42" s="247"/>
      <c r="M42" s="246"/>
    </row>
    <row r="43" spans="4:13" ht="23.25" x14ac:dyDescent="0.35">
      <c r="D43" s="177"/>
      <c r="E43" s="165"/>
      <c r="F43" s="165"/>
      <c r="G43" s="165"/>
      <c r="H43" s="165"/>
      <c r="I43" s="177"/>
      <c r="J43" s="177"/>
      <c r="K43" s="238"/>
      <c r="L43" s="247"/>
      <c r="M43" s="246"/>
    </row>
    <row r="44" spans="4:13" ht="23.25" x14ac:dyDescent="0.35">
      <c r="D44" s="177"/>
      <c r="E44" s="165"/>
      <c r="F44" s="165"/>
      <c r="G44" s="165"/>
      <c r="H44" s="165"/>
      <c r="I44" s="179"/>
      <c r="J44" s="179"/>
      <c r="K44" s="238"/>
      <c r="L44" s="5"/>
    </row>
    <row r="45" spans="4:13" ht="23.25" x14ac:dyDescent="0.35">
      <c r="D45" s="177"/>
      <c r="E45" s="165"/>
      <c r="F45" s="165"/>
      <c r="G45" s="165"/>
      <c r="H45" s="165"/>
      <c r="I45" s="179"/>
      <c r="J45" s="179"/>
      <c r="K45" s="238"/>
      <c r="L45" s="5"/>
    </row>
    <row r="46" spans="4:13" ht="23.25" x14ac:dyDescent="0.35">
      <c r="D46" s="177"/>
      <c r="E46" s="165"/>
      <c r="F46" s="165"/>
      <c r="G46" s="165"/>
      <c r="H46" s="165"/>
      <c r="I46" s="179"/>
      <c r="J46" s="179"/>
      <c r="K46" s="238"/>
      <c r="L46" s="5"/>
    </row>
    <row r="47" spans="4:13" ht="23.25" x14ac:dyDescent="0.35">
      <c r="D47" s="177"/>
      <c r="E47" s="165"/>
      <c r="F47" s="165"/>
      <c r="G47" s="165"/>
      <c r="H47" s="165"/>
      <c r="I47" s="180"/>
      <c r="J47" s="179"/>
      <c r="K47" s="238"/>
      <c r="L47" s="5"/>
    </row>
    <row r="48" spans="4:13" ht="23.25" x14ac:dyDescent="0.35">
      <c r="D48" s="240"/>
      <c r="E48" s="165"/>
      <c r="F48" s="165"/>
      <c r="G48" s="165"/>
      <c r="H48" s="165"/>
      <c r="I48" s="177"/>
      <c r="J48" s="177"/>
      <c r="K48" s="237"/>
      <c r="L48" s="5"/>
    </row>
    <row r="49" spans="3:12" ht="23.25" x14ac:dyDescent="0.35">
      <c r="D49" s="177"/>
      <c r="E49" s="165"/>
      <c r="F49" s="165"/>
      <c r="G49" s="181"/>
      <c r="H49" s="181"/>
      <c r="I49" s="182"/>
      <c r="J49" s="182"/>
      <c r="K49" s="239"/>
      <c r="L49" s="5"/>
    </row>
    <row r="50" spans="3:12" ht="23.25" x14ac:dyDescent="0.35">
      <c r="C50" s="154"/>
      <c r="D50" s="177"/>
      <c r="E50" s="165"/>
      <c r="F50" s="165"/>
      <c r="G50" s="181"/>
      <c r="H50" s="181"/>
      <c r="I50" s="177"/>
      <c r="J50" s="177"/>
      <c r="K50" s="237"/>
      <c r="L50" s="5"/>
    </row>
    <row r="51" spans="3:12" ht="23.25" x14ac:dyDescent="0.35">
      <c r="C51" s="154"/>
      <c r="D51" s="177"/>
      <c r="E51" s="165"/>
      <c r="F51" s="165"/>
      <c r="G51" s="181"/>
      <c r="H51" s="181"/>
      <c r="I51" s="184"/>
      <c r="J51" s="181"/>
      <c r="K51" s="239"/>
      <c r="L51" s="5"/>
    </row>
    <row r="52" spans="3:12" ht="23.25" x14ac:dyDescent="0.35">
      <c r="C52" s="154"/>
      <c r="D52" s="240"/>
      <c r="E52" s="165"/>
      <c r="F52" s="165"/>
      <c r="G52" s="181"/>
      <c r="H52" s="181"/>
      <c r="I52" s="177"/>
      <c r="J52" s="177"/>
      <c r="K52" s="237"/>
      <c r="L52" s="5"/>
    </row>
    <row r="53" spans="3:12" ht="23.25" x14ac:dyDescent="0.35">
      <c r="D53" s="177"/>
      <c r="E53" s="165"/>
      <c r="F53" s="165"/>
      <c r="G53" s="181"/>
      <c r="H53" s="181"/>
      <c r="I53" s="182"/>
      <c r="J53" s="182"/>
      <c r="K53" s="241"/>
      <c r="L53" s="5"/>
    </row>
    <row r="54" spans="3:12" ht="23.25" x14ac:dyDescent="0.35">
      <c r="D54" s="240"/>
      <c r="E54" s="181"/>
      <c r="F54" s="181"/>
      <c r="G54" s="20"/>
      <c r="H54" s="20"/>
      <c r="I54" s="20"/>
      <c r="J54" s="20"/>
      <c r="K54" s="20"/>
      <c r="L54" s="5"/>
    </row>
    <row r="55" spans="3:12" ht="23.25" x14ac:dyDescent="0.35">
      <c r="D55" s="240"/>
      <c r="E55" s="181"/>
      <c r="F55" s="181"/>
      <c r="G55" s="20"/>
      <c r="H55" s="20"/>
      <c r="I55" s="20"/>
      <c r="J55" s="20"/>
      <c r="K55" s="20"/>
      <c r="L55" s="5"/>
    </row>
    <row r="56" spans="3:12" ht="23.25" x14ac:dyDescent="0.35">
      <c r="C56" s="154"/>
      <c r="D56" s="240"/>
      <c r="E56" s="181"/>
      <c r="F56" s="181"/>
      <c r="G56" s="20"/>
      <c r="H56" s="20"/>
      <c r="I56" s="20"/>
      <c r="J56" s="20"/>
      <c r="K56" s="20"/>
      <c r="L56" s="5"/>
    </row>
    <row r="57" spans="3:12" ht="23.25" x14ac:dyDescent="0.35">
      <c r="C57" s="154"/>
      <c r="D57" s="240"/>
      <c r="E57" s="181"/>
      <c r="F57" s="181"/>
      <c r="G57" s="5"/>
      <c r="H57" s="5"/>
      <c r="I57" s="5"/>
      <c r="J57" s="5"/>
      <c r="K57" s="5"/>
      <c r="L57" s="5"/>
    </row>
    <row r="58" spans="3:12" ht="23.25" x14ac:dyDescent="0.35">
      <c r="C58" s="154"/>
      <c r="D58" s="240"/>
      <c r="E58" s="181"/>
      <c r="F58" s="181"/>
      <c r="G58" s="5"/>
      <c r="H58" s="5"/>
      <c r="I58" s="5"/>
      <c r="J58" s="5"/>
      <c r="K58" s="5"/>
      <c r="L58" s="5"/>
    </row>
    <row r="59" spans="3:12" ht="23.25" x14ac:dyDescent="0.35">
      <c r="C59" s="154"/>
      <c r="D59" s="10"/>
      <c r="E59" s="10"/>
      <c r="F59" s="10"/>
      <c r="G59" s="5"/>
      <c r="H59" s="5"/>
      <c r="I59" s="5"/>
      <c r="J59" s="5"/>
      <c r="K59" s="5"/>
      <c r="L59" s="5"/>
    </row>
    <row r="60" spans="3:12" ht="23.25" x14ac:dyDescent="0.35">
      <c r="C60" s="154"/>
      <c r="D60" s="10"/>
      <c r="E60" s="10"/>
      <c r="F60" s="10"/>
      <c r="L60" s="5"/>
    </row>
    <row r="61" spans="3:12" ht="23.25" x14ac:dyDescent="0.35">
      <c r="C61" s="154"/>
      <c r="D61" s="189"/>
      <c r="E61" s="10"/>
      <c r="F61" s="10"/>
    </row>
    <row r="62" spans="3:12" x14ac:dyDescent="0.25">
      <c r="D62" s="154"/>
    </row>
    <row r="63" spans="3:12" x14ac:dyDescent="0.25">
      <c r="D63" s="154"/>
    </row>
    <row r="64" spans="3:12" x14ac:dyDescent="0.25">
      <c r="D64" s="154"/>
    </row>
    <row r="65" spans="4:4" x14ac:dyDescent="0.25">
      <c r="D65" s="154"/>
    </row>
    <row r="66" spans="4:4" x14ac:dyDescent="0.25">
      <c r="D66" s="154"/>
    </row>
  </sheetData>
  <customSheetViews>
    <customSheetView guid="{9EA95E61-FCA5-4867-AEB4-B8C24058ACDD}" scale="60" showGridLines="0" showRowCol="0" state="hidden">
      <selection activeCell="D10" sqref="D10"/>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dimension ref="A1:U93"/>
  <sheetViews>
    <sheetView showRowColHeaders="0" zoomScaleNormal="100" workbookViewId="0">
      <selection activeCell="B10" sqref="B10"/>
    </sheetView>
  </sheetViews>
  <sheetFormatPr defaultRowHeight="15" x14ac:dyDescent="0.25"/>
  <cols>
    <col min="2" max="2" width="18" customWidth="1"/>
    <col min="3" max="9" width="12" customWidth="1"/>
    <col min="10" max="10" width="28.28515625" customWidth="1"/>
    <col min="11" max="11" width="32.7109375" customWidth="1"/>
    <col min="12" max="12" width="16.28515625" customWidth="1"/>
    <col min="13" max="13" width="26.28515625" bestFit="1" customWidth="1"/>
    <col min="14" max="14" width="16.28515625" bestFit="1" customWidth="1"/>
    <col min="15" max="15" width="22.5703125" bestFit="1" customWidth="1"/>
    <col min="16" max="16" width="21.28515625" bestFit="1" customWidth="1"/>
    <col min="17" max="17" width="22.28515625" bestFit="1" customWidth="1"/>
  </cols>
  <sheetData>
    <row r="1" spans="1:21" x14ac:dyDescent="0.25">
      <c r="A1" s="657" t="s">
        <v>337</v>
      </c>
      <c r="B1" s="657"/>
    </row>
    <row r="4" spans="1:21" ht="30" x14ac:dyDescent="0.4">
      <c r="B4" s="2" t="s">
        <v>389</v>
      </c>
    </row>
    <row r="5" spans="1:21" x14ac:dyDescent="0.25">
      <c r="B5" s="279"/>
      <c r="C5" s="281"/>
      <c r="D5" s="281"/>
      <c r="E5" s="281"/>
      <c r="F5" s="281"/>
      <c r="G5" s="281"/>
      <c r="H5" s="281"/>
    </row>
    <row r="6" spans="1:21" x14ac:dyDescent="0.25">
      <c r="B6" s="326" t="s">
        <v>393</v>
      </c>
      <c r="C6" s="326"/>
      <c r="D6" s="326"/>
      <c r="E6" s="281"/>
      <c r="F6" s="281"/>
      <c r="G6" s="281"/>
      <c r="H6" s="281"/>
      <c r="R6" s="8"/>
      <c r="S6" s="8"/>
      <c r="T6" s="8"/>
      <c r="U6" s="8"/>
    </row>
    <row r="7" spans="1:21" x14ac:dyDescent="0.25">
      <c r="B7" s="326"/>
      <c r="C7" s="326"/>
      <c r="D7" s="326">
        <v>1</v>
      </c>
      <c r="E7" s="281"/>
      <c r="F7" s="281"/>
      <c r="G7" s="281"/>
      <c r="H7" s="281"/>
      <c r="R7" s="8"/>
      <c r="S7" s="8"/>
      <c r="T7" s="8"/>
      <c r="U7" s="8"/>
    </row>
    <row r="8" spans="1:21" x14ac:dyDescent="0.25">
      <c r="B8" s="326"/>
      <c r="C8" s="326"/>
      <c r="D8" s="326"/>
      <c r="E8" s="281"/>
      <c r="F8" s="281"/>
      <c r="G8" s="281"/>
      <c r="H8" s="281"/>
      <c r="R8" s="8"/>
      <c r="S8" s="8"/>
      <c r="T8" s="8"/>
      <c r="U8" s="8"/>
    </row>
    <row r="9" spans="1:21" x14ac:dyDescent="0.25">
      <c r="B9" s="326"/>
      <c r="C9" s="326"/>
      <c r="D9" s="326"/>
      <c r="E9" s="281"/>
      <c r="F9" s="281"/>
      <c r="G9" s="281"/>
      <c r="H9" s="281"/>
      <c r="R9" s="8"/>
      <c r="S9" s="8"/>
      <c r="T9" s="8"/>
      <c r="U9" s="8"/>
    </row>
    <row r="10" spans="1:21" x14ac:dyDescent="0.25">
      <c r="B10" s="326" t="s">
        <v>394</v>
      </c>
      <c r="C10" s="326"/>
      <c r="D10" s="326"/>
      <c r="E10" s="281"/>
      <c r="F10" s="281"/>
      <c r="G10" s="281"/>
      <c r="H10" s="281"/>
      <c r="R10" s="8"/>
      <c r="S10" s="8"/>
      <c r="T10" s="8"/>
      <c r="U10" s="8"/>
    </row>
    <row r="11" spans="1:21" x14ac:dyDescent="0.25">
      <c r="B11" s="326"/>
      <c r="C11" s="326"/>
      <c r="D11" s="326"/>
      <c r="E11" s="281"/>
      <c r="F11" s="281"/>
      <c r="G11" s="281"/>
      <c r="H11" s="281"/>
      <c r="R11" s="8"/>
      <c r="S11" s="8"/>
      <c r="T11" s="8"/>
      <c r="U11" s="8"/>
    </row>
    <row r="12" spans="1:21" x14ac:dyDescent="0.25">
      <c r="B12" s="326"/>
      <c r="C12" s="326"/>
      <c r="D12" s="326"/>
      <c r="E12" s="281"/>
      <c r="F12" s="281"/>
      <c r="G12" s="281"/>
      <c r="H12" s="281"/>
      <c r="R12" s="8"/>
      <c r="S12" s="8"/>
      <c r="T12" s="8"/>
      <c r="U12" s="8"/>
    </row>
    <row r="13" spans="1:21" x14ac:dyDescent="0.25">
      <c r="B13" s="279"/>
      <c r="C13" s="279"/>
      <c r="D13" s="279"/>
      <c r="E13" s="279"/>
      <c r="F13" s="279"/>
      <c r="G13" s="279"/>
      <c r="H13" s="279"/>
      <c r="I13" s="8"/>
      <c r="R13" s="8"/>
      <c r="S13" s="8"/>
      <c r="T13" s="8"/>
      <c r="U13" s="8"/>
    </row>
    <row r="14" spans="1:21" x14ac:dyDescent="0.25">
      <c r="B14" s="279"/>
      <c r="C14" s="279"/>
      <c r="D14" s="279"/>
      <c r="E14" s="279"/>
      <c r="F14" s="279"/>
      <c r="G14" s="279"/>
      <c r="H14" s="279"/>
      <c r="I14" s="8"/>
      <c r="R14" s="8"/>
      <c r="S14" s="8"/>
      <c r="T14" s="8"/>
      <c r="U14" s="8"/>
    </row>
    <row r="15" spans="1:21" x14ac:dyDescent="0.25">
      <c r="B15" s="279"/>
      <c r="C15" s="279"/>
      <c r="D15" s="279"/>
      <c r="E15" s="279"/>
      <c r="F15" s="279"/>
      <c r="G15" s="279"/>
      <c r="H15" s="279"/>
      <c r="I15" s="8"/>
      <c r="R15" s="8"/>
      <c r="S15" s="8"/>
      <c r="T15" s="8"/>
      <c r="U15" s="8"/>
    </row>
    <row r="16" spans="1:21" x14ac:dyDescent="0.25">
      <c r="B16" s="279" t="s">
        <v>218</v>
      </c>
      <c r="C16" s="279" t="s">
        <v>196</v>
      </c>
      <c r="D16" s="279" t="s">
        <v>197</v>
      </c>
      <c r="E16" s="279" t="s">
        <v>198</v>
      </c>
      <c r="F16" s="279" t="s">
        <v>199</v>
      </c>
      <c r="G16" s="279" t="s">
        <v>200</v>
      </c>
      <c r="H16" s="279" t="s">
        <v>6</v>
      </c>
      <c r="I16" s="8" t="s">
        <v>7</v>
      </c>
      <c r="R16" s="8"/>
      <c r="S16" s="8"/>
      <c r="T16" s="8"/>
      <c r="U16" s="8"/>
    </row>
    <row r="17" spans="1:21" x14ac:dyDescent="0.25">
      <c r="B17" s="279" t="s">
        <v>219</v>
      </c>
      <c r="C17" s="279">
        <v>31334252.480110005</v>
      </c>
      <c r="D17" s="279">
        <v>33926746.314999998</v>
      </c>
      <c r="E17" s="279">
        <v>35177509.125</v>
      </c>
      <c r="F17" s="279">
        <v>36539983.701629996</v>
      </c>
      <c r="G17" s="279">
        <v>39213453.649081036</v>
      </c>
      <c r="H17" s="279">
        <v>42145100.102129996</v>
      </c>
      <c r="I17" s="8">
        <v>43513839</v>
      </c>
      <c r="R17" s="8"/>
      <c r="S17" s="8"/>
      <c r="T17" s="8"/>
      <c r="U17" s="8"/>
    </row>
    <row r="18" spans="1:21" x14ac:dyDescent="0.25">
      <c r="B18" s="279" t="s">
        <v>220</v>
      </c>
      <c r="C18" s="279">
        <v>1557282.4487299998</v>
      </c>
      <c r="D18" s="279">
        <v>1459935.5</v>
      </c>
      <c r="E18" s="279">
        <v>1185244</v>
      </c>
      <c r="F18" s="279">
        <v>1354520.29837</v>
      </c>
      <c r="G18" s="279">
        <v>1895451.8837600001</v>
      </c>
      <c r="H18" s="279">
        <v>2195295.3909299998</v>
      </c>
      <c r="I18" s="8">
        <v>2127889</v>
      </c>
      <c r="R18" s="8"/>
      <c r="S18" s="8"/>
      <c r="T18" s="8"/>
      <c r="U18" s="8"/>
    </row>
    <row r="19" spans="1:21" x14ac:dyDescent="0.25">
      <c r="B19" s="279" t="str">
        <f>IF($D$7=1, 'Productivity (4)'!B19, 'Productivity (4)'!B12)</f>
        <v>Intermediates (RC)</v>
      </c>
      <c r="C19" s="279">
        <f>IF($D$7=1, 'Productivity (4)'!C19, 'Productivity (4)'!C12)</f>
        <v>0</v>
      </c>
      <c r="D19" s="279">
        <f>IF($D$7=1, 'Productivity (4)'!D19, 'Productivity (4)'!D12)</f>
        <v>10271344</v>
      </c>
      <c r="E19" s="279">
        <f>IF($D$7=1, 'Productivity (4)'!E19, 'Productivity (4)'!E12)</f>
        <v>11378727</v>
      </c>
      <c r="F19" s="279">
        <f>IF($D$7=1, 'Productivity (4)'!F19, 'Productivity (4)'!F12)</f>
        <v>13036200</v>
      </c>
      <c r="G19" s="279">
        <f>IF($D$7=1, 'Productivity (4)'!G19, 'Productivity (4)'!G12)</f>
        <v>13991803</v>
      </c>
      <c r="H19" s="279">
        <f>IF($D$7=1, 'Productivity (4)'!H19, 'Productivity (4)'!H12)</f>
        <v>14911074</v>
      </c>
      <c r="I19" s="279">
        <f>IF($D$7=1, 'Productivity (4)'!I19, 'Productivity (4)'!I12)</f>
        <v>16077609</v>
      </c>
      <c r="R19" s="8"/>
      <c r="S19" s="8"/>
      <c r="T19" s="8"/>
      <c r="U19" s="8"/>
    </row>
    <row r="20" spans="1:21" x14ac:dyDescent="0.25">
      <c r="B20" s="279" t="s">
        <v>47</v>
      </c>
      <c r="C20" s="279">
        <v>5115514.2809764491</v>
      </c>
      <c r="D20" s="279">
        <v>5839664.3710000003</v>
      </c>
      <c r="E20" s="279">
        <v>6568362.6799999997</v>
      </c>
      <c r="F20" s="279">
        <v>7784592.0729</v>
      </c>
      <c r="G20" s="279">
        <v>7426030.9178999998</v>
      </c>
      <c r="H20" s="279">
        <v>7635390.1285600001</v>
      </c>
      <c r="I20" s="8">
        <v>8025361</v>
      </c>
      <c r="R20" s="8"/>
      <c r="S20" s="8"/>
      <c r="T20" s="8"/>
      <c r="U20" s="8"/>
    </row>
    <row r="21" spans="1:21" x14ac:dyDescent="0.25">
      <c r="A21" s="6"/>
      <c r="B21" s="279" t="s">
        <v>140</v>
      </c>
      <c r="C21" s="279">
        <v>8094174.9440000001</v>
      </c>
      <c r="D21" s="279">
        <v>8013483.2259999998</v>
      </c>
      <c r="E21" s="279">
        <v>8250323.8930000002</v>
      </c>
      <c r="F21" s="279">
        <v>8303500.9179999996</v>
      </c>
      <c r="G21" s="279">
        <v>8376264.432</v>
      </c>
      <c r="H21" s="279">
        <v>8621421.1300000008</v>
      </c>
      <c r="I21" s="8">
        <v>8880735.3440000005</v>
      </c>
      <c r="R21" s="8"/>
      <c r="S21" s="8"/>
      <c r="T21" s="8"/>
      <c r="U21" s="8"/>
    </row>
    <row r="22" spans="1:21" x14ac:dyDescent="0.25">
      <c r="A22" s="5"/>
      <c r="B22" s="279" t="s">
        <v>222</v>
      </c>
      <c r="C22" s="279">
        <v>9569836</v>
      </c>
      <c r="D22" s="279">
        <v>11162141</v>
      </c>
      <c r="E22" s="279">
        <v>11209422</v>
      </c>
      <c r="F22" s="279">
        <v>11697639</v>
      </c>
      <c r="G22" s="279">
        <v>12074672</v>
      </c>
      <c r="H22" s="279">
        <v>12683418</v>
      </c>
      <c r="I22" s="8">
        <v>12962081</v>
      </c>
      <c r="R22" s="8"/>
      <c r="S22" s="8"/>
      <c r="T22" s="8"/>
      <c r="U22" s="8"/>
    </row>
    <row r="23" spans="1:21" x14ac:dyDescent="0.25">
      <c r="A23" s="5"/>
      <c r="B23" s="279" t="s">
        <v>392</v>
      </c>
      <c r="C23" s="279">
        <v>278000</v>
      </c>
      <c r="D23" s="279">
        <v>262000</v>
      </c>
      <c r="E23" s="279">
        <v>229000</v>
      </c>
      <c r="F23" s="279">
        <v>226000</v>
      </c>
      <c r="G23" s="279">
        <v>242958</v>
      </c>
      <c r="H23" s="279">
        <v>241608</v>
      </c>
      <c r="I23" s="8">
        <v>212245</v>
      </c>
      <c r="R23" s="8"/>
      <c r="S23" s="8"/>
      <c r="T23" s="8"/>
      <c r="U23" s="8"/>
    </row>
    <row r="24" spans="1:21" x14ac:dyDescent="0.25">
      <c r="A24" s="5"/>
      <c r="B24" s="279" t="s">
        <v>224</v>
      </c>
      <c r="C24" s="279">
        <v>64707050.153816454</v>
      </c>
      <c r="D24" s="279">
        <v>70935314.412</v>
      </c>
      <c r="E24" s="279">
        <v>73998588.697999999</v>
      </c>
      <c r="F24" s="279">
        <v>78942435.990899995</v>
      </c>
      <c r="G24" s="279">
        <v>83220633.882741034</v>
      </c>
      <c r="H24" s="279">
        <v>88433306.751619995</v>
      </c>
      <c r="I24" s="8">
        <v>91799759.343999997</v>
      </c>
      <c r="R24" s="8"/>
      <c r="S24" s="8"/>
      <c r="T24" s="8"/>
      <c r="U24" s="8"/>
    </row>
    <row r="25" spans="1:21" x14ac:dyDescent="0.25">
      <c r="A25" s="5"/>
      <c r="B25" s="279"/>
      <c r="C25" s="279"/>
      <c r="D25" s="279"/>
      <c r="E25" s="279"/>
      <c r="F25" s="279"/>
      <c r="G25" s="279"/>
      <c r="H25" s="279"/>
      <c r="I25" s="8"/>
      <c r="R25" s="8"/>
      <c r="S25" s="8"/>
      <c r="T25" s="8"/>
      <c r="U25" s="8"/>
    </row>
    <row r="26" spans="1:21" x14ac:dyDescent="0.25">
      <c r="A26" s="5"/>
      <c r="B26" s="279" t="s">
        <v>225</v>
      </c>
      <c r="C26" s="279"/>
      <c r="D26" s="279"/>
      <c r="E26" s="279"/>
      <c r="F26" s="279"/>
      <c r="G26" s="279"/>
      <c r="H26" s="279"/>
      <c r="I26" s="8"/>
      <c r="R26" s="8"/>
      <c r="S26" s="8"/>
      <c r="T26" s="8"/>
      <c r="U26" s="8"/>
    </row>
    <row r="27" spans="1:21" x14ac:dyDescent="0.25">
      <c r="A27" s="5"/>
      <c r="B27" s="279" t="s">
        <v>219</v>
      </c>
      <c r="C27" s="279">
        <v>38212088</v>
      </c>
      <c r="D27" s="279">
        <v>39516362</v>
      </c>
      <c r="E27" s="279">
        <v>39359457</v>
      </c>
      <c r="F27" s="279">
        <v>39525586</v>
      </c>
      <c r="G27" s="279">
        <v>41200614</v>
      </c>
      <c r="H27" s="279">
        <v>43406879</v>
      </c>
      <c r="I27" s="8">
        <v>43513839</v>
      </c>
      <c r="R27" s="8"/>
      <c r="S27" s="8"/>
      <c r="T27" s="8"/>
      <c r="U27" s="8"/>
    </row>
    <row r="28" spans="1:21" x14ac:dyDescent="0.25">
      <c r="A28" s="5"/>
      <c r="B28" s="279" t="s">
        <v>220</v>
      </c>
      <c r="C28" s="279">
        <v>1669078</v>
      </c>
      <c r="D28" s="279">
        <v>1440740</v>
      </c>
      <c r="E28" s="279">
        <v>1089513</v>
      </c>
      <c r="F28" s="279">
        <v>1305572</v>
      </c>
      <c r="G28" s="279">
        <v>1988902</v>
      </c>
      <c r="H28" s="279">
        <v>2373791</v>
      </c>
      <c r="I28" s="8">
        <v>2127889</v>
      </c>
    </row>
    <row r="29" spans="1:21" x14ac:dyDescent="0.25">
      <c r="A29" s="5"/>
      <c r="B29" s="279" t="s">
        <v>221</v>
      </c>
      <c r="C29" s="279">
        <v>8908327</v>
      </c>
      <c r="D29" s="279">
        <v>10650038</v>
      </c>
      <c r="E29" s="279">
        <v>11640863</v>
      </c>
      <c r="F29" s="279">
        <v>13367264.856002657</v>
      </c>
      <c r="G29" s="279">
        <v>14140508.469508</v>
      </c>
      <c r="H29" s="279">
        <v>15427876.675999999</v>
      </c>
      <c r="I29" s="8">
        <v>16077604</v>
      </c>
    </row>
    <row r="30" spans="1:21" x14ac:dyDescent="0.25">
      <c r="B30" s="279" t="s">
        <v>47</v>
      </c>
      <c r="C30" s="279">
        <v>3308036</v>
      </c>
      <c r="D30" s="279">
        <v>3578676</v>
      </c>
      <c r="E30" s="279">
        <v>4190683</v>
      </c>
      <c r="F30" s="279">
        <v>4292293</v>
      </c>
      <c r="G30" s="279">
        <v>3994568</v>
      </c>
      <c r="H30" s="279">
        <v>3958031</v>
      </c>
      <c r="I30" s="8">
        <v>3893374</v>
      </c>
    </row>
    <row r="31" spans="1:21" x14ac:dyDescent="0.25">
      <c r="B31" s="279" t="s">
        <v>140</v>
      </c>
      <c r="C31" s="279">
        <v>5931102.0326811802</v>
      </c>
      <c r="D31" s="279">
        <v>6514497.3790748697</v>
      </c>
      <c r="E31" s="279">
        <v>6944132.5587071804</v>
      </c>
      <c r="F31" s="279">
        <v>7454440.1813448202</v>
      </c>
      <c r="G31" s="279">
        <v>7927564.2930153301</v>
      </c>
      <c r="H31" s="279">
        <v>8477306.9124877099</v>
      </c>
      <c r="I31" s="8">
        <v>8880735.3440000005</v>
      </c>
    </row>
    <row r="32" spans="1:21" x14ac:dyDescent="0.25">
      <c r="B32" s="279" t="s">
        <v>222</v>
      </c>
      <c r="C32" s="279">
        <v>11670404.906738559</v>
      </c>
      <c r="D32" s="279">
        <v>13001164.445567448</v>
      </c>
      <c r="E32" s="279">
        <v>12542012.72574419</v>
      </c>
      <c r="F32" s="279">
        <v>12645671.111368861</v>
      </c>
      <c r="G32" s="279">
        <v>12673068.453165414</v>
      </c>
      <c r="H32" s="279">
        <v>13076603.958000001</v>
      </c>
      <c r="I32" s="8">
        <v>12962081</v>
      </c>
    </row>
    <row r="33" spans="2:9" x14ac:dyDescent="0.25">
      <c r="B33" s="279" t="s">
        <v>392</v>
      </c>
      <c r="C33" s="279">
        <v>331183.30547743692</v>
      </c>
      <c r="D33" s="279">
        <v>300985.91688492848</v>
      </c>
      <c r="E33" s="279">
        <v>253688.98454382003</v>
      </c>
      <c r="F33" s="279">
        <v>243309.57052000001</v>
      </c>
      <c r="G33" s="279">
        <v>251747.7262339491</v>
      </c>
      <c r="H33" s="279">
        <v>248856.16224529999</v>
      </c>
      <c r="I33" s="8">
        <v>212245.30799999999</v>
      </c>
    </row>
    <row r="34" spans="2:9" x14ac:dyDescent="0.25">
      <c r="B34" s="281" t="s">
        <v>224</v>
      </c>
      <c r="C34" s="281">
        <v>70030219.244897187</v>
      </c>
      <c r="D34" s="281">
        <v>75002463.741527244</v>
      </c>
      <c r="E34" s="281">
        <v>76020350.268995181</v>
      </c>
      <c r="F34" s="281">
        <v>78834136.719236344</v>
      </c>
      <c r="G34" s="281">
        <v>82176972.94192268</v>
      </c>
      <c r="H34" s="281">
        <v>86969344.708733022</v>
      </c>
      <c r="I34">
        <v>87667767.651999995</v>
      </c>
    </row>
    <row r="35" spans="2:9" x14ac:dyDescent="0.25">
      <c r="B35" s="281"/>
      <c r="C35" s="281"/>
      <c r="D35" s="281"/>
      <c r="E35" s="281"/>
      <c r="F35" s="281"/>
      <c r="G35" s="281"/>
      <c r="H35" s="281"/>
    </row>
    <row r="36" spans="2:9" x14ac:dyDescent="0.25">
      <c r="B36" s="281">
        <v>352459.1206072038</v>
      </c>
      <c r="C36" s="281">
        <v>240357.88846676395</v>
      </c>
      <c r="D36" s="281">
        <v>234905.74154348543</v>
      </c>
      <c r="E36" s="281">
        <v>212915.15710517598</v>
      </c>
      <c r="F36" s="281">
        <v>216219.52596260741</v>
      </c>
      <c r="G36" s="281">
        <v>241508.47221669985</v>
      </c>
      <c r="H36" s="281">
        <v>241607.92450999998</v>
      </c>
    </row>
    <row r="37" spans="2:9" x14ac:dyDescent="0.25">
      <c r="B37" s="281"/>
      <c r="C37" s="281"/>
      <c r="D37" s="281"/>
      <c r="E37" s="281"/>
      <c r="F37" s="281"/>
      <c r="G37" s="281"/>
      <c r="H37" s="281"/>
    </row>
    <row r="57" ht="23.25" customHeight="1" x14ac:dyDescent="0.25"/>
    <row r="64" ht="23.25" customHeight="1" x14ac:dyDescent="0.25"/>
    <row r="71" ht="23.25" customHeight="1" x14ac:dyDescent="0.25"/>
    <row r="78" ht="23.25" customHeight="1" x14ac:dyDescent="0.25"/>
    <row r="85" ht="23.25" customHeight="1" x14ac:dyDescent="0.25"/>
    <row r="93" ht="23.25" customHeight="1" x14ac:dyDescent="0.25"/>
  </sheetData>
  <mergeCells count="1">
    <mergeCell ref="A1:B1"/>
  </mergeCells>
  <hyperlinks>
    <hyperlink ref="A1:B1" location="'Table of contents'!A1" display="Return to the Table of Contents"/>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864" r:id="rId4" name="Option Button 72">
              <controlPr defaultSize="0" autoFill="0" autoLine="0" autoPict="0" macro="[0]!OptionButton72_Click">
                <anchor moveWithCells="1">
                  <from>
                    <xdr:col>1</xdr:col>
                    <xdr:colOff>0</xdr:colOff>
                    <xdr:row>6</xdr:row>
                    <xdr:rowOff>0</xdr:rowOff>
                  </from>
                  <to>
                    <xdr:col>1</xdr:col>
                    <xdr:colOff>1000125</xdr:colOff>
                    <xdr:row>7</xdr:row>
                    <xdr:rowOff>19050</xdr:rowOff>
                  </to>
                </anchor>
              </controlPr>
            </control>
          </mc:Choice>
        </mc:AlternateContent>
        <mc:AlternateContent xmlns:mc="http://schemas.openxmlformats.org/markup-compatibility/2006">
          <mc:Choice Requires="x14">
            <control shapeId="33865" r:id="rId5" name="Option Button 73">
              <controlPr defaultSize="0" autoFill="0" autoLine="0" autoPict="0">
                <anchor moveWithCells="1">
                  <from>
                    <xdr:col>1</xdr:col>
                    <xdr:colOff>0</xdr:colOff>
                    <xdr:row>7</xdr:row>
                    <xdr:rowOff>19050</xdr:rowOff>
                  </from>
                  <to>
                    <xdr:col>1</xdr:col>
                    <xdr:colOff>1000125</xdr:colOff>
                    <xdr:row>8</xdr:row>
                    <xdr:rowOff>38100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showGridLines="0" showRowColHeaders="0" zoomScaleNormal="100" workbookViewId="0"/>
  </sheetViews>
  <sheetFormatPr defaultRowHeight="15" x14ac:dyDescent="0.25"/>
  <cols>
    <col min="2" max="2" width="20" customWidth="1"/>
    <col min="3" max="9" width="12.42578125" customWidth="1"/>
  </cols>
  <sheetData>
    <row r="1" spans="1:23" x14ac:dyDescent="0.25">
      <c r="B1" s="231"/>
      <c r="C1" s="231"/>
      <c r="D1" s="231"/>
      <c r="E1" s="231"/>
      <c r="F1" s="231"/>
    </row>
    <row r="4" spans="1:23" ht="30" x14ac:dyDescent="0.4">
      <c r="B4" s="2" t="s">
        <v>456</v>
      </c>
    </row>
    <row r="5" spans="1:23" ht="18" customHeight="1" x14ac:dyDescent="0.75">
      <c r="B5" s="4"/>
    </row>
    <row r="6" spans="1:23" ht="18" customHeight="1" x14ac:dyDescent="0.25">
      <c r="B6" s="280" t="s">
        <v>411</v>
      </c>
      <c r="C6" s="281"/>
      <c r="D6" s="281"/>
      <c r="E6" s="281"/>
      <c r="F6" s="281"/>
      <c r="G6" s="281"/>
      <c r="H6" s="281"/>
      <c r="I6" s="281"/>
    </row>
    <row r="7" spans="1:23" ht="18" customHeight="1" x14ac:dyDescent="0.25">
      <c r="A7" s="262">
        <v>1</v>
      </c>
      <c r="B7" s="466" t="s">
        <v>471</v>
      </c>
      <c r="C7" s="284"/>
      <c r="D7" s="285"/>
      <c r="E7" s="285"/>
      <c r="F7" s="285"/>
      <c r="G7" s="281"/>
      <c r="H7" s="281"/>
      <c r="I7" s="281"/>
    </row>
    <row r="8" spans="1:23" ht="18" customHeight="1" x14ac:dyDescent="0.25">
      <c r="B8" s="280"/>
      <c r="C8" s="279"/>
      <c r="D8" s="281"/>
      <c r="E8" s="281"/>
      <c r="F8" s="281"/>
      <c r="G8" s="281"/>
      <c r="H8" s="281"/>
      <c r="I8" s="281"/>
    </row>
    <row r="9" spans="1:23" ht="18" customHeight="1" x14ac:dyDescent="0.25">
      <c r="B9" s="280"/>
      <c r="C9" s="279"/>
      <c r="D9" s="281"/>
      <c r="E9" s="281"/>
      <c r="F9" s="281"/>
      <c r="G9" s="281"/>
      <c r="H9" s="281"/>
      <c r="I9" s="281"/>
    </row>
    <row r="10" spans="1:23" ht="18" customHeight="1" x14ac:dyDescent="0.25">
      <c r="B10" s="399" t="s">
        <v>468</v>
      </c>
      <c r="C10" s="323" t="s">
        <v>196</v>
      </c>
      <c r="D10" s="323" t="s">
        <v>197</v>
      </c>
      <c r="E10" s="323" t="s">
        <v>198</v>
      </c>
      <c r="F10" s="323" t="s">
        <v>199</v>
      </c>
      <c r="G10" s="323" t="s">
        <v>200</v>
      </c>
      <c r="H10" s="323" t="s">
        <v>6</v>
      </c>
      <c r="I10" s="323" t="s">
        <v>7</v>
      </c>
      <c r="Q10" s="485"/>
      <c r="R10" s="485"/>
      <c r="S10" s="485"/>
      <c r="T10" s="485"/>
      <c r="U10" s="485"/>
      <c r="V10" s="485"/>
      <c r="W10" s="486"/>
    </row>
    <row r="11" spans="1:23" ht="18" customHeight="1" x14ac:dyDescent="0.25">
      <c r="B11" s="399" t="s">
        <v>279</v>
      </c>
      <c r="C11" s="643">
        <v>6991023</v>
      </c>
      <c r="D11" s="643">
        <v>8214109</v>
      </c>
      <c r="E11" s="643">
        <v>8969197</v>
      </c>
      <c r="F11" s="643">
        <v>10132245</v>
      </c>
      <c r="G11" s="643">
        <v>11126240</v>
      </c>
      <c r="H11" s="643">
        <v>11841634</v>
      </c>
      <c r="I11" s="644">
        <v>12961219</v>
      </c>
      <c r="Q11" s="485"/>
      <c r="R11" s="485"/>
      <c r="S11" s="485"/>
      <c r="T11" s="485"/>
      <c r="U11" s="485"/>
      <c r="V11" s="485"/>
      <c r="W11" s="486"/>
    </row>
    <row r="12" spans="1:23" ht="18" customHeight="1" x14ac:dyDescent="0.25">
      <c r="B12" s="399" t="s">
        <v>56</v>
      </c>
      <c r="C12" s="643">
        <v>4932251</v>
      </c>
      <c r="D12" s="643">
        <v>5933214</v>
      </c>
      <c r="E12" s="643">
        <v>6792028</v>
      </c>
      <c r="F12" s="643">
        <v>8327705</v>
      </c>
      <c r="G12" s="643">
        <v>8949262</v>
      </c>
      <c r="H12" s="643">
        <v>10063998</v>
      </c>
      <c r="I12" s="644">
        <v>10873841</v>
      </c>
      <c r="J12" s="5"/>
      <c r="Q12" s="485"/>
      <c r="R12" s="485"/>
      <c r="S12" s="485"/>
      <c r="T12" s="485"/>
      <c r="U12" s="485"/>
      <c r="V12" s="485"/>
      <c r="W12" s="486"/>
    </row>
    <row r="13" spans="1:23" ht="18" customHeight="1" x14ac:dyDescent="0.25">
      <c r="B13" s="399" t="s">
        <v>278</v>
      </c>
      <c r="C13" s="643">
        <v>58721</v>
      </c>
      <c r="D13" s="643">
        <v>67368</v>
      </c>
      <c r="E13" s="643">
        <v>72493</v>
      </c>
      <c r="F13" s="643">
        <v>94749</v>
      </c>
      <c r="G13" s="643">
        <v>109351</v>
      </c>
      <c r="H13" s="643">
        <v>111812</v>
      </c>
      <c r="I13" s="644">
        <v>96254</v>
      </c>
      <c r="J13" s="5"/>
    </row>
    <row r="14" spans="1:23" x14ac:dyDescent="0.25">
      <c r="A14" s="154"/>
      <c r="B14" s="487" t="s">
        <v>162</v>
      </c>
      <c r="C14" s="643">
        <f>SUM(C11:C13)</f>
        <v>11981995</v>
      </c>
      <c r="D14" s="643">
        <f t="shared" ref="D14:I14" si="0">SUM(D11:D13)</f>
        <v>14214691</v>
      </c>
      <c r="E14" s="643">
        <f t="shared" si="0"/>
        <v>15833718</v>
      </c>
      <c r="F14" s="643">
        <f t="shared" si="0"/>
        <v>18554699</v>
      </c>
      <c r="G14" s="643">
        <f t="shared" si="0"/>
        <v>20184853</v>
      </c>
      <c r="H14" s="643">
        <f t="shared" si="0"/>
        <v>22017444</v>
      </c>
      <c r="I14" s="643">
        <f t="shared" si="0"/>
        <v>23931314</v>
      </c>
      <c r="J14" s="5"/>
    </row>
    <row r="15" spans="1:23" x14ac:dyDescent="0.25">
      <c r="A15" s="154"/>
      <c r="B15" s="279"/>
      <c r="C15" s="279"/>
      <c r="D15" s="279"/>
      <c r="E15" s="279"/>
      <c r="F15" s="279"/>
      <c r="G15" s="279"/>
      <c r="H15" s="279"/>
      <c r="I15" s="279"/>
      <c r="J15" s="5"/>
    </row>
    <row r="16" spans="1:23" x14ac:dyDescent="0.25">
      <c r="A16" s="154"/>
      <c r="B16" s="279"/>
      <c r="C16" s="279"/>
      <c r="D16" s="279"/>
      <c r="E16" s="279"/>
      <c r="F16" s="279"/>
      <c r="G16" s="279"/>
      <c r="H16" s="279"/>
      <c r="I16" s="279"/>
      <c r="J16" s="5"/>
    </row>
    <row r="17" spans="1:10" x14ac:dyDescent="0.25">
      <c r="B17" s="487" t="s">
        <v>525</v>
      </c>
      <c r="C17" s="274"/>
      <c r="D17" s="274"/>
      <c r="E17" s="279"/>
      <c r="F17" s="279"/>
      <c r="G17" s="279"/>
      <c r="H17" s="279"/>
      <c r="I17" s="279"/>
      <c r="J17" s="5"/>
    </row>
    <row r="18" spans="1:10" x14ac:dyDescent="0.25">
      <c r="B18" s="399" t="s">
        <v>469</v>
      </c>
      <c r="C18" s="279"/>
      <c r="D18" s="279"/>
      <c r="E18" s="279"/>
      <c r="F18" s="279"/>
      <c r="G18" s="279"/>
      <c r="H18" s="279"/>
      <c r="I18" s="279"/>
      <c r="J18" s="5"/>
    </row>
    <row r="19" spans="1:10" x14ac:dyDescent="0.25">
      <c r="B19" s="330" t="s">
        <v>279</v>
      </c>
      <c r="C19" s="279"/>
      <c r="D19" s="279"/>
      <c r="E19" s="279"/>
      <c r="F19" s="279"/>
      <c r="G19" s="279"/>
      <c r="H19" s="279"/>
      <c r="I19" s="279"/>
      <c r="J19" s="5"/>
    </row>
    <row r="20" spans="1:10" x14ac:dyDescent="0.25">
      <c r="A20" s="154"/>
      <c r="B20" s="279"/>
      <c r="C20" s="279"/>
      <c r="D20" s="279"/>
      <c r="E20" s="279"/>
      <c r="F20" s="279"/>
      <c r="G20" s="279"/>
      <c r="H20" s="279"/>
      <c r="I20" s="279"/>
      <c r="J20" s="5"/>
    </row>
    <row r="21" spans="1:10" x14ac:dyDescent="0.25">
      <c r="A21" s="154"/>
      <c r="B21" s="279"/>
      <c r="C21" s="323" t="s">
        <v>196</v>
      </c>
      <c r="D21" s="323" t="s">
        <v>197</v>
      </c>
      <c r="E21" s="323" t="s">
        <v>198</v>
      </c>
      <c r="F21" s="323" t="s">
        <v>199</v>
      </c>
      <c r="G21" s="323" t="s">
        <v>200</v>
      </c>
      <c r="H21" s="323" t="s">
        <v>6</v>
      </c>
      <c r="I21" s="323" t="s">
        <v>7</v>
      </c>
      <c r="J21" s="5"/>
    </row>
    <row r="22" spans="1:10" x14ac:dyDescent="0.25">
      <c r="A22" s="154"/>
      <c r="B22" s="495" t="str">
        <f>IF($B$19="All trusts", Ind_inter_backfile!A4,Ind_inter_backfile!A14)</f>
        <v>Drugs &amp; gases</v>
      </c>
      <c r="C22" s="645">
        <f>IF($B$19="All trusts", Ind_inter_backfile!B4,Ind_inter_backfile!B14)</f>
        <v>2591885</v>
      </c>
      <c r="D22" s="645">
        <f>IF($B$19="All trusts", Ind_inter_backfile!C4,Ind_inter_backfile!C14)</f>
        <v>2647598</v>
      </c>
      <c r="E22" s="645">
        <f>IF($B$19="All trusts", Ind_inter_backfile!D4,Ind_inter_backfile!D14)</f>
        <v>2814027</v>
      </c>
      <c r="F22" s="645">
        <f>IF($B$19="All trusts", Ind_inter_backfile!E4,Ind_inter_backfile!E14)</f>
        <v>3115381</v>
      </c>
      <c r="G22" s="645">
        <f>IF($B$19="All trusts", Ind_inter_backfile!F4,Ind_inter_backfile!F14)</f>
        <v>3460008</v>
      </c>
      <c r="H22" s="645">
        <f>IF($B$19="All trusts", Ind_inter_backfile!G4,Ind_inter_backfile!G14)</f>
        <v>3773131</v>
      </c>
      <c r="I22" s="645">
        <f>IF($B$19="All trusts", Ind_inter_backfile!H4,Ind_inter_backfile!H14)</f>
        <v>4111128</v>
      </c>
      <c r="J22" s="5"/>
    </row>
    <row r="23" spans="1:10" ht="25.5" x14ac:dyDescent="0.25">
      <c r="A23" s="154"/>
      <c r="B23" s="495" t="str">
        <f>IF($B$19="All trusts", Ind_inter_backfile!A5,Ind_inter_backfile!A15)</f>
        <v>Clinical supplies &amp; services</v>
      </c>
      <c r="C23" s="645">
        <f>IF($B$19="All trusts", Ind_inter_backfile!B5,Ind_inter_backfile!B15)</f>
        <v>405985</v>
      </c>
      <c r="D23" s="645">
        <f>IF($B$19="All trusts", Ind_inter_backfile!C5,Ind_inter_backfile!C15)</f>
        <v>594689</v>
      </c>
      <c r="E23" s="645">
        <f>IF($B$19="All trusts", Ind_inter_backfile!D5,Ind_inter_backfile!D15)</f>
        <v>748493</v>
      </c>
      <c r="F23" s="645">
        <f>IF($B$19="All trusts", Ind_inter_backfile!E5,Ind_inter_backfile!E15)</f>
        <v>942142</v>
      </c>
      <c r="G23" s="645">
        <f>IF($B$19="All trusts", Ind_inter_backfile!F5,Ind_inter_backfile!F15)</f>
        <v>1119410</v>
      </c>
      <c r="H23" s="645">
        <f>IF($B$19="All trusts", Ind_inter_backfile!G5,Ind_inter_backfile!G15)</f>
        <v>1307254</v>
      </c>
      <c r="I23" s="645">
        <f>IF($B$19="All trusts", Ind_inter_backfile!H5,Ind_inter_backfile!H15)</f>
        <v>1455860</v>
      </c>
      <c r="J23" s="5"/>
    </row>
    <row r="24" spans="1:10" ht="25.5" x14ac:dyDescent="0.25">
      <c r="A24" s="154"/>
      <c r="B24" s="495" t="str">
        <f>IF($B$19="All trusts", Ind_inter_backfile!A6,Ind_inter_backfile!A16)</f>
        <v>General supplies &amp; services</v>
      </c>
      <c r="C24" s="645">
        <f>IF($B$19="All trusts", Ind_inter_backfile!B6,Ind_inter_backfile!B16)</f>
        <v>743426</v>
      </c>
      <c r="D24" s="645">
        <f>IF($B$19="All trusts", Ind_inter_backfile!C6,Ind_inter_backfile!C16)</f>
        <v>853397</v>
      </c>
      <c r="E24" s="645">
        <f>IF($B$19="All trusts", Ind_inter_backfile!D6,Ind_inter_backfile!D16)</f>
        <v>911504</v>
      </c>
      <c r="F24" s="645">
        <f>IF($B$19="All trusts", Ind_inter_backfile!E6,Ind_inter_backfile!E16)</f>
        <v>1045835</v>
      </c>
      <c r="G24" s="645">
        <f>IF($B$19="All trusts", Ind_inter_backfile!F6,Ind_inter_backfile!F16)</f>
        <v>1119750</v>
      </c>
      <c r="H24" s="645">
        <f>IF($B$19="All trusts", Ind_inter_backfile!G6,Ind_inter_backfile!G16)</f>
        <v>1177681</v>
      </c>
      <c r="I24" s="645">
        <f>IF($B$19="All trusts", Ind_inter_backfile!H6,Ind_inter_backfile!H16)</f>
        <v>1226148</v>
      </c>
      <c r="J24" s="5"/>
    </row>
    <row r="25" spans="1:10" x14ac:dyDescent="0.25">
      <c r="A25" s="154"/>
      <c r="B25" s="495" t="str">
        <f>IF($B$19="All trusts", Ind_inter_backfile!A7,Ind_inter_backfile!A17)</f>
        <v>Establishment</v>
      </c>
      <c r="C25" s="645">
        <f>IF($B$19="All trusts", Ind_inter_backfile!B7,Ind_inter_backfile!B17)</f>
        <v>951971</v>
      </c>
      <c r="D25" s="645">
        <f>IF($B$19="All trusts", Ind_inter_backfile!C7,Ind_inter_backfile!C17)</f>
        <v>981559</v>
      </c>
      <c r="E25" s="645">
        <f>IF($B$19="All trusts", Ind_inter_backfile!D7,Ind_inter_backfile!D17)</f>
        <v>982216</v>
      </c>
      <c r="F25" s="645">
        <f>IF($B$19="All trusts", Ind_inter_backfile!E7,Ind_inter_backfile!E17)</f>
        <v>1085634</v>
      </c>
      <c r="G25" s="645">
        <f>IF($B$19="All trusts", Ind_inter_backfile!F7,Ind_inter_backfile!F17)</f>
        <v>1104583</v>
      </c>
      <c r="H25" s="645">
        <f>IF($B$19="All trusts", Ind_inter_backfile!G7,Ind_inter_backfile!G17)</f>
        <v>1099538</v>
      </c>
      <c r="I25" s="645">
        <f>IF($B$19="All trusts", Ind_inter_backfile!H7,Ind_inter_backfile!H17)</f>
        <v>1163635</v>
      </c>
    </row>
    <row r="26" spans="1:10" x14ac:dyDescent="0.25">
      <c r="B26" s="495" t="str">
        <f>IF($B$19="All trusts", Ind_inter_backfile!A8,Ind_inter_backfile!A18)</f>
        <v>Energy &amp; premises</v>
      </c>
      <c r="C26" s="645">
        <f>IF($B$19="All trusts", Ind_inter_backfile!B8,Ind_inter_backfile!B18)</f>
        <v>799962</v>
      </c>
      <c r="D26" s="645">
        <f>IF($B$19="All trusts", Ind_inter_backfile!C8,Ind_inter_backfile!C18)</f>
        <v>1031786</v>
      </c>
      <c r="E26" s="645">
        <f>IF($B$19="All trusts", Ind_inter_backfile!D8,Ind_inter_backfile!D18)</f>
        <v>1161463</v>
      </c>
      <c r="F26" s="645">
        <f>IF($B$19="All trusts", Ind_inter_backfile!E8,Ind_inter_backfile!E18)</f>
        <v>1279173</v>
      </c>
      <c r="G26" s="645">
        <f>IF($B$19="All trusts", Ind_inter_backfile!F8,Ind_inter_backfile!F18)</f>
        <v>1506901</v>
      </c>
      <c r="H26" s="645">
        <f>IF($B$19="All trusts", Ind_inter_backfile!G8,Ind_inter_backfile!G18)</f>
        <v>1289767</v>
      </c>
      <c r="I26" s="645">
        <f>IF($B$19="All trusts", Ind_inter_backfile!H8,Ind_inter_backfile!H18)</f>
        <v>1436318</v>
      </c>
    </row>
    <row r="27" spans="1:10" x14ac:dyDescent="0.25">
      <c r="B27" s="495" t="str">
        <f>IF($B$19="All trusts", Ind_inter_backfile!A9,Ind_inter_backfile!A19)</f>
        <v>External purchasing</v>
      </c>
      <c r="C27" s="645">
        <f>IF($B$19="All trusts", Ind_inter_backfile!B9,Ind_inter_backfile!B19)</f>
        <v>609215</v>
      </c>
      <c r="D27" s="645">
        <f>IF($B$19="All trusts", Ind_inter_backfile!C9,Ind_inter_backfile!C19)</f>
        <v>669508</v>
      </c>
      <c r="E27" s="645">
        <f>IF($B$19="All trusts", Ind_inter_backfile!D9,Ind_inter_backfile!D19)</f>
        <v>738923</v>
      </c>
      <c r="F27" s="645">
        <f>IF($B$19="All trusts", Ind_inter_backfile!E9,Ind_inter_backfile!E19)</f>
        <v>916352</v>
      </c>
      <c r="G27" s="645">
        <f>IF($B$19="All trusts", Ind_inter_backfile!F9,Ind_inter_backfile!F19)</f>
        <v>962768</v>
      </c>
      <c r="H27" s="645">
        <f>IF($B$19="All trusts", Ind_inter_backfile!G9,Ind_inter_backfile!G19)</f>
        <v>950531</v>
      </c>
      <c r="I27" s="645">
        <f>IF($B$19="All trusts", Ind_inter_backfile!H9,Ind_inter_backfile!H19)</f>
        <v>1061324</v>
      </c>
    </row>
    <row r="28" spans="1:10" x14ac:dyDescent="0.25">
      <c r="B28" s="495" t="str">
        <f>IF($B$19="All trusts", Ind_inter_backfile!A10,Ind_inter_backfile!A20)</f>
        <v>Miscellaneous</v>
      </c>
      <c r="C28" s="645">
        <f>IF($B$19="All trusts", Ind_inter_backfile!B10,Ind_inter_backfile!B20)</f>
        <v>888577</v>
      </c>
      <c r="D28" s="645">
        <f>IF($B$19="All trusts", Ind_inter_backfile!C10,Ind_inter_backfile!C20)</f>
        <v>1435572</v>
      </c>
      <c r="E28" s="645">
        <f>IF($B$19="All trusts", Ind_inter_backfile!D10,Ind_inter_backfile!D20)</f>
        <v>1612571</v>
      </c>
      <c r="F28" s="645">
        <f>IF($B$19="All trusts", Ind_inter_backfile!E10,Ind_inter_backfile!E20)</f>
        <v>1747727</v>
      </c>
      <c r="G28" s="645">
        <f>IF($B$19="All trusts", Ind_inter_backfile!F10,Ind_inter_backfile!F20)</f>
        <v>1852820</v>
      </c>
      <c r="H28" s="645">
        <f>IF($B$19="All trusts", Ind_inter_backfile!G10,Ind_inter_backfile!G20)</f>
        <v>2243732</v>
      </c>
      <c r="I28" s="645">
        <f>IF($B$19="All trusts", Ind_inter_backfile!H10,Ind_inter_backfile!H20)</f>
        <v>2506806</v>
      </c>
    </row>
    <row r="29" spans="1:10" ht="26.25" x14ac:dyDescent="0.25">
      <c r="B29" s="488" t="str">
        <f>IF($B$19="All trusts", Ind_inter_backfile!A11,Ind_inter_backfile!A21)</f>
        <v>Total intermediates</v>
      </c>
      <c r="C29" s="645">
        <f>IF($B$19="All trusts", Ind_inter_backfile!B11,Ind_inter_backfile!B21)</f>
        <v>6991023</v>
      </c>
      <c r="D29" s="645">
        <f>IF($B$19="All trusts", Ind_inter_backfile!C11,Ind_inter_backfile!C21)</f>
        <v>8214109</v>
      </c>
      <c r="E29" s="645">
        <f>IF($B$19="All trusts", Ind_inter_backfile!D11,Ind_inter_backfile!D21)</f>
        <v>8969197</v>
      </c>
      <c r="F29" s="645">
        <f>IF($B$19="All trusts", Ind_inter_backfile!E11,Ind_inter_backfile!E21)</f>
        <v>10132245</v>
      </c>
      <c r="G29" s="645">
        <f>IF($B$19="All trusts", Ind_inter_backfile!F11,Ind_inter_backfile!F21)</f>
        <v>11126240</v>
      </c>
      <c r="H29" s="645">
        <f>IF($B$19="All trusts", Ind_inter_backfile!G11,Ind_inter_backfile!G21)</f>
        <v>11841634</v>
      </c>
      <c r="I29" s="645">
        <f>IF($B$19="All trusts", Ind_inter_backfile!H11,Ind_inter_backfile!H21)</f>
        <v>12961219</v>
      </c>
    </row>
  </sheetData>
  <dataValidations count="2">
    <dataValidation type="list" allowBlank="1" showInputMessage="1" showErrorMessage="1" sqref="B19">
      <formula1>inter_prov</formula1>
    </dataValidation>
    <dataValidation allowBlank="1" showInputMessage="1" showErrorMessage="1" prompt="This includes data on purchases from non-NHS bodies as reported in the financial return" sqref="B27"/>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34"/>
  <sheetViews>
    <sheetView showGridLines="0" showRowColHeaders="0" topLeftCell="A7" zoomScaleNormal="100" workbookViewId="0">
      <selection activeCell="J17" sqref="J17"/>
    </sheetView>
  </sheetViews>
  <sheetFormatPr defaultRowHeight="15" x14ac:dyDescent="0.25"/>
  <sheetData>
    <row r="1" spans="1:9" x14ac:dyDescent="0.25">
      <c r="B1" s="231"/>
      <c r="C1" s="231"/>
      <c r="D1" s="231"/>
      <c r="E1" s="231"/>
    </row>
    <row r="4" spans="1:9" ht="34.5" x14ac:dyDescent="0.45">
      <c r="B4" s="270" t="s">
        <v>333</v>
      </c>
    </row>
    <row r="5" spans="1:9" ht="18" customHeight="1" x14ac:dyDescent="0.4">
      <c r="B5" s="2"/>
    </row>
    <row r="6" spans="1:9" ht="18" customHeight="1" x14ac:dyDescent="0.25">
      <c r="B6" s="8"/>
      <c r="C6" s="8"/>
    </row>
    <row r="7" spans="1:9" ht="18" customHeight="1" x14ac:dyDescent="0.4">
      <c r="B7" s="440" t="s">
        <v>334</v>
      </c>
      <c r="C7" s="441"/>
      <c r="D7" s="442"/>
      <c r="E7" s="442"/>
      <c r="F7" s="441"/>
      <c r="G7" s="441"/>
      <c r="H7" s="441"/>
      <c r="I7" s="441"/>
    </row>
    <row r="8" spans="1:9" ht="18" customHeight="1" x14ac:dyDescent="0.3">
      <c r="B8" s="443" t="s">
        <v>433</v>
      </c>
      <c r="C8" s="443"/>
      <c r="D8" s="444"/>
      <c r="E8" s="444"/>
      <c r="F8" s="444"/>
      <c r="G8" s="444"/>
      <c r="H8" s="441"/>
      <c r="I8" s="441"/>
    </row>
    <row r="9" spans="1:9" ht="18" customHeight="1" x14ac:dyDescent="0.35">
      <c r="A9" s="10"/>
      <c r="B9" s="445" t="s">
        <v>405</v>
      </c>
      <c r="C9" s="441"/>
      <c r="D9" s="444"/>
      <c r="E9" s="444"/>
      <c r="F9" s="444"/>
      <c r="G9" s="444"/>
      <c r="H9" s="441"/>
      <c r="I9" s="441"/>
    </row>
    <row r="10" spans="1:9" ht="18" customHeight="1" x14ac:dyDescent="0.35">
      <c r="A10" s="10"/>
      <c r="B10" s="8"/>
      <c r="C10" s="8"/>
      <c r="D10" s="11"/>
      <c r="E10" s="11"/>
      <c r="F10" s="10"/>
      <c r="G10" s="10"/>
    </row>
    <row r="11" spans="1:9" ht="18" customHeight="1" x14ac:dyDescent="0.4">
      <c r="A11" s="10"/>
      <c r="B11" s="233" t="s">
        <v>335</v>
      </c>
      <c r="C11" s="8"/>
      <c r="D11" s="1"/>
      <c r="E11" s="1"/>
    </row>
    <row r="12" spans="1:9" ht="18" customHeight="1" x14ac:dyDescent="0.4">
      <c r="A12" s="10"/>
      <c r="B12" s="272" t="s">
        <v>434</v>
      </c>
      <c r="C12" s="8"/>
      <c r="D12" s="1"/>
      <c r="E12" s="1"/>
    </row>
    <row r="13" spans="1:9" ht="18" customHeight="1" x14ac:dyDescent="0.3">
      <c r="B13" s="272" t="s">
        <v>452</v>
      </c>
      <c r="C13" s="272"/>
      <c r="D13" s="11"/>
      <c r="E13" s="11"/>
    </row>
    <row r="14" spans="1:9" ht="18" customHeight="1" x14ac:dyDescent="0.35">
      <c r="A14" s="10"/>
      <c r="B14" s="272" t="s">
        <v>406</v>
      </c>
      <c r="C14" s="8"/>
      <c r="D14" s="11"/>
      <c r="E14" s="11"/>
      <c r="H14" s="656" t="s">
        <v>550</v>
      </c>
    </row>
    <row r="15" spans="1:9" ht="18" customHeight="1" x14ac:dyDescent="0.35">
      <c r="A15" s="10"/>
      <c r="B15" s="8"/>
      <c r="C15" s="8"/>
      <c r="D15" s="11"/>
      <c r="E15" s="11"/>
    </row>
    <row r="16" spans="1:9" ht="18" customHeight="1" x14ac:dyDescent="0.4">
      <c r="A16" s="10"/>
      <c r="B16" s="8"/>
      <c r="C16" s="8"/>
      <c r="D16" s="1"/>
      <c r="E16" s="1"/>
    </row>
    <row r="17" spans="1:9" ht="18" customHeight="1" x14ac:dyDescent="0.4">
      <c r="A17" s="10"/>
      <c r="B17" s="233" t="s">
        <v>336</v>
      </c>
      <c r="C17" s="8"/>
      <c r="D17" s="1"/>
      <c r="E17" s="1"/>
    </row>
    <row r="18" spans="1:9" ht="18" customHeight="1" x14ac:dyDescent="0.4">
      <c r="B18" s="8" t="s">
        <v>435</v>
      </c>
      <c r="C18" s="8"/>
      <c r="D18" s="1"/>
      <c r="E18" s="1"/>
    </row>
    <row r="19" spans="1:9" ht="18" customHeight="1" x14ac:dyDescent="0.4">
      <c r="B19" s="1"/>
      <c r="C19" s="8"/>
      <c r="D19" s="1"/>
      <c r="E19" s="1"/>
    </row>
    <row r="20" spans="1:9" ht="18" customHeight="1" x14ac:dyDescent="0.4">
      <c r="B20" s="396" t="s">
        <v>402</v>
      </c>
      <c r="C20" s="1"/>
      <c r="D20" s="1"/>
      <c r="E20" s="1"/>
    </row>
    <row r="21" spans="1:9" ht="32.25" x14ac:dyDescent="0.4">
      <c r="C21" s="1"/>
      <c r="D21" s="1"/>
      <c r="E21" s="1"/>
    </row>
    <row r="24" spans="1:9" x14ac:dyDescent="0.25">
      <c r="I24" s="343"/>
    </row>
    <row r="26" spans="1:9" x14ac:dyDescent="0.25">
      <c r="I26" s="279" t="s">
        <v>348</v>
      </c>
    </row>
    <row r="30" spans="1:9" x14ac:dyDescent="0.25">
      <c r="C30" s="279" t="s">
        <v>436</v>
      </c>
    </row>
    <row r="32" spans="1:9" x14ac:dyDescent="0.25">
      <c r="B32" s="437"/>
    </row>
    <row r="33" spans="2:9" ht="44.25" x14ac:dyDescent="0.55000000000000004">
      <c r="B33" s="3"/>
    </row>
    <row r="34" spans="2:9" x14ac:dyDescent="0.25">
      <c r="I34" s="279" t="s">
        <v>401</v>
      </c>
    </row>
  </sheetData>
  <customSheetViews>
    <customSheetView guid="{9EA95E61-FCA5-4867-AEB4-B8C24058ACDD}" showGridLines="0" showRowCol="0">
      <selection activeCell="I8" sqref="I8"/>
      <pageMargins left="0.7" right="0.7" top="0.75" bottom="0.75" header="0.3" footer="0.3"/>
      <pageSetup paperSize="9" orientation="portrait" r:id="rId1"/>
    </customSheetView>
  </customSheetViews>
  <hyperlinks>
    <hyperlink ref="H14" r:id="rId2"/>
  </hyperlinks>
  <pageMargins left="0.7" right="0.7" top="0.75" bottom="0.75" header="0.3" footer="0.3"/>
  <pageSetup paperSize="9" orientation="portrait" r:id="rId3"/>
  <drawing r:id="rId4"/>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0"/>
  <sheetViews>
    <sheetView workbookViewId="0">
      <selection activeCell="A19" sqref="A19"/>
    </sheetView>
  </sheetViews>
  <sheetFormatPr defaultRowHeight="15" x14ac:dyDescent="0.25"/>
  <cols>
    <col min="1" max="1" width="50.140625" bestFit="1" customWidth="1"/>
    <col min="2" max="7" width="10.140625" bestFit="1" customWidth="1"/>
    <col min="8" max="8" width="11.5703125" bestFit="1" customWidth="1"/>
  </cols>
  <sheetData>
    <row r="1" spans="1:10" x14ac:dyDescent="0.25">
      <c r="A1" s="437" t="s">
        <v>457</v>
      </c>
    </row>
    <row r="2" spans="1:10" x14ac:dyDescent="0.25">
      <c r="A2" s="475"/>
      <c r="B2" s="476" t="s">
        <v>196</v>
      </c>
      <c r="C2" s="476" t="s">
        <v>197</v>
      </c>
      <c r="D2" s="476" t="s">
        <v>198</v>
      </c>
      <c r="E2" s="476" t="s">
        <v>199</v>
      </c>
      <c r="F2" s="476" t="s">
        <v>200</v>
      </c>
      <c r="G2" s="476" t="s">
        <v>6</v>
      </c>
      <c r="H2" s="477" t="s">
        <v>7</v>
      </c>
    </row>
    <row r="3" spans="1:10" x14ac:dyDescent="0.25">
      <c r="A3" s="478" t="s">
        <v>458</v>
      </c>
      <c r="B3" s="5"/>
      <c r="C3" s="5"/>
      <c r="D3" s="5"/>
      <c r="E3" s="5"/>
      <c r="F3" s="5"/>
      <c r="G3" s="5"/>
      <c r="H3" s="195"/>
    </row>
    <row r="4" spans="1:10" x14ac:dyDescent="0.25">
      <c r="A4" s="479" t="s">
        <v>459</v>
      </c>
      <c r="B4" s="374">
        <v>2591885</v>
      </c>
      <c r="C4" s="374">
        <v>2647598</v>
      </c>
      <c r="D4" s="374">
        <v>2814027</v>
      </c>
      <c r="E4" s="374">
        <v>3115381</v>
      </c>
      <c r="F4" s="374">
        <v>3460008</v>
      </c>
      <c r="G4" s="374">
        <v>3773131</v>
      </c>
      <c r="H4" s="480">
        <v>4111128</v>
      </c>
      <c r="J4" t="s">
        <v>279</v>
      </c>
    </row>
    <row r="5" spans="1:10" x14ac:dyDescent="0.25">
      <c r="A5" s="479" t="s">
        <v>460</v>
      </c>
      <c r="B5" s="374">
        <v>405985</v>
      </c>
      <c r="C5" s="374">
        <v>594689</v>
      </c>
      <c r="D5" s="374">
        <v>748493</v>
      </c>
      <c r="E5" s="374">
        <v>942142</v>
      </c>
      <c r="F5" s="374">
        <v>1119410</v>
      </c>
      <c r="G5" s="374">
        <v>1307254</v>
      </c>
      <c r="H5" s="480">
        <v>1455860</v>
      </c>
      <c r="J5" t="s">
        <v>56</v>
      </c>
    </row>
    <row r="6" spans="1:10" x14ac:dyDescent="0.25">
      <c r="A6" s="479" t="s">
        <v>461</v>
      </c>
      <c r="B6" s="374">
        <v>743426</v>
      </c>
      <c r="C6" s="374">
        <v>853397</v>
      </c>
      <c r="D6" s="374">
        <v>911504</v>
      </c>
      <c r="E6" s="374">
        <v>1045835</v>
      </c>
      <c r="F6" s="374">
        <v>1119750</v>
      </c>
      <c r="G6" s="374">
        <v>1177681</v>
      </c>
      <c r="H6" s="480">
        <v>1226148</v>
      </c>
    </row>
    <row r="7" spans="1:10" x14ac:dyDescent="0.25">
      <c r="A7" s="479" t="s">
        <v>462</v>
      </c>
      <c r="B7" s="374">
        <v>951971</v>
      </c>
      <c r="C7" s="374">
        <v>981559</v>
      </c>
      <c r="D7" s="374">
        <v>982216</v>
      </c>
      <c r="E7" s="374">
        <v>1085634</v>
      </c>
      <c r="F7" s="374">
        <v>1104583</v>
      </c>
      <c r="G7" s="374">
        <v>1099538</v>
      </c>
      <c r="H7" s="480">
        <v>1163635</v>
      </c>
    </row>
    <row r="8" spans="1:10" x14ac:dyDescent="0.25">
      <c r="A8" s="479" t="s">
        <v>463</v>
      </c>
      <c r="B8" s="374">
        <v>799962</v>
      </c>
      <c r="C8" s="374">
        <v>1031786</v>
      </c>
      <c r="D8" s="374">
        <v>1161463</v>
      </c>
      <c r="E8" s="374">
        <v>1279173</v>
      </c>
      <c r="F8" s="374">
        <v>1506901</v>
      </c>
      <c r="G8" s="374">
        <v>1289767</v>
      </c>
      <c r="H8" s="480">
        <v>1436318</v>
      </c>
    </row>
    <row r="9" spans="1:10" x14ac:dyDescent="0.25">
      <c r="A9" s="479" t="s">
        <v>464</v>
      </c>
      <c r="B9" s="374">
        <v>609215</v>
      </c>
      <c r="C9" s="374">
        <v>669508</v>
      </c>
      <c r="D9" s="374">
        <v>738923</v>
      </c>
      <c r="E9" s="374">
        <v>916352</v>
      </c>
      <c r="F9" s="374">
        <v>962768</v>
      </c>
      <c r="G9" s="374">
        <v>950531</v>
      </c>
      <c r="H9" s="480">
        <v>1061324</v>
      </c>
    </row>
    <row r="10" spans="1:10" x14ac:dyDescent="0.25">
      <c r="A10" s="479" t="s">
        <v>465</v>
      </c>
      <c r="B10" s="374">
        <v>888577</v>
      </c>
      <c r="C10" s="374">
        <v>1435572</v>
      </c>
      <c r="D10" s="374">
        <v>1612571</v>
      </c>
      <c r="E10" s="374">
        <v>1747727</v>
      </c>
      <c r="F10" s="374">
        <v>1852820</v>
      </c>
      <c r="G10" s="374">
        <v>2243732</v>
      </c>
      <c r="H10" s="480">
        <v>2506806</v>
      </c>
    </row>
    <row r="11" spans="1:10" x14ac:dyDescent="0.25">
      <c r="A11" s="478" t="s">
        <v>470</v>
      </c>
      <c r="B11" s="481">
        <v>6991023</v>
      </c>
      <c r="C11" s="481">
        <v>8214109</v>
      </c>
      <c r="D11" s="481">
        <v>8969197</v>
      </c>
      <c r="E11" s="481">
        <v>10132245</v>
      </c>
      <c r="F11" s="481">
        <v>11126240</v>
      </c>
      <c r="G11" s="481">
        <v>11841634</v>
      </c>
      <c r="H11" s="482">
        <v>12961219</v>
      </c>
    </row>
    <row r="12" spans="1:10" x14ac:dyDescent="0.25">
      <c r="A12" s="479"/>
      <c r="B12" s="5"/>
      <c r="C12" s="5"/>
      <c r="D12" s="5"/>
      <c r="E12" s="5"/>
      <c r="F12" s="5"/>
      <c r="G12" s="5"/>
      <c r="H12" s="195"/>
    </row>
    <row r="13" spans="1:10" x14ac:dyDescent="0.25">
      <c r="A13" s="478" t="s">
        <v>56</v>
      </c>
      <c r="B13" s="5"/>
      <c r="C13" s="5"/>
      <c r="D13" s="5"/>
      <c r="E13" s="5"/>
      <c r="F13" s="5"/>
      <c r="G13" s="5"/>
      <c r="H13" s="195"/>
    </row>
    <row r="14" spans="1:10" x14ac:dyDescent="0.25">
      <c r="A14" s="479" t="s">
        <v>459</v>
      </c>
      <c r="B14" s="374">
        <v>56869</v>
      </c>
      <c r="C14" s="374">
        <v>113846</v>
      </c>
      <c r="D14" s="374">
        <v>139378</v>
      </c>
      <c r="E14" s="374">
        <v>170870</v>
      </c>
      <c r="F14" s="374">
        <v>187408</v>
      </c>
      <c r="G14" s="374">
        <v>200988</v>
      </c>
      <c r="H14" s="480">
        <v>186145</v>
      </c>
    </row>
    <row r="15" spans="1:10" x14ac:dyDescent="0.25">
      <c r="A15" s="479" t="s">
        <v>460</v>
      </c>
      <c r="B15" s="374">
        <v>67404</v>
      </c>
      <c r="C15" s="374">
        <v>86998</v>
      </c>
      <c r="D15" s="374">
        <v>73611</v>
      </c>
      <c r="E15" s="374">
        <v>95094</v>
      </c>
      <c r="F15" s="374">
        <v>120947</v>
      </c>
      <c r="G15" s="374">
        <v>124955</v>
      </c>
      <c r="H15" s="480">
        <v>129315</v>
      </c>
    </row>
    <row r="16" spans="1:10" x14ac:dyDescent="0.25">
      <c r="A16" s="479" t="s">
        <v>461</v>
      </c>
      <c r="B16" s="374">
        <v>125328</v>
      </c>
      <c r="C16" s="374">
        <v>150141</v>
      </c>
      <c r="D16" s="374">
        <v>152845</v>
      </c>
      <c r="E16" s="374">
        <v>152477</v>
      </c>
      <c r="F16" s="374">
        <v>174110</v>
      </c>
      <c r="G16" s="374">
        <v>183420</v>
      </c>
      <c r="H16" s="480">
        <v>165530</v>
      </c>
    </row>
    <row r="17" spans="1:8" x14ac:dyDescent="0.25">
      <c r="A17" s="479" t="s">
        <v>462</v>
      </c>
      <c r="B17" s="374">
        <v>426848</v>
      </c>
      <c r="C17" s="374">
        <v>444423</v>
      </c>
      <c r="D17" s="374">
        <v>424533</v>
      </c>
      <c r="E17" s="374">
        <v>480041</v>
      </c>
      <c r="F17" s="374">
        <v>559159</v>
      </c>
      <c r="G17" s="374">
        <v>584065</v>
      </c>
      <c r="H17" s="480">
        <v>501123</v>
      </c>
    </row>
    <row r="18" spans="1:8" x14ac:dyDescent="0.25">
      <c r="A18" s="479" t="s">
        <v>463</v>
      </c>
      <c r="B18" s="374">
        <v>184047</v>
      </c>
      <c r="C18" s="374">
        <v>266208</v>
      </c>
      <c r="D18" s="374">
        <v>355355</v>
      </c>
      <c r="E18" s="374">
        <v>431229</v>
      </c>
      <c r="F18" s="374">
        <v>517808</v>
      </c>
      <c r="G18" s="374">
        <v>476204</v>
      </c>
      <c r="H18" s="480">
        <v>466498</v>
      </c>
    </row>
    <row r="19" spans="1:8" x14ac:dyDescent="0.25">
      <c r="A19" s="479" t="s">
        <v>480</v>
      </c>
      <c r="B19" s="225">
        <v>3392397</v>
      </c>
      <c r="C19" s="225">
        <v>4167900</v>
      </c>
      <c r="D19" s="225">
        <v>4726131</v>
      </c>
      <c r="E19" s="225">
        <v>5849763</v>
      </c>
      <c r="F19" s="225">
        <v>6660276</v>
      </c>
      <c r="G19" s="225">
        <v>7701685</v>
      </c>
      <c r="H19" s="225">
        <v>8372110</v>
      </c>
    </row>
    <row r="20" spans="1:8" x14ac:dyDescent="0.25">
      <c r="A20" s="479" t="s">
        <v>465</v>
      </c>
      <c r="B20" s="374">
        <v>679358</v>
      </c>
      <c r="C20" s="374">
        <v>703698</v>
      </c>
      <c r="D20" s="374">
        <v>920175</v>
      </c>
      <c r="E20" s="374">
        <v>1148231</v>
      </c>
      <c r="F20" s="374">
        <v>729554</v>
      </c>
      <c r="G20" s="374">
        <v>792681</v>
      </c>
      <c r="H20" s="480">
        <v>1053120</v>
      </c>
    </row>
    <row r="21" spans="1:8" x14ac:dyDescent="0.25">
      <c r="A21" s="478" t="s">
        <v>470</v>
      </c>
      <c r="B21" s="481">
        <f>SUM(B14:B20)</f>
        <v>4932251</v>
      </c>
      <c r="C21" s="481">
        <f t="shared" ref="C21:H21" si="0">SUM(C14:C20)</f>
        <v>5933214</v>
      </c>
      <c r="D21" s="481">
        <f t="shared" si="0"/>
        <v>6792028</v>
      </c>
      <c r="E21" s="481">
        <f t="shared" si="0"/>
        <v>8327705</v>
      </c>
      <c r="F21" s="481">
        <f t="shared" si="0"/>
        <v>8949262</v>
      </c>
      <c r="G21" s="481">
        <f t="shared" si="0"/>
        <v>10063998</v>
      </c>
      <c r="H21" s="481">
        <f t="shared" si="0"/>
        <v>10873841</v>
      </c>
    </row>
    <row r="22" spans="1:8" x14ac:dyDescent="0.25">
      <c r="A22" s="479"/>
      <c r="B22" s="5"/>
      <c r="C22" s="5"/>
      <c r="D22" s="5"/>
      <c r="E22" s="5"/>
      <c r="F22" s="5"/>
      <c r="G22" s="5"/>
      <c r="H22" s="195"/>
    </row>
    <row r="23" spans="1:8" x14ac:dyDescent="0.25">
      <c r="A23" s="478" t="s">
        <v>466</v>
      </c>
      <c r="B23" s="481">
        <v>58721</v>
      </c>
      <c r="C23" s="481">
        <v>67368</v>
      </c>
      <c r="D23" s="481">
        <v>72493</v>
      </c>
      <c r="E23" s="481">
        <v>94749</v>
      </c>
      <c r="F23" s="481">
        <v>109351</v>
      </c>
      <c r="G23" s="481">
        <v>111812</v>
      </c>
      <c r="H23" s="482">
        <v>96254</v>
      </c>
    </row>
    <row r="24" spans="1:8" x14ac:dyDescent="0.25">
      <c r="A24" s="479"/>
      <c r="B24" s="5"/>
      <c r="C24" s="5"/>
      <c r="D24" s="5"/>
      <c r="E24" s="5"/>
      <c r="F24" s="5"/>
      <c r="G24" s="5"/>
      <c r="H24" s="195"/>
    </row>
    <row r="25" spans="1:8" x14ac:dyDescent="0.25">
      <c r="A25" s="483" t="s">
        <v>467</v>
      </c>
      <c r="B25" s="484">
        <f>SUM(B11,B21,B23)</f>
        <v>11981995</v>
      </c>
      <c r="C25" s="484">
        <f t="shared" ref="C25:H25" si="1">SUM(C11,C21,C23)</f>
        <v>14214691</v>
      </c>
      <c r="D25" s="484">
        <f t="shared" si="1"/>
        <v>15833718</v>
      </c>
      <c r="E25" s="484">
        <f t="shared" si="1"/>
        <v>18554699</v>
      </c>
      <c r="F25" s="484">
        <f t="shared" si="1"/>
        <v>20184853</v>
      </c>
      <c r="G25" s="484">
        <f t="shared" si="1"/>
        <v>22017444</v>
      </c>
      <c r="H25" s="484">
        <f t="shared" si="1"/>
        <v>23931314</v>
      </c>
    </row>
    <row r="27" spans="1:8" x14ac:dyDescent="0.25">
      <c r="B27" s="225">
        <f>SUM(B25,B39)</f>
        <v>12038378</v>
      </c>
      <c r="C27" s="225">
        <f t="shared" ref="C27:H27" si="2">SUM(C25,C39)</f>
        <v>14286291</v>
      </c>
      <c r="D27" s="225">
        <f t="shared" si="2"/>
        <v>15908101</v>
      </c>
      <c r="E27" s="225">
        <f t="shared" si="2"/>
        <v>18691565</v>
      </c>
      <c r="F27" s="225">
        <f t="shared" si="2"/>
        <v>20422477</v>
      </c>
      <c r="G27" s="225">
        <f t="shared" si="2"/>
        <v>22278591</v>
      </c>
      <c r="H27" s="225">
        <f t="shared" si="2"/>
        <v>24068224</v>
      </c>
    </row>
    <row r="29" spans="1:8" ht="15.75" thickBot="1" x14ac:dyDescent="0.3"/>
    <row r="30" spans="1:8" ht="15.75" thickBot="1" x14ac:dyDescent="0.3">
      <c r="B30" s="496">
        <v>3336014</v>
      </c>
      <c r="C30" s="497">
        <v>4096300</v>
      </c>
      <c r="D30" s="497">
        <v>4651748</v>
      </c>
      <c r="E30" s="497">
        <v>5712897</v>
      </c>
      <c r="F30" s="497">
        <v>6422652</v>
      </c>
      <c r="G30" s="497">
        <v>7440538</v>
      </c>
      <c r="H30" s="497">
        <v>8235200</v>
      </c>
    </row>
    <row r="31" spans="1:8" ht="15.75" thickBot="1" x14ac:dyDescent="0.3">
      <c r="B31" s="498">
        <v>15039</v>
      </c>
      <c r="C31" s="499">
        <v>19551</v>
      </c>
      <c r="D31" s="499">
        <v>47539</v>
      </c>
      <c r="E31" s="499">
        <v>134712</v>
      </c>
      <c r="F31" s="499">
        <v>222702</v>
      </c>
      <c r="G31" s="499">
        <v>240194</v>
      </c>
      <c r="H31" s="499">
        <v>242469</v>
      </c>
    </row>
    <row r="32" spans="1:8" ht="15.75" thickBot="1" x14ac:dyDescent="0.3">
      <c r="B32" s="498">
        <v>344254</v>
      </c>
      <c r="C32" s="499">
        <v>319231</v>
      </c>
      <c r="D32" s="499">
        <v>292770</v>
      </c>
      <c r="E32" s="499">
        <v>294919</v>
      </c>
      <c r="F32" s="499">
        <v>236863</v>
      </c>
      <c r="G32" s="499">
        <v>199563</v>
      </c>
      <c r="H32" s="499">
        <v>218440</v>
      </c>
    </row>
    <row r="35" spans="2:8" x14ac:dyDescent="0.25">
      <c r="B35" s="374">
        <v>168392</v>
      </c>
      <c r="C35" s="374">
        <v>224553</v>
      </c>
      <c r="D35" s="374">
        <v>271140</v>
      </c>
      <c r="E35" s="374">
        <v>331264</v>
      </c>
      <c r="F35" s="374">
        <v>467227</v>
      </c>
      <c r="G35" s="374">
        <v>595314</v>
      </c>
      <c r="H35" s="480">
        <v>518405</v>
      </c>
    </row>
    <row r="36" spans="2:8" ht="15.75" thickBot="1" x14ac:dyDescent="0.3"/>
    <row r="37" spans="2:8" ht="15.75" thickBot="1" x14ac:dyDescent="0.3">
      <c r="B37" s="496">
        <v>112009</v>
      </c>
      <c r="C37" s="497">
        <v>152953</v>
      </c>
      <c r="D37" s="497">
        <v>196757</v>
      </c>
      <c r="E37" s="497">
        <v>194398</v>
      </c>
      <c r="F37" s="497">
        <v>229603</v>
      </c>
      <c r="G37" s="497">
        <v>334167</v>
      </c>
      <c r="H37" s="497">
        <v>381495</v>
      </c>
    </row>
    <row r="39" spans="2:8" x14ac:dyDescent="0.25">
      <c r="B39" s="225">
        <f>B35-B37</f>
        <v>56383</v>
      </c>
      <c r="C39" s="225">
        <f t="shared" ref="C39:H39" si="3">C35-C37</f>
        <v>71600</v>
      </c>
      <c r="D39" s="225">
        <f t="shared" si="3"/>
        <v>74383</v>
      </c>
      <c r="E39" s="225">
        <f t="shared" si="3"/>
        <v>136866</v>
      </c>
      <c r="F39" s="225">
        <f t="shared" si="3"/>
        <v>237624</v>
      </c>
      <c r="G39" s="225">
        <f t="shared" si="3"/>
        <v>261147</v>
      </c>
      <c r="H39" s="225">
        <f t="shared" si="3"/>
        <v>136910</v>
      </c>
    </row>
    <row r="40" spans="2:8" x14ac:dyDescent="0.25">
      <c r="B40" s="225">
        <f>B30+B39</f>
        <v>3392397</v>
      </c>
      <c r="C40" s="225">
        <f t="shared" ref="C40:H40" si="4">C30+C39</f>
        <v>4167900</v>
      </c>
      <c r="D40" s="225">
        <f t="shared" si="4"/>
        <v>4726131</v>
      </c>
      <c r="E40" s="225">
        <f t="shared" si="4"/>
        <v>5849763</v>
      </c>
      <c r="F40" s="225">
        <f t="shared" si="4"/>
        <v>6660276</v>
      </c>
      <c r="G40" s="225">
        <f t="shared" si="4"/>
        <v>7701685</v>
      </c>
      <c r="H40" s="225">
        <f t="shared" si="4"/>
        <v>8372110</v>
      </c>
    </row>
  </sheetData>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dimension ref="A1:K60"/>
  <sheetViews>
    <sheetView showGridLines="0" showRowColHeaders="0" topLeftCell="A28" zoomScaleNormal="100" workbookViewId="0">
      <selection activeCell="L25" sqref="L25"/>
    </sheetView>
  </sheetViews>
  <sheetFormatPr defaultRowHeight="15" x14ac:dyDescent="0.25"/>
  <cols>
    <col min="2" max="2" width="24.5703125" customWidth="1"/>
    <col min="3" max="9" width="14.5703125" customWidth="1"/>
  </cols>
  <sheetData>
    <row r="1" spans="1:10" x14ac:dyDescent="0.25">
      <c r="B1" s="231"/>
      <c r="C1" s="231"/>
      <c r="D1" s="231"/>
      <c r="E1" s="231"/>
    </row>
    <row r="2" spans="1:10" x14ac:dyDescent="0.25">
      <c r="B2" s="231"/>
      <c r="C2" s="231"/>
      <c r="D2" s="231"/>
      <c r="E2" s="231"/>
    </row>
    <row r="4" spans="1:10" ht="30" x14ac:dyDescent="0.4">
      <c r="B4" s="2" t="s">
        <v>241</v>
      </c>
    </row>
    <row r="5" spans="1:10" ht="18" customHeight="1" x14ac:dyDescent="0.75">
      <c r="B5" s="4"/>
    </row>
    <row r="6" spans="1:10" ht="18" customHeight="1" x14ac:dyDescent="0.25">
      <c r="B6" s="280" t="s">
        <v>411</v>
      </c>
      <c r="C6" s="281"/>
      <c r="D6" s="281"/>
      <c r="E6" s="281"/>
      <c r="F6" s="281"/>
      <c r="G6" s="281"/>
      <c r="H6" s="281"/>
      <c r="I6" s="281"/>
    </row>
    <row r="7" spans="1:10" ht="18" customHeight="1" x14ac:dyDescent="0.25">
      <c r="A7" s="262">
        <v>2</v>
      </c>
      <c r="B7" s="283" t="s">
        <v>479</v>
      </c>
      <c r="C7" s="330"/>
      <c r="D7" s="494"/>
      <c r="E7" s="494"/>
      <c r="F7" s="281"/>
      <c r="G7" s="281"/>
      <c r="H7" s="281"/>
      <c r="I7" s="281"/>
    </row>
    <row r="8" spans="1:10" ht="18" customHeight="1" x14ac:dyDescent="0.25">
      <c r="B8" s="280"/>
      <c r="C8" s="279"/>
      <c r="D8" s="281"/>
      <c r="E8" s="281"/>
      <c r="F8" s="281"/>
      <c r="G8" s="281"/>
      <c r="H8" s="281"/>
      <c r="I8" s="281"/>
    </row>
    <row r="9" spans="1:10" ht="18" customHeight="1" x14ac:dyDescent="0.25">
      <c r="B9" s="280"/>
      <c r="C9" s="279"/>
      <c r="D9" s="281"/>
      <c r="E9" s="281"/>
      <c r="F9" s="281"/>
      <c r="G9" s="281"/>
      <c r="H9" s="281"/>
      <c r="I9" s="281"/>
    </row>
    <row r="10" spans="1:10" ht="18" customHeight="1" x14ac:dyDescent="0.25">
      <c r="B10" s="280"/>
      <c r="C10" s="279"/>
      <c r="D10" s="281"/>
      <c r="E10" s="281"/>
      <c r="F10" s="281"/>
      <c r="G10" s="281"/>
      <c r="H10" s="281"/>
      <c r="I10" s="281"/>
    </row>
    <row r="11" spans="1:10" ht="18" customHeight="1" x14ac:dyDescent="0.25">
      <c r="B11" s="289"/>
      <c r="C11" s="290"/>
      <c r="D11" s="290"/>
      <c r="E11" s="289"/>
      <c r="F11" s="289"/>
      <c r="G11" s="289"/>
      <c r="H11" s="289"/>
      <c r="I11" s="291"/>
    </row>
    <row r="12" spans="1:10" ht="18" customHeight="1" x14ac:dyDescent="0.25">
      <c r="A12" s="366"/>
      <c r="B12" s="415"/>
      <c r="C12" s="299" t="s">
        <v>196</v>
      </c>
      <c r="D12" s="299" t="s">
        <v>197</v>
      </c>
      <c r="E12" s="299" t="s">
        <v>198</v>
      </c>
      <c r="F12" s="299" t="s">
        <v>199</v>
      </c>
      <c r="G12" s="416" t="s">
        <v>200</v>
      </c>
      <c r="H12" s="416" t="s">
        <v>6</v>
      </c>
      <c r="I12" s="417" t="s">
        <v>7</v>
      </c>
      <c r="J12" s="5"/>
    </row>
    <row r="13" spans="1:10" ht="18" customHeight="1" x14ac:dyDescent="0.25">
      <c r="A13" s="366"/>
      <c r="B13" s="432" t="s">
        <v>410</v>
      </c>
      <c r="C13" s="429"/>
      <c r="D13" s="429"/>
      <c r="E13" s="429"/>
      <c r="F13" s="429"/>
      <c r="G13" s="430"/>
      <c r="H13" s="430"/>
      <c r="I13" s="431"/>
      <c r="J13" s="5"/>
    </row>
    <row r="14" spans="1:10" ht="18" customHeight="1" x14ac:dyDescent="0.25">
      <c r="B14" s="418" t="s">
        <v>219</v>
      </c>
      <c r="C14" s="630">
        <v>31334252.480110005</v>
      </c>
      <c r="D14" s="630">
        <v>33926746.314999998</v>
      </c>
      <c r="E14" s="630">
        <v>35177509.125</v>
      </c>
      <c r="F14" s="630">
        <v>36539983.701629996</v>
      </c>
      <c r="G14" s="631">
        <v>39213453.649081036</v>
      </c>
      <c r="H14" s="631">
        <v>42145100.102129996</v>
      </c>
      <c r="I14" s="632">
        <v>43513839</v>
      </c>
      <c r="J14" s="5"/>
    </row>
    <row r="15" spans="1:10" ht="18" customHeight="1" x14ac:dyDescent="0.25">
      <c r="B15" s="418" t="s">
        <v>220</v>
      </c>
      <c r="C15" s="630">
        <v>1557282.4487299998</v>
      </c>
      <c r="D15" s="630">
        <v>1459935.5</v>
      </c>
      <c r="E15" s="630">
        <v>1185244</v>
      </c>
      <c r="F15" s="630">
        <v>1354520.29837</v>
      </c>
      <c r="G15" s="631">
        <v>1895451.8837600001</v>
      </c>
      <c r="H15" s="631">
        <v>2195295.3909299998</v>
      </c>
      <c r="I15" s="633">
        <v>2127889</v>
      </c>
      <c r="J15" s="5"/>
    </row>
    <row r="16" spans="1:10" ht="18" customHeight="1" x14ac:dyDescent="0.25">
      <c r="B16" s="418" t="str">
        <f>IF($A$7=1, 'Inputs index (2)'!B16,'Inputs index (2)'!B17)</f>
        <v>Intermediates (RC)</v>
      </c>
      <c r="C16" s="634">
        <f>IF($A$7=1, 'Inputs index (2)'!C16,'Inputs index (2)'!C17)</f>
        <v>8757990</v>
      </c>
      <c r="D16" s="634">
        <f>IF($A$7=1, 'Inputs index (2)'!D16,'Inputs index (2)'!D17)</f>
        <v>10271344</v>
      </c>
      <c r="E16" s="634">
        <f>IF($A$7=1, 'Inputs index (2)'!E16,'Inputs index (2)'!E17)</f>
        <v>11378727</v>
      </c>
      <c r="F16" s="634">
        <f>IF($A$7=1, 'Inputs index (2)'!F16,'Inputs index (2)'!F17)</f>
        <v>13036200</v>
      </c>
      <c r="G16" s="634">
        <f>IF($A$7=1, 'Inputs index (2)'!G16,'Inputs index (2)'!G17)</f>
        <v>13991803</v>
      </c>
      <c r="H16" s="634">
        <f>IF($A$7=1, 'Inputs index (2)'!H16,'Inputs index (2)'!H17)</f>
        <v>14911074</v>
      </c>
      <c r="I16" s="634">
        <f>IF($A$7=1, 'Inputs index (2)'!I16,'Inputs index (2)'!I17)</f>
        <v>16077609</v>
      </c>
      <c r="J16" s="5"/>
    </row>
    <row r="17" spans="1:11" ht="18" customHeight="1" x14ac:dyDescent="0.25">
      <c r="B17" s="418" t="s">
        <v>47</v>
      </c>
      <c r="C17" s="630">
        <v>5115514.2809764491</v>
      </c>
      <c r="D17" s="630">
        <v>5839664.3710000003</v>
      </c>
      <c r="E17" s="630">
        <v>6568362.6799999997</v>
      </c>
      <c r="F17" s="630">
        <v>7784592.0729</v>
      </c>
      <c r="G17" s="631">
        <v>7426030.9178999998</v>
      </c>
      <c r="H17" s="631">
        <v>7635390.1285600001</v>
      </c>
      <c r="I17" s="633">
        <v>8025361</v>
      </c>
      <c r="J17" s="5"/>
    </row>
    <row r="18" spans="1:11" ht="18" customHeight="1" x14ac:dyDescent="0.25">
      <c r="B18" s="418" t="s">
        <v>140</v>
      </c>
      <c r="C18" s="630">
        <v>8094174.9440000001</v>
      </c>
      <c r="D18" s="630">
        <v>8013483.2259999998</v>
      </c>
      <c r="E18" s="630">
        <v>8250323.8930000002</v>
      </c>
      <c r="F18" s="630">
        <v>8303500.9179999996</v>
      </c>
      <c r="G18" s="631">
        <v>8376264.432</v>
      </c>
      <c r="H18" s="631">
        <v>8621421.1300000008</v>
      </c>
      <c r="I18" s="633">
        <v>8880735.3440000005</v>
      </c>
      <c r="J18" s="5"/>
    </row>
    <row r="19" spans="1:11" ht="18" customHeight="1" x14ac:dyDescent="0.25">
      <c r="B19" s="418" t="s">
        <v>222</v>
      </c>
      <c r="C19" s="630">
        <v>9569836</v>
      </c>
      <c r="D19" s="630">
        <v>11162141</v>
      </c>
      <c r="E19" s="633">
        <v>11209422</v>
      </c>
      <c r="F19" s="633">
        <v>11697639</v>
      </c>
      <c r="G19" s="633">
        <v>12074672</v>
      </c>
      <c r="H19" s="633">
        <v>12683418</v>
      </c>
      <c r="I19" s="633">
        <v>12962081</v>
      </c>
      <c r="J19" s="5"/>
    </row>
    <row r="20" spans="1:11" ht="18" customHeight="1" x14ac:dyDescent="0.25">
      <c r="A20" s="5"/>
      <c r="B20" s="418" t="s">
        <v>392</v>
      </c>
      <c r="C20" s="630">
        <v>278000</v>
      </c>
      <c r="D20" s="630">
        <v>262000</v>
      </c>
      <c r="E20" s="633">
        <v>229000</v>
      </c>
      <c r="F20" s="633">
        <v>226000</v>
      </c>
      <c r="G20" s="633">
        <v>242958</v>
      </c>
      <c r="H20" s="633">
        <v>241608</v>
      </c>
      <c r="I20" s="633">
        <v>212245</v>
      </c>
      <c r="J20" s="5"/>
    </row>
    <row r="21" spans="1:11" ht="18" customHeight="1" x14ac:dyDescent="0.25">
      <c r="A21" s="5"/>
      <c r="B21" s="418" t="s">
        <v>224</v>
      </c>
      <c r="C21" s="635">
        <f>SUM(C14:C20)</f>
        <v>64707050.153816454</v>
      </c>
      <c r="D21" s="635">
        <f t="shared" ref="D21:I21" si="0">SUM(D14:D20)</f>
        <v>70935314.412</v>
      </c>
      <c r="E21" s="635">
        <f t="shared" si="0"/>
        <v>73998588.697999999</v>
      </c>
      <c r="F21" s="635">
        <f t="shared" si="0"/>
        <v>78942435.990899995</v>
      </c>
      <c r="G21" s="635">
        <f t="shared" si="0"/>
        <v>83220633.882741034</v>
      </c>
      <c r="H21" s="635">
        <f t="shared" si="0"/>
        <v>88433306.751619995</v>
      </c>
      <c r="I21" s="635">
        <f t="shared" si="0"/>
        <v>91799759.343999997</v>
      </c>
      <c r="J21" s="5"/>
    </row>
    <row r="22" spans="1:11" ht="18" customHeight="1" x14ac:dyDescent="0.25">
      <c r="A22" s="5"/>
      <c r="B22" s="418"/>
      <c r="C22" s="635"/>
      <c r="D22" s="635"/>
      <c r="E22" s="633"/>
      <c r="F22" s="633"/>
      <c r="G22" s="633"/>
      <c r="H22" s="633"/>
      <c r="I22" s="633"/>
      <c r="J22" s="5"/>
    </row>
    <row r="23" spans="1:11" ht="18" customHeight="1" x14ac:dyDescent="0.25">
      <c r="A23" s="5"/>
      <c r="B23" s="419" t="s">
        <v>409</v>
      </c>
      <c r="C23" s="635"/>
      <c r="D23" s="635"/>
      <c r="E23" s="633"/>
      <c r="F23" s="633"/>
      <c r="G23" s="633"/>
      <c r="H23" s="633"/>
      <c r="I23" s="633"/>
      <c r="J23" s="5"/>
    </row>
    <row r="24" spans="1:11" ht="18" customHeight="1" x14ac:dyDescent="0.25">
      <c r="A24" s="5"/>
      <c r="B24" s="274" t="s">
        <v>219</v>
      </c>
      <c r="C24" s="636">
        <v>38212088</v>
      </c>
      <c r="D24" s="636">
        <v>39516362</v>
      </c>
      <c r="E24" s="633">
        <v>39359457</v>
      </c>
      <c r="F24" s="633">
        <v>39525586</v>
      </c>
      <c r="G24" s="633">
        <v>41200614</v>
      </c>
      <c r="H24" s="633">
        <v>43406879</v>
      </c>
      <c r="I24" s="633">
        <v>43513839</v>
      </c>
      <c r="J24" s="5"/>
    </row>
    <row r="25" spans="1:11" ht="18" customHeight="1" x14ac:dyDescent="0.3">
      <c r="B25" s="274" t="s">
        <v>220</v>
      </c>
      <c r="C25" s="636">
        <v>1669078</v>
      </c>
      <c r="D25" s="636">
        <v>1440740</v>
      </c>
      <c r="E25" s="636">
        <v>1089513</v>
      </c>
      <c r="F25" s="636">
        <v>1305572</v>
      </c>
      <c r="G25" s="636">
        <v>1988902</v>
      </c>
      <c r="H25" s="636">
        <v>2373791</v>
      </c>
      <c r="I25" s="636">
        <v>2127889</v>
      </c>
      <c r="K25" s="246"/>
    </row>
    <row r="26" spans="1:11" ht="18" customHeight="1" x14ac:dyDescent="0.3">
      <c r="B26" s="418" t="str">
        <f>IF($A$7=1, 'Inputs index (2)'!B27,'Inputs index (2)'!B28)</f>
        <v>Intermediates (RC)</v>
      </c>
      <c r="C26" s="634">
        <f>IF($A$7=1, 'Inputs index (2)'!C27,'Inputs index (2)'!C28)</f>
        <v>8908327</v>
      </c>
      <c r="D26" s="634">
        <f>IF($A$7=1, 'Inputs index (2)'!D27,'Inputs index (2)'!D28)</f>
        <v>10650038</v>
      </c>
      <c r="E26" s="634">
        <f>IF($A$7=1, 'Inputs index (2)'!E27,'Inputs index (2)'!E28)</f>
        <v>11640863</v>
      </c>
      <c r="F26" s="634">
        <f>IF($A$7=1, 'Inputs index (2)'!F27,'Inputs index (2)'!F28)</f>
        <v>13367264.856002657</v>
      </c>
      <c r="G26" s="634">
        <f>IF($A$7=1, 'Inputs index (2)'!G27,'Inputs index (2)'!G28)</f>
        <v>14140508.469508</v>
      </c>
      <c r="H26" s="634">
        <f>IF($A$7=1, 'Inputs index (2)'!H27,'Inputs index (2)'!H28)</f>
        <v>15427876.675999999</v>
      </c>
      <c r="I26" s="634">
        <f>IF($A$7=1, 'Inputs index (2)'!I27,'Inputs index (2)'!I28)</f>
        <v>16077604</v>
      </c>
      <c r="K26" s="246"/>
    </row>
    <row r="27" spans="1:11" ht="18" customHeight="1" x14ac:dyDescent="0.3">
      <c r="B27" s="424" t="s">
        <v>47</v>
      </c>
      <c r="C27" s="636">
        <v>3308036</v>
      </c>
      <c r="D27" s="636">
        <v>3578676</v>
      </c>
      <c r="E27" s="636">
        <v>4190683</v>
      </c>
      <c r="F27" s="636">
        <v>4292293</v>
      </c>
      <c r="G27" s="636">
        <v>3994568</v>
      </c>
      <c r="H27" s="636">
        <v>3958031</v>
      </c>
      <c r="I27" s="636">
        <v>3893374</v>
      </c>
      <c r="J27" s="5"/>
      <c r="K27" s="246"/>
    </row>
    <row r="28" spans="1:11" ht="18" customHeight="1" x14ac:dyDescent="0.3">
      <c r="B28" s="424" t="s">
        <v>140</v>
      </c>
      <c r="C28" s="636">
        <v>5931102.0326811802</v>
      </c>
      <c r="D28" s="636">
        <v>6514497.3790748697</v>
      </c>
      <c r="E28" s="636">
        <v>6944132.5587071804</v>
      </c>
      <c r="F28" s="636">
        <v>7454440.1813448202</v>
      </c>
      <c r="G28" s="636">
        <v>7927564.2930153301</v>
      </c>
      <c r="H28" s="636">
        <v>8477306.9124877099</v>
      </c>
      <c r="I28" s="636">
        <v>8880735.3440000005</v>
      </c>
      <c r="J28" s="5"/>
      <c r="K28" s="246"/>
    </row>
    <row r="29" spans="1:11" ht="18" customHeight="1" x14ac:dyDescent="0.3">
      <c r="B29" s="424" t="s">
        <v>222</v>
      </c>
      <c r="C29" s="636">
        <v>11670404.906738559</v>
      </c>
      <c r="D29" s="636">
        <v>13001164.445567448</v>
      </c>
      <c r="E29" s="636">
        <v>12542012.72574419</v>
      </c>
      <c r="F29" s="636">
        <v>12645671.111368861</v>
      </c>
      <c r="G29" s="636">
        <v>12673068.453165414</v>
      </c>
      <c r="H29" s="636">
        <v>13076603.958000001</v>
      </c>
      <c r="I29" s="636">
        <v>12962081</v>
      </c>
      <c r="J29" s="5"/>
      <c r="K29" s="246"/>
    </row>
    <row r="30" spans="1:11" ht="18" customHeight="1" x14ac:dyDescent="0.3">
      <c r="A30" s="281"/>
      <c r="B30" s="424" t="s">
        <v>392</v>
      </c>
      <c r="C30" s="636">
        <v>331183.30547743692</v>
      </c>
      <c r="D30" s="636">
        <v>300985.91688492848</v>
      </c>
      <c r="E30" s="636">
        <v>253688.98454382003</v>
      </c>
      <c r="F30" s="636">
        <v>243309.57052000001</v>
      </c>
      <c r="G30" s="636">
        <v>251747.7262339491</v>
      </c>
      <c r="H30" s="636">
        <v>248856.16224529999</v>
      </c>
      <c r="I30" s="636">
        <v>212245.30799999999</v>
      </c>
      <c r="J30" s="255"/>
      <c r="K30" s="246"/>
    </row>
    <row r="31" spans="1:11" ht="18" customHeight="1" x14ac:dyDescent="0.3">
      <c r="A31" s="281"/>
      <c r="B31" s="424" t="s">
        <v>224</v>
      </c>
      <c r="C31" s="637">
        <f>SUM(C24:C30)</f>
        <v>70030219.244897187</v>
      </c>
      <c r="D31" s="637">
        <f t="shared" ref="D31:I31" si="1">SUM(D24:D30)</f>
        <v>75002463.741527244</v>
      </c>
      <c r="E31" s="637">
        <f t="shared" si="1"/>
        <v>76020350.268995181</v>
      </c>
      <c r="F31" s="637">
        <f t="shared" si="1"/>
        <v>78834136.719236344</v>
      </c>
      <c r="G31" s="637">
        <f t="shared" si="1"/>
        <v>82176972.94192268</v>
      </c>
      <c r="H31" s="637">
        <f t="shared" si="1"/>
        <v>86969344.708733022</v>
      </c>
      <c r="I31" s="637">
        <f t="shared" si="1"/>
        <v>87667767.651999995</v>
      </c>
      <c r="J31" s="261"/>
      <c r="K31" s="246"/>
    </row>
    <row r="32" spans="1:11" ht="18" customHeight="1" x14ac:dyDescent="0.3">
      <c r="A32" s="281"/>
      <c r="B32" s="231"/>
      <c r="J32" s="261"/>
      <c r="K32" s="246"/>
    </row>
    <row r="33" spans="1:10" ht="18" customHeight="1" x14ac:dyDescent="0.3">
      <c r="A33" s="281"/>
      <c r="B33" s="424" t="s">
        <v>408</v>
      </c>
      <c r="J33" s="261"/>
    </row>
    <row r="34" spans="1:10" ht="18" customHeight="1" x14ac:dyDescent="0.3">
      <c r="A34" s="281"/>
      <c r="J34" s="261"/>
    </row>
    <row r="35" spans="1:10" ht="18" customHeight="1" x14ac:dyDescent="0.3">
      <c r="A35" s="281"/>
      <c r="J35" s="261"/>
    </row>
    <row r="36" spans="1:10" ht="18" customHeight="1" x14ac:dyDescent="0.3">
      <c r="A36" s="281"/>
      <c r="J36" s="261"/>
    </row>
    <row r="37" spans="1:10" ht="18" customHeight="1" x14ac:dyDescent="0.3">
      <c r="A37" s="281"/>
      <c r="J37" s="261"/>
    </row>
    <row r="38" spans="1:10" ht="18" customHeight="1" x14ac:dyDescent="0.3">
      <c r="A38" s="281"/>
      <c r="J38" s="261"/>
    </row>
    <row r="39" spans="1:10" ht="18" customHeight="1" x14ac:dyDescent="0.3">
      <c r="J39" s="261"/>
    </row>
    <row r="40" spans="1:10" ht="18" customHeight="1" x14ac:dyDescent="0.3">
      <c r="J40" s="256"/>
    </row>
    <row r="41" spans="1:10" ht="18" customHeight="1" x14ac:dyDescent="0.3">
      <c r="J41" s="247"/>
    </row>
    <row r="42" spans="1:10" ht="18" customHeight="1" x14ac:dyDescent="0.3">
      <c r="J42" s="247"/>
    </row>
    <row r="43" spans="1:10" ht="18" customHeight="1" x14ac:dyDescent="0.25">
      <c r="J43" s="5"/>
    </row>
    <row r="44" spans="1:10" ht="18" customHeight="1" x14ac:dyDescent="0.25">
      <c r="J44" s="5"/>
    </row>
    <row r="45" spans="1:10" ht="18" customHeight="1" x14ac:dyDescent="0.25">
      <c r="J45" s="5"/>
    </row>
    <row r="46" spans="1:10" ht="18" customHeight="1" x14ac:dyDescent="0.25">
      <c r="J46" s="5"/>
    </row>
    <row r="47" spans="1:10" ht="18" customHeight="1" x14ac:dyDescent="0.25">
      <c r="J47" s="5"/>
    </row>
    <row r="48" spans="1:10" ht="18" customHeight="1" x14ac:dyDescent="0.25">
      <c r="J48" s="5"/>
    </row>
    <row r="49" spans="1:10" x14ac:dyDescent="0.25">
      <c r="A49" s="154"/>
      <c r="J49" s="5"/>
    </row>
    <row r="50" spans="1:10" x14ac:dyDescent="0.25">
      <c r="A50" s="154"/>
      <c r="J50" s="5"/>
    </row>
    <row r="51" spans="1:10" x14ac:dyDescent="0.25">
      <c r="A51" s="154"/>
      <c r="J51" s="5"/>
    </row>
    <row r="52" spans="1:10" x14ac:dyDescent="0.25">
      <c r="J52" s="5"/>
    </row>
    <row r="53" spans="1:10" x14ac:dyDescent="0.25">
      <c r="J53" s="5"/>
    </row>
    <row r="54" spans="1:10" x14ac:dyDescent="0.25">
      <c r="J54" s="5"/>
    </row>
    <row r="55" spans="1:10" x14ac:dyDescent="0.25">
      <c r="A55" s="154"/>
      <c r="J55" s="5"/>
    </row>
    <row r="56" spans="1:10" x14ac:dyDescent="0.25">
      <c r="A56" s="154"/>
      <c r="J56" s="5"/>
    </row>
    <row r="57" spans="1:10" x14ac:dyDescent="0.25">
      <c r="A57" s="154"/>
      <c r="J57" s="5"/>
    </row>
    <row r="58" spans="1:10" x14ac:dyDescent="0.25">
      <c r="A58" s="154"/>
      <c r="J58" s="5"/>
    </row>
    <row r="59" spans="1:10" x14ac:dyDescent="0.25">
      <c r="A59" s="154"/>
      <c r="J59" s="5"/>
    </row>
    <row r="60" spans="1:10" x14ac:dyDescent="0.25">
      <c r="A60" s="154"/>
    </row>
  </sheetData>
  <dataValidations count="2">
    <dataValidation allowBlank="1" showInputMessage="1" showErrorMessage="1" promptTitle="Constant expenditure" prompt="Expenditure, deflated using appropriate deflators for each of the different inputs_x000a_" sqref="B23"/>
    <dataValidation allowBlank="1" showInputMessage="1" showErrorMessage="1" promptTitle="Current expenditure" prompt="Expenditure in current prices, without using deflation_x000a_" sqref="B13"/>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90" r:id="rId4" name="Option Button 2">
              <controlPr defaultSize="0" autoFill="0" autoLine="0" autoPict="0">
                <anchor moveWithCells="1">
                  <from>
                    <xdr:col>1</xdr:col>
                    <xdr:colOff>0</xdr:colOff>
                    <xdr:row>7</xdr:row>
                    <xdr:rowOff>28575</xdr:rowOff>
                  </from>
                  <to>
                    <xdr:col>2</xdr:col>
                    <xdr:colOff>85725</xdr:colOff>
                    <xdr:row>8</xdr:row>
                    <xdr:rowOff>19050</xdr:rowOff>
                  </to>
                </anchor>
              </controlPr>
            </control>
          </mc:Choice>
        </mc:AlternateContent>
        <mc:AlternateContent xmlns:mc="http://schemas.openxmlformats.org/markup-compatibility/2006">
          <mc:Choice Requires="x14">
            <control shapeId="37891" r:id="rId5" name="Option Button 3">
              <controlPr defaultSize="0" autoFill="0" autoLine="0" autoPict="0">
                <anchor moveWithCells="1">
                  <from>
                    <xdr:col>1</xdr:col>
                    <xdr:colOff>0</xdr:colOff>
                    <xdr:row>8</xdr:row>
                    <xdr:rowOff>19050</xdr:rowOff>
                  </from>
                  <to>
                    <xdr:col>1</xdr:col>
                    <xdr:colOff>1257300</xdr:colOff>
                    <xdr:row>9</xdr:row>
                    <xdr:rowOff>9525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4:U110"/>
  <sheetViews>
    <sheetView showGridLines="0" showRowColHeaders="0" zoomScaleNormal="100" workbookViewId="0">
      <selection activeCell="C37" sqref="C37"/>
    </sheetView>
  </sheetViews>
  <sheetFormatPr defaultRowHeight="15" x14ac:dyDescent="0.25"/>
  <cols>
    <col min="2" max="2" width="18.42578125" customWidth="1"/>
    <col min="3" max="3" width="20.140625" customWidth="1"/>
    <col min="4" max="7" width="25.42578125" customWidth="1"/>
    <col min="8" max="8" width="43.42578125" customWidth="1"/>
    <col min="9" max="9" width="39.42578125" customWidth="1"/>
    <col min="10" max="10" width="28.28515625" customWidth="1"/>
    <col min="11" max="11" width="32.7109375" customWidth="1"/>
    <col min="12" max="12" width="16.28515625" customWidth="1"/>
    <col min="13" max="13" width="26.28515625" bestFit="1" customWidth="1"/>
    <col min="14" max="14" width="16.28515625" bestFit="1" customWidth="1"/>
    <col min="15" max="15" width="22.5703125" bestFit="1" customWidth="1"/>
    <col min="16" max="16" width="21.28515625" bestFit="1" customWidth="1"/>
    <col min="17" max="17" width="22.28515625" bestFit="1" customWidth="1"/>
  </cols>
  <sheetData>
    <row r="4" spans="2:21" ht="30" x14ac:dyDescent="0.4">
      <c r="B4" s="2" t="s">
        <v>158</v>
      </c>
    </row>
    <row r="5" spans="2:21" x14ac:dyDescent="0.25">
      <c r="B5" s="279"/>
      <c r="C5" s="281"/>
      <c r="D5" s="281"/>
      <c r="E5" s="281"/>
      <c r="F5" s="281"/>
      <c r="G5" s="281"/>
      <c r="H5" s="281"/>
      <c r="I5" s="281"/>
      <c r="J5" s="281"/>
    </row>
    <row r="6" spans="2:21" ht="18" customHeight="1" x14ac:dyDescent="0.25">
      <c r="B6" s="280" t="s">
        <v>253</v>
      </c>
      <c r="C6" s="281"/>
      <c r="D6" s="281"/>
      <c r="E6" s="281"/>
      <c r="F6" s="281"/>
      <c r="G6" s="281"/>
      <c r="H6" s="281"/>
      <c r="I6" s="281"/>
      <c r="J6" s="281"/>
    </row>
    <row r="7" spans="2:21" ht="18" customHeight="1" x14ac:dyDescent="0.25">
      <c r="B7" s="280" t="s">
        <v>252</v>
      </c>
      <c r="C7" s="279"/>
      <c r="D7" s="281"/>
      <c r="E7" s="281"/>
      <c r="F7" s="281"/>
      <c r="G7" s="281"/>
      <c r="H7" s="281"/>
      <c r="I7" s="281"/>
      <c r="J7" s="281"/>
      <c r="R7" s="8"/>
      <c r="S7" s="8"/>
      <c r="T7" s="8"/>
      <c r="U7" s="8"/>
    </row>
    <row r="8" spans="2:21" x14ac:dyDescent="0.25">
      <c r="B8" s="281"/>
      <c r="C8" s="281"/>
      <c r="D8" s="281"/>
      <c r="E8" s="281"/>
      <c r="F8" s="281"/>
      <c r="G8" s="281"/>
      <c r="H8" s="281"/>
      <c r="I8" s="279"/>
      <c r="J8" s="279"/>
      <c r="K8" s="8"/>
      <c r="L8" s="8"/>
    </row>
    <row r="9" spans="2:21" x14ac:dyDescent="0.25">
      <c r="B9" s="280" t="s">
        <v>274</v>
      </c>
      <c r="C9" s="281"/>
      <c r="D9" s="281"/>
      <c r="E9" s="281"/>
      <c r="F9" s="281"/>
      <c r="G9" s="281"/>
      <c r="H9" s="281"/>
      <c r="I9" s="279"/>
      <c r="J9" s="279"/>
      <c r="K9" s="8"/>
      <c r="L9" s="8"/>
    </row>
    <row r="10" spans="2:21" x14ac:dyDescent="0.25">
      <c r="B10" s="281"/>
      <c r="C10" s="281"/>
      <c r="D10" s="281"/>
      <c r="E10" s="281"/>
      <c r="F10" s="281"/>
      <c r="G10" s="281"/>
      <c r="H10" s="281"/>
      <c r="I10" s="279"/>
      <c r="J10" s="279"/>
      <c r="K10" s="8"/>
      <c r="L10" s="8"/>
    </row>
    <row r="11" spans="2:21" x14ac:dyDescent="0.25">
      <c r="B11" s="281"/>
      <c r="C11" s="281"/>
      <c r="D11" s="281"/>
      <c r="E11" s="281"/>
      <c r="F11" s="281"/>
      <c r="G11" s="281"/>
      <c r="H11" s="281"/>
      <c r="I11" s="279"/>
      <c r="J11" s="279"/>
      <c r="K11" s="8"/>
      <c r="L11" s="8"/>
    </row>
    <row r="12" spans="2:21" x14ac:dyDescent="0.25">
      <c r="B12" s="281"/>
      <c r="C12" s="281"/>
      <c r="D12" s="281"/>
      <c r="E12" s="281"/>
      <c r="F12" s="281"/>
      <c r="G12" s="281"/>
      <c r="H12" s="281"/>
      <c r="I12" s="279"/>
      <c r="J12" s="279"/>
      <c r="K12" s="8"/>
      <c r="L12" s="8"/>
    </row>
    <row r="13" spans="2:21" x14ac:dyDescent="0.25">
      <c r="B13" s="281"/>
      <c r="C13" s="281"/>
      <c r="D13" s="281"/>
      <c r="E13" s="281"/>
      <c r="F13" s="281"/>
      <c r="G13" s="281"/>
      <c r="H13" s="281"/>
      <c r="I13" s="279"/>
      <c r="J13" s="279"/>
      <c r="K13" s="8"/>
      <c r="L13" s="8"/>
    </row>
    <row r="14" spans="2:21" x14ac:dyDescent="0.25">
      <c r="B14" s="281"/>
      <c r="C14" s="281"/>
      <c r="D14" s="281"/>
      <c r="E14" s="281"/>
      <c r="F14" s="281"/>
      <c r="G14" s="281"/>
      <c r="H14" s="281"/>
      <c r="I14" s="279"/>
      <c r="J14" s="279"/>
      <c r="K14" s="8"/>
      <c r="L14" s="8"/>
    </row>
    <row r="15" spans="2:21" x14ac:dyDescent="0.25">
      <c r="B15" s="281"/>
      <c r="C15" s="281"/>
      <c r="D15" s="281"/>
      <c r="E15" s="281"/>
      <c r="F15" s="281"/>
      <c r="G15" s="281"/>
      <c r="H15" s="281"/>
      <c r="I15" s="279"/>
      <c r="J15" s="279"/>
      <c r="K15" s="8"/>
      <c r="L15" s="8"/>
    </row>
    <row r="16" spans="2:21" x14ac:dyDescent="0.25">
      <c r="B16" s="279"/>
      <c r="C16" s="281"/>
      <c r="D16" s="281"/>
      <c r="E16" s="281"/>
      <c r="F16" s="281"/>
      <c r="G16" s="281"/>
      <c r="H16" s="281"/>
      <c r="I16" s="281"/>
      <c r="J16" s="281"/>
    </row>
    <row r="17" spans="1:12" x14ac:dyDescent="0.25">
      <c r="B17" s="279"/>
      <c r="C17" s="281"/>
      <c r="D17" s="281"/>
      <c r="E17" s="281"/>
      <c r="F17" s="281"/>
      <c r="G17" s="281"/>
      <c r="H17" s="281"/>
      <c r="I17" s="281"/>
      <c r="J17" s="281"/>
    </row>
    <row r="18" spans="1:12" x14ac:dyDescent="0.25">
      <c r="B18" s="279"/>
      <c r="C18" s="281"/>
      <c r="D18" s="281"/>
      <c r="E18" s="281"/>
      <c r="F18" s="281"/>
      <c r="G18" s="281"/>
      <c r="H18" s="281"/>
      <c r="I18" s="281"/>
      <c r="J18" s="281"/>
    </row>
    <row r="19" spans="1:12" x14ac:dyDescent="0.25">
      <c r="B19" s="279"/>
      <c r="C19" s="281"/>
      <c r="D19" s="281"/>
      <c r="E19" s="281"/>
      <c r="F19" s="281"/>
      <c r="G19" s="281"/>
      <c r="H19" s="281"/>
      <c r="I19" s="281"/>
      <c r="J19" s="281"/>
    </row>
    <row r="20" spans="1:12" x14ac:dyDescent="0.25">
      <c r="B20" s="279"/>
      <c r="C20" s="281"/>
      <c r="D20" s="281"/>
      <c r="E20" s="281"/>
      <c r="F20" s="281"/>
      <c r="G20" s="281"/>
      <c r="H20" s="281"/>
      <c r="I20" s="281"/>
      <c r="J20" s="281"/>
    </row>
    <row r="21" spans="1:12" x14ac:dyDescent="0.25">
      <c r="B21" s="279"/>
      <c r="C21" s="281"/>
      <c r="D21" s="281"/>
      <c r="E21" s="281"/>
      <c r="F21" s="281"/>
      <c r="G21" s="281"/>
      <c r="H21" s="281"/>
      <c r="I21" s="281"/>
      <c r="J21" s="281"/>
    </row>
    <row r="22" spans="1:12" ht="23.25" customHeight="1" x14ac:dyDescent="0.25">
      <c r="B22" s="279"/>
      <c r="C22" s="281"/>
      <c r="D22" s="281"/>
      <c r="E22" s="281"/>
      <c r="F22" s="281"/>
      <c r="G22" s="281"/>
      <c r="H22" s="281"/>
      <c r="I22" s="281"/>
      <c r="J22" s="281"/>
    </row>
    <row r="23" spans="1:12" x14ac:dyDescent="0.25">
      <c r="B23" s="281"/>
      <c r="C23" s="281"/>
      <c r="D23" s="281"/>
      <c r="E23" s="281"/>
      <c r="F23" s="281"/>
      <c r="G23" s="281"/>
      <c r="H23" s="281"/>
      <c r="I23" s="279"/>
      <c r="J23" s="279"/>
      <c r="K23" s="8"/>
      <c r="L23" s="8"/>
    </row>
    <row r="24" spans="1:12" x14ac:dyDescent="0.25">
      <c r="B24" s="281"/>
      <c r="C24" s="281"/>
      <c r="D24" s="281"/>
      <c r="E24" s="281"/>
      <c r="F24" s="281"/>
      <c r="G24" s="281"/>
      <c r="H24" s="281"/>
      <c r="I24" s="279"/>
      <c r="J24" s="279"/>
      <c r="K24" s="8"/>
      <c r="L24" s="8"/>
    </row>
    <row r="25" spans="1:12" x14ac:dyDescent="0.25">
      <c r="A25" s="6"/>
      <c r="B25" s="281"/>
      <c r="C25" s="281"/>
      <c r="D25" s="281"/>
      <c r="E25" s="281"/>
      <c r="F25" s="281"/>
      <c r="G25" s="281"/>
      <c r="H25" s="281"/>
      <c r="I25" s="279"/>
      <c r="J25" s="279"/>
      <c r="K25" s="8"/>
      <c r="L25" s="8"/>
    </row>
    <row r="26" spans="1:12" x14ac:dyDescent="0.25">
      <c r="A26" s="5"/>
      <c r="B26" s="281"/>
      <c r="C26" s="281"/>
      <c r="D26" s="281"/>
      <c r="E26" s="281"/>
      <c r="F26" s="281"/>
      <c r="G26" s="281"/>
      <c r="H26" s="281"/>
      <c r="I26" s="279"/>
      <c r="J26" s="279"/>
      <c r="K26" s="8"/>
      <c r="L26" s="8"/>
    </row>
    <row r="27" spans="1:12" x14ac:dyDescent="0.25">
      <c r="A27" s="5"/>
      <c r="B27" s="281"/>
      <c r="C27" s="281"/>
      <c r="D27" s="281"/>
      <c r="E27" s="281"/>
      <c r="F27" s="281"/>
      <c r="G27" s="281"/>
      <c r="H27" s="281"/>
      <c r="I27" s="279"/>
      <c r="J27" s="279"/>
      <c r="K27" s="8"/>
      <c r="L27" s="8"/>
    </row>
    <row r="28" spans="1:12" x14ac:dyDescent="0.25">
      <c r="A28" s="5"/>
      <c r="B28" s="281"/>
      <c r="C28" s="281"/>
      <c r="D28" s="281"/>
      <c r="E28" s="281"/>
      <c r="F28" s="281"/>
      <c r="G28" s="281"/>
      <c r="H28" s="281"/>
      <c r="I28" s="281"/>
      <c r="J28" s="281"/>
    </row>
    <row r="29" spans="1:12" ht="23.25" customHeight="1" x14ac:dyDescent="0.25">
      <c r="A29" s="5"/>
      <c r="B29" s="281"/>
      <c r="C29" s="281"/>
      <c r="D29" s="281"/>
      <c r="E29" s="281"/>
      <c r="F29" s="281"/>
      <c r="G29" s="281"/>
      <c r="H29" s="281"/>
      <c r="I29" s="281"/>
      <c r="J29" s="281"/>
    </row>
    <row r="30" spans="1:12" x14ac:dyDescent="0.25">
      <c r="A30" s="5"/>
      <c r="B30" s="281"/>
      <c r="C30" s="281"/>
      <c r="D30" s="281"/>
      <c r="E30" s="281"/>
      <c r="F30" s="281"/>
      <c r="G30" s="281"/>
      <c r="H30" s="281"/>
      <c r="I30" s="281"/>
      <c r="J30" s="281"/>
    </row>
    <row r="31" spans="1:12" x14ac:dyDescent="0.25">
      <c r="A31" s="5"/>
      <c r="B31" s="281"/>
      <c r="C31" s="281"/>
      <c r="D31" s="281"/>
      <c r="E31" s="281"/>
      <c r="F31" s="281"/>
      <c r="G31" s="281"/>
      <c r="H31" s="281"/>
      <c r="I31" s="281"/>
      <c r="J31" s="281"/>
    </row>
    <row r="32" spans="1:12" x14ac:dyDescent="0.25">
      <c r="A32" s="5"/>
      <c r="B32" s="281"/>
      <c r="C32" s="281"/>
      <c r="D32" s="281"/>
      <c r="E32" s="281"/>
      <c r="F32" s="281"/>
      <c r="G32" s="281"/>
      <c r="H32" s="281"/>
      <c r="I32" s="281"/>
      <c r="J32" s="281"/>
    </row>
    <row r="33" spans="1:10" x14ac:dyDescent="0.25">
      <c r="A33" s="5"/>
      <c r="B33" s="281"/>
      <c r="C33" s="281"/>
      <c r="D33" s="281"/>
      <c r="E33" s="281"/>
      <c r="F33" s="281"/>
      <c r="G33" s="281"/>
      <c r="H33" s="281"/>
      <c r="I33" s="281"/>
      <c r="J33" s="281"/>
    </row>
    <row r="34" spans="1:10" x14ac:dyDescent="0.25">
      <c r="A34" s="5"/>
      <c r="B34" s="281"/>
      <c r="C34" s="281"/>
      <c r="D34" s="281"/>
      <c r="E34" s="281"/>
      <c r="F34" s="281"/>
      <c r="G34" s="281"/>
      <c r="H34" s="281"/>
      <c r="I34" s="281"/>
      <c r="J34" s="281"/>
    </row>
    <row r="35" spans="1:10" x14ac:dyDescent="0.25">
      <c r="A35" s="5"/>
      <c r="B35" s="281"/>
      <c r="C35" s="281"/>
      <c r="D35" s="281"/>
      <c r="E35" s="281"/>
      <c r="F35" s="281"/>
      <c r="G35" s="281"/>
      <c r="H35" s="281"/>
      <c r="I35" s="281"/>
      <c r="J35" s="281"/>
    </row>
    <row r="36" spans="1:10" ht="23.25" customHeight="1" x14ac:dyDescent="0.25">
      <c r="B36" s="281"/>
      <c r="C36" s="281"/>
      <c r="D36" s="281"/>
      <c r="E36" s="281"/>
      <c r="F36" s="281"/>
      <c r="G36" s="281"/>
      <c r="H36" s="281"/>
      <c r="I36" s="281"/>
      <c r="J36" s="281"/>
    </row>
    <row r="37" spans="1:10" x14ac:dyDescent="0.25">
      <c r="B37" s="281"/>
      <c r="C37" s="281"/>
      <c r="D37" s="281"/>
      <c r="E37" s="281"/>
      <c r="F37" s="281"/>
      <c r="G37" s="281"/>
      <c r="H37" s="281"/>
      <c r="I37" s="281"/>
      <c r="J37" s="281"/>
    </row>
    <row r="38" spans="1:10" x14ac:dyDescent="0.25">
      <c r="B38" s="280" t="s">
        <v>275</v>
      </c>
      <c r="C38" s="281"/>
      <c r="D38" s="281"/>
      <c r="E38" s="281"/>
      <c r="F38" s="281"/>
      <c r="G38" s="281"/>
      <c r="H38" s="281"/>
      <c r="I38" s="281"/>
      <c r="J38" s="281"/>
    </row>
    <row r="39" spans="1:10" x14ac:dyDescent="0.25">
      <c r="B39" s="281"/>
      <c r="C39" s="281"/>
      <c r="D39" s="281"/>
      <c r="E39" s="281"/>
      <c r="F39" s="281"/>
      <c r="G39" s="281"/>
      <c r="H39" s="281"/>
      <c r="I39" s="281"/>
      <c r="J39" s="281"/>
    </row>
    <row r="40" spans="1:10" x14ac:dyDescent="0.25">
      <c r="B40" s="281"/>
      <c r="C40" s="281"/>
      <c r="D40" s="281"/>
      <c r="E40" s="281"/>
      <c r="F40" s="281"/>
      <c r="G40" s="281"/>
      <c r="H40" s="281"/>
      <c r="I40" s="281"/>
      <c r="J40" s="281"/>
    </row>
    <row r="41" spans="1:10" x14ac:dyDescent="0.25">
      <c r="B41" s="281"/>
      <c r="C41" s="281"/>
      <c r="D41" s="281"/>
      <c r="E41" s="281"/>
      <c r="F41" s="281"/>
      <c r="G41" s="281"/>
      <c r="H41" s="281"/>
      <c r="I41" s="281"/>
      <c r="J41" s="281"/>
    </row>
    <row r="42" spans="1:10" x14ac:dyDescent="0.25">
      <c r="B42" s="281"/>
      <c r="C42" s="281"/>
      <c r="D42" s="281"/>
      <c r="E42" s="281"/>
      <c r="F42" s="281"/>
      <c r="G42" s="281"/>
      <c r="H42" s="281"/>
      <c r="I42" s="281"/>
      <c r="J42" s="281"/>
    </row>
    <row r="43" spans="1:10" x14ac:dyDescent="0.25">
      <c r="B43" s="281"/>
      <c r="C43" s="281"/>
      <c r="D43" s="281"/>
      <c r="E43" s="281"/>
      <c r="F43" s="281"/>
      <c r="G43" s="281"/>
      <c r="H43" s="281"/>
      <c r="I43" s="281"/>
      <c r="J43" s="281"/>
    </row>
    <row r="44" spans="1:10" x14ac:dyDescent="0.25">
      <c r="B44" s="281"/>
      <c r="C44" s="281"/>
      <c r="D44" s="281"/>
      <c r="E44" s="281"/>
      <c r="F44" s="281"/>
      <c r="G44" s="281"/>
      <c r="H44" s="281"/>
      <c r="I44" s="281"/>
      <c r="J44" s="281"/>
    </row>
    <row r="45" spans="1:10" x14ac:dyDescent="0.25">
      <c r="B45" s="281"/>
      <c r="C45" s="281"/>
      <c r="D45" s="281"/>
      <c r="E45" s="281"/>
      <c r="F45" s="281"/>
      <c r="G45" s="281"/>
      <c r="H45" s="281"/>
      <c r="I45" s="281"/>
      <c r="J45" s="281"/>
    </row>
    <row r="46" spans="1:10" x14ac:dyDescent="0.25">
      <c r="B46" s="281"/>
      <c r="C46" s="281"/>
      <c r="D46" s="281"/>
      <c r="E46" s="281"/>
      <c r="F46" s="281"/>
      <c r="G46" s="281"/>
      <c r="H46" s="281"/>
      <c r="I46" s="281"/>
      <c r="J46" s="281"/>
    </row>
    <row r="47" spans="1:10" ht="23.25" customHeight="1" x14ac:dyDescent="0.25">
      <c r="B47" s="281"/>
      <c r="C47" s="281"/>
      <c r="D47" s="281"/>
      <c r="E47" s="281"/>
      <c r="F47" s="281"/>
      <c r="G47" s="281"/>
      <c r="H47" s="281"/>
      <c r="I47" s="281"/>
      <c r="J47" s="281"/>
    </row>
    <row r="48" spans="1:10" x14ac:dyDescent="0.25">
      <c r="B48" s="281"/>
      <c r="C48" s="281"/>
      <c r="D48" s="281"/>
      <c r="E48" s="281"/>
      <c r="F48" s="281"/>
      <c r="G48" s="281"/>
      <c r="H48" s="281"/>
      <c r="I48" s="281"/>
      <c r="J48" s="281"/>
    </row>
    <row r="49" spans="2:10" x14ac:dyDescent="0.25">
      <c r="B49" s="281"/>
      <c r="C49" s="281"/>
      <c r="D49" s="281"/>
      <c r="E49" s="281"/>
      <c r="F49" s="281"/>
      <c r="G49" s="281"/>
      <c r="H49" s="281"/>
      <c r="I49" s="281"/>
      <c r="J49" s="281"/>
    </row>
    <row r="50" spans="2:10" x14ac:dyDescent="0.25">
      <c r="B50" s="281"/>
      <c r="C50" s="281"/>
      <c r="D50" s="281"/>
      <c r="E50" s="281"/>
      <c r="F50" s="281"/>
      <c r="G50" s="281"/>
      <c r="H50" s="281"/>
      <c r="I50" s="281"/>
      <c r="J50" s="281"/>
    </row>
    <row r="51" spans="2:10" x14ac:dyDescent="0.25">
      <c r="B51" s="281"/>
      <c r="C51" s="281"/>
      <c r="D51" s="281"/>
      <c r="E51" s="281"/>
      <c r="F51" s="281"/>
      <c r="G51" s="281"/>
      <c r="H51" s="281"/>
      <c r="I51" s="281"/>
      <c r="J51" s="281"/>
    </row>
    <row r="52" spans="2:10" x14ac:dyDescent="0.25">
      <c r="B52" s="281"/>
      <c r="C52" s="281"/>
      <c r="D52" s="281"/>
      <c r="E52" s="281"/>
      <c r="F52" s="281"/>
      <c r="G52" s="281"/>
      <c r="H52" s="281"/>
      <c r="I52" s="281"/>
      <c r="J52" s="281"/>
    </row>
    <row r="53" spans="2:10" x14ac:dyDescent="0.25">
      <c r="B53" s="281"/>
      <c r="C53" s="281"/>
      <c r="D53" s="281"/>
      <c r="E53" s="281"/>
      <c r="F53" s="281"/>
      <c r="G53" s="281"/>
      <c r="H53" s="281"/>
      <c r="I53" s="281"/>
      <c r="J53" s="281"/>
    </row>
    <row r="54" spans="2:10" ht="23.25" customHeight="1" x14ac:dyDescent="0.25">
      <c r="B54" s="281"/>
      <c r="C54" s="281"/>
      <c r="D54" s="281"/>
      <c r="E54" s="281"/>
      <c r="F54" s="281"/>
      <c r="G54" s="281"/>
      <c r="H54" s="281"/>
      <c r="I54" s="281"/>
      <c r="J54" s="281"/>
    </row>
    <row r="55" spans="2:10" x14ac:dyDescent="0.25">
      <c r="B55" s="281"/>
      <c r="C55" s="281"/>
      <c r="D55" s="281"/>
      <c r="E55" s="281"/>
      <c r="F55" s="281"/>
      <c r="G55" s="281"/>
      <c r="H55" s="281"/>
      <c r="I55" s="281"/>
      <c r="J55" s="281"/>
    </row>
    <row r="56" spans="2:10" x14ac:dyDescent="0.25">
      <c r="B56" s="281"/>
      <c r="C56" s="281"/>
      <c r="D56" s="281"/>
      <c r="E56" s="281"/>
      <c r="F56" s="281"/>
      <c r="G56" s="281"/>
      <c r="H56" s="281"/>
      <c r="I56" s="281"/>
      <c r="J56" s="281"/>
    </row>
    <row r="57" spans="2:10" x14ac:dyDescent="0.25">
      <c r="B57" s="281"/>
      <c r="C57" s="281"/>
      <c r="D57" s="281"/>
      <c r="E57" s="281"/>
      <c r="F57" s="281"/>
      <c r="G57" s="281"/>
      <c r="H57" s="281"/>
      <c r="I57" s="281"/>
      <c r="J57" s="281"/>
    </row>
    <row r="58" spans="2:10" x14ac:dyDescent="0.25">
      <c r="B58" s="281"/>
      <c r="C58" s="281"/>
      <c r="D58" s="281"/>
      <c r="E58" s="281"/>
      <c r="F58" s="281"/>
      <c r="G58" s="281"/>
      <c r="H58" s="281"/>
      <c r="I58" s="281"/>
      <c r="J58" s="281"/>
    </row>
    <row r="59" spans="2:10" x14ac:dyDescent="0.25">
      <c r="B59" s="281"/>
      <c r="C59" s="281"/>
      <c r="D59" s="281"/>
      <c r="E59" s="281"/>
      <c r="F59" s="281"/>
      <c r="G59" s="281"/>
      <c r="H59" s="281"/>
      <c r="I59" s="281"/>
      <c r="J59" s="281"/>
    </row>
    <row r="60" spans="2:10" x14ac:dyDescent="0.25">
      <c r="B60" s="281"/>
      <c r="C60" s="281"/>
      <c r="D60" s="281"/>
      <c r="E60" s="281"/>
      <c r="F60" s="281"/>
      <c r="G60" s="281"/>
      <c r="H60" s="281"/>
      <c r="I60" s="281"/>
      <c r="J60" s="281"/>
    </row>
    <row r="61" spans="2:10" ht="23.25" customHeight="1" x14ac:dyDescent="0.25">
      <c r="B61" s="281"/>
      <c r="C61" s="281"/>
      <c r="D61" s="281"/>
      <c r="E61" s="281"/>
      <c r="F61" s="281"/>
      <c r="G61" s="281"/>
      <c r="H61" s="281"/>
      <c r="I61" s="281"/>
      <c r="J61" s="281"/>
    </row>
    <row r="62" spans="2:10" x14ac:dyDescent="0.25">
      <c r="B62" s="281"/>
      <c r="C62" s="281"/>
      <c r="D62" s="281"/>
      <c r="E62" s="281"/>
      <c r="F62" s="281"/>
      <c r="G62" s="281"/>
      <c r="H62" s="281"/>
      <c r="I62" s="281"/>
      <c r="J62" s="281"/>
    </row>
    <row r="63" spans="2:10" x14ac:dyDescent="0.25">
      <c r="B63" s="281"/>
      <c r="C63" s="281"/>
      <c r="D63" s="281"/>
      <c r="E63" s="281"/>
      <c r="F63" s="281"/>
      <c r="G63" s="281"/>
      <c r="H63" s="281"/>
      <c r="I63" s="281"/>
      <c r="J63" s="281"/>
    </row>
    <row r="64" spans="2:10" x14ac:dyDescent="0.25">
      <c r="B64" s="281"/>
      <c r="C64" s="281"/>
      <c r="D64" s="281"/>
      <c r="E64" s="281"/>
      <c r="F64" s="281"/>
      <c r="G64" s="281"/>
      <c r="H64" s="281"/>
      <c r="I64" s="281"/>
      <c r="J64" s="281"/>
    </row>
    <row r="65" spans="2:10" x14ac:dyDescent="0.25">
      <c r="B65" s="281"/>
      <c r="C65" s="281"/>
      <c r="D65" s="281"/>
      <c r="E65" s="281"/>
      <c r="F65" s="281"/>
      <c r="G65" s="281"/>
      <c r="H65" s="281"/>
      <c r="I65" s="281"/>
      <c r="J65" s="281"/>
    </row>
    <row r="66" spans="2:10" x14ac:dyDescent="0.25">
      <c r="B66" s="281"/>
      <c r="C66" s="281"/>
      <c r="D66" s="281"/>
      <c r="E66" s="281"/>
      <c r="F66" s="281"/>
      <c r="G66" s="281"/>
      <c r="H66" s="281"/>
      <c r="I66" s="281"/>
      <c r="J66" s="281"/>
    </row>
    <row r="67" spans="2:10" x14ac:dyDescent="0.25">
      <c r="B67" s="281"/>
      <c r="C67" s="281"/>
      <c r="D67" s="281"/>
      <c r="E67" s="281"/>
      <c r="F67" s="281"/>
      <c r="G67" s="281"/>
      <c r="H67" s="281"/>
      <c r="I67" s="281"/>
      <c r="J67" s="281"/>
    </row>
    <row r="68" spans="2:10" ht="23.25" customHeight="1" x14ac:dyDescent="0.25">
      <c r="B68" s="281"/>
      <c r="C68" s="281"/>
      <c r="D68" s="281"/>
      <c r="E68" s="281"/>
      <c r="F68" s="281"/>
      <c r="G68" s="281"/>
      <c r="H68" s="281"/>
      <c r="I68" s="281"/>
      <c r="J68" s="281"/>
    </row>
    <row r="69" spans="2:10" x14ac:dyDescent="0.25">
      <c r="B69" s="281"/>
      <c r="C69" s="281"/>
      <c r="D69" s="281"/>
      <c r="E69" s="281"/>
      <c r="F69" s="281"/>
      <c r="G69" s="281"/>
      <c r="H69" s="281"/>
      <c r="I69" s="281"/>
      <c r="J69" s="281"/>
    </row>
    <row r="70" spans="2:10" x14ac:dyDescent="0.25">
      <c r="B70" s="281"/>
      <c r="C70" s="281"/>
      <c r="D70" s="281"/>
      <c r="E70" s="281"/>
      <c r="F70" s="281"/>
      <c r="G70" s="281"/>
      <c r="H70" s="281"/>
      <c r="I70" s="281"/>
      <c r="J70" s="281"/>
    </row>
    <row r="71" spans="2:10" x14ac:dyDescent="0.25">
      <c r="B71" s="281"/>
      <c r="C71" s="281"/>
      <c r="D71" s="281"/>
      <c r="E71" s="281"/>
      <c r="F71" s="281"/>
      <c r="G71" s="281"/>
      <c r="H71" s="281"/>
      <c r="I71" s="281"/>
      <c r="J71" s="281"/>
    </row>
    <row r="72" spans="2:10" x14ac:dyDescent="0.25">
      <c r="B72" s="281"/>
      <c r="C72" s="281"/>
      <c r="D72" s="281"/>
      <c r="E72" s="281"/>
      <c r="F72" s="281"/>
      <c r="G72" s="281"/>
      <c r="H72" s="281"/>
      <c r="I72" s="281"/>
      <c r="J72" s="281"/>
    </row>
    <row r="73" spans="2:10" x14ac:dyDescent="0.25">
      <c r="B73" s="281"/>
      <c r="C73" s="281"/>
      <c r="D73" s="281"/>
      <c r="E73" s="281"/>
      <c r="F73" s="281"/>
      <c r="G73" s="281"/>
      <c r="H73" s="281"/>
      <c r="I73" s="281"/>
      <c r="J73" s="281"/>
    </row>
    <row r="74" spans="2:10" x14ac:dyDescent="0.25">
      <c r="B74" s="281"/>
      <c r="C74" s="281"/>
      <c r="D74" s="281"/>
      <c r="E74" s="281"/>
      <c r="F74" s="281"/>
      <c r="G74" s="281"/>
      <c r="H74" s="281"/>
      <c r="I74" s="281"/>
      <c r="J74" s="281"/>
    </row>
    <row r="75" spans="2:10" ht="23.25" customHeight="1" x14ac:dyDescent="0.25">
      <c r="B75" s="281"/>
      <c r="C75" s="281"/>
      <c r="D75" s="281"/>
      <c r="E75" s="281"/>
      <c r="F75" s="281"/>
      <c r="G75" s="281"/>
      <c r="H75" s="281"/>
      <c r="I75" s="281"/>
      <c r="J75" s="281"/>
    </row>
    <row r="76" spans="2:10" x14ac:dyDescent="0.25">
      <c r="B76" s="281"/>
      <c r="C76" s="281"/>
      <c r="D76" s="281"/>
      <c r="E76" s="281"/>
      <c r="F76" s="281"/>
      <c r="G76" s="281"/>
      <c r="H76" s="281"/>
      <c r="I76" s="281"/>
      <c r="J76" s="281"/>
    </row>
    <row r="77" spans="2:10" x14ac:dyDescent="0.25">
      <c r="B77" s="281"/>
      <c r="C77" s="281"/>
      <c r="D77" s="281"/>
      <c r="E77" s="281"/>
      <c r="F77" s="281"/>
      <c r="G77" s="281"/>
      <c r="H77" s="281"/>
      <c r="I77" s="281"/>
      <c r="J77" s="281"/>
    </row>
    <row r="78" spans="2:10" x14ac:dyDescent="0.25">
      <c r="B78" s="281"/>
      <c r="C78" s="281"/>
      <c r="D78" s="281"/>
      <c r="E78" s="281"/>
      <c r="F78" s="281"/>
      <c r="G78" s="281"/>
      <c r="H78" s="281"/>
      <c r="I78" s="281"/>
      <c r="J78" s="281"/>
    </row>
    <row r="79" spans="2:10" x14ac:dyDescent="0.25">
      <c r="B79" s="281"/>
      <c r="C79" s="281"/>
      <c r="D79" s="281"/>
      <c r="E79" s="281"/>
      <c r="F79" s="281"/>
      <c r="G79" s="281"/>
      <c r="H79" s="281"/>
      <c r="I79" s="281"/>
      <c r="J79" s="281"/>
    </row>
    <row r="80" spans="2:10" x14ac:dyDescent="0.25">
      <c r="B80" s="281"/>
      <c r="C80" s="281"/>
      <c r="D80" s="281"/>
      <c r="E80" s="281"/>
      <c r="F80" s="281"/>
      <c r="G80" s="281"/>
      <c r="H80" s="281"/>
      <c r="I80" s="281"/>
      <c r="J80" s="281"/>
    </row>
    <row r="81" spans="2:10" x14ac:dyDescent="0.25">
      <c r="B81" s="281"/>
      <c r="C81" s="281"/>
      <c r="D81" s="281"/>
      <c r="E81" s="281"/>
      <c r="F81" s="281"/>
      <c r="G81" s="281"/>
      <c r="H81" s="281"/>
      <c r="I81" s="281"/>
      <c r="J81" s="281"/>
    </row>
    <row r="82" spans="2:10" x14ac:dyDescent="0.25">
      <c r="B82" s="281"/>
      <c r="C82" s="281"/>
      <c r="D82" s="281"/>
      <c r="E82" s="281"/>
      <c r="F82" s="281"/>
      <c r="G82" s="281"/>
      <c r="H82" s="281"/>
      <c r="I82" s="281"/>
      <c r="J82" s="281"/>
    </row>
    <row r="83" spans="2:10" ht="23.25" customHeight="1" x14ac:dyDescent="0.25">
      <c r="B83" s="281"/>
      <c r="C83" s="281"/>
      <c r="D83" s="281"/>
      <c r="E83" s="281"/>
      <c r="F83" s="281"/>
      <c r="G83" s="281"/>
      <c r="H83" s="281"/>
      <c r="I83" s="281"/>
      <c r="J83" s="281"/>
    </row>
    <row r="84" spans="2:10" x14ac:dyDescent="0.25">
      <c r="B84" s="281"/>
      <c r="C84" s="281"/>
      <c r="D84" s="281"/>
      <c r="E84" s="281"/>
      <c r="F84" s="281"/>
      <c r="G84" s="281"/>
      <c r="H84" s="281"/>
      <c r="I84" s="281"/>
      <c r="J84" s="281"/>
    </row>
    <row r="85" spans="2:10" x14ac:dyDescent="0.25">
      <c r="C85" s="281"/>
      <c r="D85" s="281"/>
      <c r="E85" s="281"/>
      <c r="F85" s="281"/>
      <c r="G85" s="281"/>
      <c r="H85" s="281"/>
      <c r="I85" s="281"/>
      <c r="J85" s="281"/>
    </row>
    <row r="86" spans="2:10" x14ac:dyDescent="0.25">
      <c r="C86" s="281"/>
      <c r="D86" s="281"/>
      <c r="E86" s="281"/>
      <c r="F86" s="281"/>
      <c r="G86" s="281"/>
      <c r="H86" s="281"/>
      <c r="I86" s="281"/>
      <c r="J86" s="281"/>
    </row>
    <row r="87" spans="2:10" x14ac:dyDescent="0.25">
      <c r="C87" s="281"/>
      <c r="D87" s="281"/>
      <c r="E87" s="281"/>
      <c r="F87" s="281"/>
      <c r="G87" s="281"/>
      <c r="H87" s="281"/>
      <c r="I87" s="281"/>
      <c r="J87" s="281"/>
    </row>
    <row r="88" spans="2:10" x14ac:dyDescent="0.25">
      <c r="C88" s="281"/>
      <c r="D88" s="281"/>
      <c r="E88" s="281"/>
      <c r="F88" s="281"/>
      <c r="G88" s="281"/>
      <c r="H88" s="281"/>
      <c r="I88" s="281"/>
      <c r="J88" s="281"/>
    </row>
    <row r="89" spans="2:10" x14ac:dyDescent="0.25">
      <c r="C89" s="281"/>
      <c r="D89" s="281"/>
      <c r="E89" s="281"/>
      <c r="F89" s="281"/>
      <c r="G89" s="281"/>
      <c r="H89" s="281"/>
      <c r="I89" s="281"/>
      <c r="J89" s="281"/>
    </row>
    <row r="90" spans="2:10" x14ac:dyDescent="0.25">
      <c r="C90" s="281"/>
      <c r="D90" s="281"/>
      <c r="E90" s="281"/>
      <c r="F90" s="281"/>
      <c r="G90" s="281"/>
      <c r="H90" s="281"/>
      <c r="I90" s="281"/>
      <c r="J90" s="281"/>
    </row>
    <row r="91" spans="2:10" x14ac:dyDescent="0.25">
      <c r="C91" s="281"/>
      <c r="D91" s="281"/>
      <c r="E91" s="281"/>
      <c r="F91" s="281"/>
      <c r="G91" s="281"/>
      <c r="H91" s="281"/>
      <c r="I91" s="281"/>
      <c r="J91" s="281"/>
    </row>
    <row r="92" spans="2:10" x14ac:dyDescent="0.25">
      <c r="C92" s="281"/>
      <c r="D92" s="281"/>
      <c r="E92" s="281"/>
      <c r="F92" s="281"/>
      <c r="G92" s="281"/>
      <c r="H92" s="281"/>
      <c r="I92" s="281"/>
      <c r="J92" s="281"/>
    </row>
    <row r="93" spans="2:10" x14ac:dyDescent="0.25">
      <c r="C93" s="281"/>
      <c r="D93" s="281"/>
      <c r="E93" s="281"/>
      <c r="F93" s="281"/>
      <c r="G93" s="281"/>
      <c r="H93" s="281"/>
      <c r="I93" s="281"/>
      <c r="J93" s="281"/>
    </row>
    <row r="94" spans="2:10" x14ac:dyDescent="0.25">
      <c r="C94" s="281"/>
      <c r="D94" s="281"/>
      <c r="E94" s="281"/>
      <c r="F94" s="281"/>
      <c r="G94" s="281"/>
      <c r="H94" s="281"/>
      <c r="I94" s="281"/>
      <c r="J94" s="281"/>
    </row>
    <row r="95" spans="2:10" x14ac:dyDescent="0.25">
      <c r="C95" s="281"/>
      <c r="D95" s="281"/>
      <c r="E95" s="281"/>
      <c r="F95" s="281"/>
      <c r="G95" s="281"/>
      <c r="H95" s="281"/>
      <c r="I95" s="281"/>
      <c r="J95" s="281"/>
    </row>
    <row r="96" spans="2:10" x14ac:dyDescent="0.25">
      <c r="C96" s="281"/>
      <c r="D96" s="281"/>
      <c r="E96" s="281"/>
      <c r="F96" s="281"/>
      <c r="G96" s="281"/>
      <c r="H96" s="281"/>
      <c r="I96" s="281"/>
      <c r="J96" s="281"/>
    </row>
    <row r="97" spans="3:10" x14ac:dyDescent="0.25">
      <c r="C97" s="281"/>
      <c r="D97" s="281"/>
      <c r="E97" s="281"/>
      <c r="F97" s="281"/>
      <c r="G97" s="281"/>
      <c r="H97" s="281"/>
      <c r="I97" s="281"/>
      <c r="J97" s="281"/>
    </row>
    <row r="98" spans="3:10" x14ac:dyDescent="0.25">
      <c r="C98" s="281"/>
      <c r="D98" s="281"/>
      <c r="E98" s="281"/>
      <c r="F98" s="281"/>
      <c r="G98" s="281"/>
      <c r="H98" s="281"/>
      <c r="I98" s="281"/>
      <c r="J98" s="281"/>
    </row>
    <row r="99" spans="3:10" x14ac:dyDescent="0.25">
      <c r="C99" s="281"/>
      <c r="D99" s="281"/>
      <c r="E99" s="281"/>
      <c r="F99" s="281"/>
      <c r="G99" s="281"/>
      <c r="H99" s="281"/>
      <c r="I99" s="281"/>
      <c r="J99" s="281"/>
    </row>
    <row r="100" spans="3:10" x14ac:dyDescent="0.25">
      <c r="C100" s="281"/>
      <c r="D100" s="281"/>
      <c r="E100" s="281"/>
      <c r="F100" s="281"/>
      <c r="G100" s="281"/>
      <c r="H100" s="281"/>
      <c r="I100" s="281"/>
      <c r="J100" s="281"/>
    </row>
    <row r="101" spans="3:10" x14ac:dyDescent="0.25">
      <c r="C101" s="281"/>
      <c r="D101" s="281"/>
      <c r="E101" s="281"/>
      <c r="F101" s="281"/>
      <c r="G101" s="281"/>
      <c r="H101" s="281"/>
      <c r="I101" s="281"/>
      <c r="J101" s="281"/>
    </row>
    <row r="102" spans="3:10" x14ac:dyDescent="0.25">
      <c r="C102" s="281"/>
      <c r="D102" s="281"/>
      <c r="E102" s="281"/>
      <c r="F102" s="281"/>
      <c r="G102" s="281"/>
      <c r="H102" s="281"/>
      <c r="I102" s="281"/>
      <c r="J102" s="281"/>
    </row>
    <row r="103" spans="3:10" x14ac:dyDescent="0.25">
      <c r="C103" s="281"/>
      <c r="D103" s="281"/>
      <c r="E103" s="281"/>
      <c r="F103" s="281"/>
      <c r="G103" s="281"/>
      <c r="H103" s="281"/>
      <c r="I103" s="281"/>
      <c r="J103" s="281"/>
    </row>
    <row r="104" spans="3:10" x14ac:dyDescent="0.25">
      <c r="C104" s="281"/>
      <c r="D104" s="281"/>
      <c r="E104" s="281"/>
      <c r="F104" s="281"/>
      <c r="G104" s="281"/>
      <c r="H104" s="281"/>
      <c r="I104" s="281"/>
      <c r="J104" s="281"/>
    </row>
    <row r="105" spans="3:10" x14ac:dyDescent="0.25">
      <c r="C105" s="281"/>
      <c r="D105" s="281"/>
      <c r="E105" s="281"/>
      <c r="F105" s="281"/>
      <c r="G105" s="281"/>
      <c r="H105" s="281"/>
      <c r="I105" s="281"/>
      <c r="J105" s="281"/>
    </row>
    <row r="106" spans="3:10" x14ac:dyDescent="0.25">
      <c r="C106" s="281"/>
      <c r="D106" s="281"/>
      <c r="E106" s="281"/>
      <c r="F106" s="281"/>
      <c r="G106" s="281"/>
      <c r="H106" s="281"/>
      <c r="I106" s="281"/>
      <c r="J106" s="281"/>
    </row>
    <row r="107" spans="3:10" x14ac:dyDescent="0.25">
      <c r="C107" s="281"/>
      <c r="D107" s="281"/>
      <c r="E107" s="281"/>
      <c r="F107" s="281"/>
      <c r="G107" s="281"/>
      <c r="H107" s="281"/>
      <c r="I107" s="281"/>
      <c r="J107" s="281"/>
    </row>
    <row r="108" spans="3:10" x14ac:dyDescent="0.25">
      <c r="C108" s="281"/>
      <c r="D108" s="281"/>
      <c r="E108" s="281"/>
      <c r="F108" s="281"/>
      <c r="G108" s="281"/>
      <c r="H108" s="281"/>
      <c r="I108" s="281"/>
      <c r="J108" s="281"/>
    </row>
    <row r="109" spans="3:10" x14ac:dyDescent="0.25">
      <c r="C109" s="281"/>
      <c r="D109" s="281"/>
      <c r="E109" s="281"/>
      <c r="F109" s="281"/>
      <c r="G109" s="281"/>
      <c r="H109" s="281"/>
      <c r="I109" s="281"/>
      <c r="J109" s="281"/>
    </row>
    <row r="110" spans="3:10" x14ac:dyDescent="0.25">
      <c r="C110" s="281"/>
      <c r="D110" s="281"/>
      <c r="E110" s="281"/>
      <c r="F110" s="281"/>
      <c r="G110" s="281"/>
      <c r="H110" s="281"/>
      <c r="I110" s="281"/>
      <c r="J110" s="281"/>
    </row>
  </sheetData>
  <dataConsolidate/>
  <customSheetViews>
    <customSheetView guid="{9EA95E61-FCA5-4867-AEB4-B8C24058ACDD}" showGridLines="0" showRowCol="0">
      <selection activeCell="G57" sqref="G57"/>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2"/>
  <sheetViews>
    <sheetView showGridLines="0" showRowColHeaders="0" topLeftCell="A7" zoomScaleNormal="100" workbookViewId="0">
      <selection activeCell="B20" sqref="B20"/>
    </sheetView>
  </sheetViews>
  <sheetFormatPr defaultRowHeight="15" x14ac:dyDescent="0.25"/>
  <cols>
    <col min="2" max="2" width="9.5703125" customWidth="1"/>
    <col min="3" max="3" width="13" customWidth="1"/>
    <col min="4" max="7" width="16.42578125" customWidth="1"/>
    <col min="8" max="8" width="17" customWidth="1"/>
    <col min="9" max="9" width="15.42578125" customWidth="1"/>
    <col min="10" max="10" width="28.28515625" customWidth="1"/>
    <col min="11" max="11" width="32.7109375" customWidth="1"/>
    <col min="12" max="12" width="16.28515625" customWidth="1"/>
    <col min="13" max="13" width="26.28515625" bestFit="1" customWidth="1"/>
    <col min="14" max="14" width="16.28515625" bestFit="1" customWidth="1"/>
    <col min="15" max="15" width="22.5703125" bestFit="1" customWidth="1"/>
    <col min="16" max="16" width="21.28515625" bestFit="1" customWidth="1"/>
    <col min="17" max="17" width="22.28515625" bestFit="1" customWidth="1"/>
  </cols>
  <sheetData>
    <row r="1" spans="2:21" x14ac:dyDescent="0.25">
      <c r="B1" s="231"/>
      <c r="C1" s="231"/>
      <c r="D1" s="231"/>
    </row>
    <row r="2" spans="2:21" x14ac:dyDescent="0.25">
      <c r="B2" s="231"/>
      <c r="C2" s="231"/>
      <c r="D2" s="231"/>
    </row>
    <row r="4" spans="2:21" ht="30" x14ac:dyDescent="0.4">
      <c r="B4" s="2" t="s">
        <v>158</v>
      </c>
    </row>
    <row r="5" spans="2:21" x14ac:dyDescent="0.25">
      <c r="B5" s="279"/>
      <c r="C5" s="281"/>
      <c r="D5" s="281"/>
      <c r="E5" s="281"/>
    </row>
    <row r="6" spans="2:21" ht="23.25" customHeight="1" x14ac:dyDescent="0.25">
      <c r="B6" s="280" t="s">
        <v>253</v>
      </c>
      <c r="C6" s="281"/>
      <c r="D6" s="281"/>
      <c r="E6" s="281"/>
      <c r="F6" s="236"/>
      <c r="G6" s="236"/>
    </row>
    <row r="7" spans="2:21" x14ac:dyDescent="0.25">
      <c r="B7" s="279"/>
      <c r="C7" s="279"/>
      <c r="D7" s="281"/>
      <c r="E7" s="281"/>
      <c r="F7" s="236"/>
      <c r="G7" s="236"/>
    </row>
    <row r="8" spans="2:21" ht="23.25" customHeight="1" x14ac:dyDescent="0.25">
      <c r="B8" s="280" t="s">
        <v>252</v>
      </c>
      <c r="C8" s="279"/>
      <c r="D8" s="281"/>
      <c r="E8" s="281"/>
      <c r="F8" s="236"/>
      <c r="G8" s="236"/>
      <c r="R8" s="8"/>
      <c r="S8" s="8"/>
      <c r="T8" s="8"/>
      <c r="U8" s="8"/>
    </row>
    <row r="9" spans="2:21" x14ac:dyDescent="0.25">
      <c r="B9" s="279" t="s">
        <v>251</v>
      </c>
      <c r="C9" s="279"/>
      <c r="D9" s="281"/>
      <c r="E9" s="281"/>
      <c r="F9" s="236"/>
      <c r="G9" s="236"/>
      <c r="R9" s="8"/>
      <c r="S9" s="8"/>
      <c r="T9" s="8"/>
      <c r="U9" s="8"/>
    </row>
    <row r="10" spans="2:21" x14ac:dyDescent="0.25">
      <c r="B10" s="678" t="s">
        <v>243</v>
      </c>
      <c r="C10" s="678"/>
      <c r="D10" s="678"/>
      <c r="E10" s="678"/>
      <c r="F10" s="236"/>
      <c r="G10" s="236"/>
      <c r="R10" s="8"/>
      <c r="S10" s="8"/>
      <c r="T10" s="8"/>
      <c r="U10" s="8"/>
    </row>
    <row r="11" spans="2:21" x14ac:dyDescent="0.25">
      <c r="B11" s="315"/>
      <c r="C11" s="315"/>
      <c r="D11" s="316"/>
      <c r="E11" s="316"/>
      <c r="F11" s="271"/>
      <c r="G11" s="271"/>
      <c r="R11" s="8"/>
      <c r="S11" s="8"/>
      <c r="T11" s="8"/>
      <c r="U11" s="8"/>
    </row>
    <row r="12" spans="2:21" x14ac:dyDescent="0.25">
      <c r="B12" s="316"/>
      <c r="C12" s="316"/>
      <c r="D12" s="316"/>
      <c r="E12" s="316"/>
      <c r="F12" s="271"/>
      <c r="G12" s="271"/>
      <c r="R12" s="8"/>
      <c r="S12" s="8"/>
      <c r="T12" s="8"/>
      <c r="U12" s="8"/>
    </row>
    <row r="13" spans="2:21" x14ac:dyDescent="0.25">
      <c r="B13" s="317" t="s">
        <v>1</v>
      </c>
      <c r="C13" s="317" t="s">
        <v>413</v>
      </c>
      <c r="D13" s="317" t="s">
        <v>414</v>
      </c>
      <c r="E13" s="317" t="s">
        <v>482</v>
      </c>
      <c r="M13" s="8"/>
      <c r="N13" s="8"/>
      <c r="O13" s="8"/>
      <c r="P13" s="8"/>
    </row>
    <row r="14" spans="2:21" x14ac:dyDescent="0.25">
      <c r="B14" s="318" t="s">
        <v>4</v>
      </c>
      <c r="C14" s="319">
        <f>IF($B$10="A&amp;E Services",'Reference Costs Output (2)'!E13,IF($B$10="Chemo/Radiotherapy &amp; High Cost Drugs ",'Reference Costs Output (2)'!E24,IF($B$10="Community Care",'Reference Costs Output (2)'!E34,IF($B$10="Diagnostic Tests",'Reference Costs Output (2)'!E44,IF($B$10="Hospital and Non-Admitted Mental Health",'Reference Costs Output (2)'!E54,IF($B$10="Hospital/Patient Transport Sheme",'Reference Costs Output (2)'!E64,IF($B$10="Other",'Reference Costs Output (2)'!E74,IF($B$10="Outpatient",'Reference Costs Output (2)'!E84,IF($B$10="Radiology",'Reference Costs Output (2)'!E94,IF($B$10="Rehabilitation",'Reference Costs Output (2)'!E104,IF($B$10="Renal Dialysis",'Reference Costs Output (2)'!E114,IF($B$10="Specialist Services",'Reference Costs Output (2)'!E124,IF($B$10="Opth&amp;Dentistry",'Reference Costs Output (2)'!E134,'Reference Costs Output (2)'!E141)))))))))))))</f>
        <v>23189303</v>
      </c>
      <c r="D14" s="339">
        <f>IF($B$10="A&amp;E Services",'Reference Costs Output (2)'!F13,IF($B$10="Chemo/Radiotherapy &amp; High Cost Drugs ",'Reference Costs Output (2)'!F24,IF($B$10="Community Care",'Reference Costs Output (2)'!F34,IF($B$10="Diagnostic Tests",'Reference Costs Output (2)'!F44,IF($B$10="Hospital and Non-Admitted Mental Health",'Reference Costs Output (2)'!F54,IF($B$10="Hospital/Patient Transport Sheme",'Reference Costs Output (2)'!F64,IF($B$10="Other",'Reference Costs Output (2)'!F74,IF($B$10="Outpatient",'Reference Costs Output (2)'!F84,IF($B$10="Radiology",'Reference Costs Output (2)'!F94,IF($B$10="Rehabilitation",'Reference Costs Output (2)'!F104,IF($B$10="Renal Dialysis",'Reference Costs Output (2)'!F114,IF($B$10="Specialist Services",'Reference Costs Output (2)'!F124,IF($B$10="Opth&amp;Dentistry",'Reference Costs Output (2)'!F134,'Reference Costs Output (2)'!F141)))))))))))))</f>
        <v>2653789144</v>
      </c>
      <c r="E14" s="339"/>
      <c r="F14" s="339"/>
      <c r="G14" s="339"/>
      <c r="H14" s="505"/>
      <c r="M14" s="8"/>
      <c r="N14" s="8"/>
      <c r="O14" s="8"/>
      <c r="P14" s="8"/>
    </row>
    <row r="15" spans="2:21" x14ac:dyDescent="0.25">
      <c r="B15" s="318" t="s">
        <v>5</v>
      </c>
      <c r="C15" s="319">
        <f>IF($B$10="A&amp;E Services",'Reference Costs Output (2)'!E14,IF($B$10="Chemo/Radiotherapy &amp; High Cost Drugs ",'Reference Costs Output (2)'!E25,IF($B$10="Community Care",'Reference Costs Output (2)'!E35,IF($B$10="Diagnostic Tests",'Reference Costs Output (2)'!E45,IF($B$10="Hospital and Non-Admitted Mental Health",'Reference Costs Output (2)'!E55,IF($B$10="Hospital/Patient Transport Sheme",'Reference Costs Output (2)'!E65,IF($B$10="Other",'Reference Costs Output (2)'!E75,IF($B$10="Outpatient",'Reference Costs Output (2)'!E85,IF($B$10="Radiology",'Reference Costs Output (2)'!E95,IF($B$10="Rehabilitation",'Reference Costs Output (2)'!E105,IF($B$10="Renal Dialysis",'Reference Costs Output (2)'!E115,IF($B$10="Specialist Services",'Reference Costs Output (2)'!E125,IF($B$10="Opth&amp;Dentistry",'Reference Costs Output (2)'!E135,'Reference Costs Output (2)'!E142)))))))))))))</f>
        <v>24815831</v>
      </c>
      <c r="D15" s="339">
        <f>IF($B$10="A&amp;E Services",'Reference Costs Output (2)'!F14,IF($B$10="Chemo/Radiotherapy &amp; High Cost Drugs ",'Reference Costs Output (2)'!F25,IF($B$10="Community Care",'Reference Costs Output (2)'!F35,IF($B$10="Diagnostic Tests",'Reference Costs Output (2)'!F45,IF($B$10="Hospital and Non-Admitted Mental Health",'Reference Costs Output (2)'!F55,IF($B$10="Hospital/Patient Transport Sheme",'Reference Costs Output (2)'!F65,IF($B$10="Other",'Reference Costs Output (2)'!F75,IF($B$10="Outpatient",'Reference Costs Output (2)'!F85,IF($B$10="Radiology",'Reference Costs Output (2)'!F95,IF($B$10="Rehabilitation",'Reference Costs Output (2)'!F105,IF($B$10="Renal Dialysis",'Reference Costs Output (2)'!F115,IF($B$10="Specialist Services",'Reference Costs Output (2)'!F125,IF($B$10="Opth&amp;Dentistry",'Reference Costs Output (2)'!F135,'Reference Costs Output (2)'!F142)))))))))))))</f>
        <v>3021863889</v>
      </c>
      <c r="E15" s="505">
        <f>H15</f>
        <v>7.9685598416015191E-2</v>
      </c>
      <c r="F15" s="339"/>
      <c r="G15" s="339"/>
      <c r="H15" s="506">
        <f>IF($B$10="A&amp;E Services",'Reference Costs Output (2)'!J14,IF($B$10="Chemo/Radiotherapy &amp; High Cost Drugs ",'Reference Costs Output (2)'!J25,IF($B$10="Community Care",'Reference Costs Output (2)'!#REF!,IF($B$10="Diagnostic Tests",'Reference Costs Output (2)'!J45,IF($B$10="Hospital and Non-Admitted Mental Health",'Reference Costs Output (2)'!K45,IF($B$10="Hospital/Patient Transport Sheme",'Reference Costs Output (2)'!J65,IF($B$10="Other",'Reference Costs Output (2)'!J75,IF($B$10="Outpatient",'Reference Costs Output (2)'!J85,IF($B$10="Radiology",'Reference Costs Output (2)'!J95,IF($B$10="Rehabilitation",'Reference Costs Output (2)'!J105,IF($B$10="Renal Dialysis",'Reference Costs Output (2)'!J115,IF($B$10="Specialist Services",'Reference Costs Output (2)'!J125,IF($B$10="Opth&amp;Dentistry",'Reference Costs Output (2)'!J135,'Reference Costs Output (2)'!J142)))))))))))))</f>
        <v>7.9685598416015191E-2</v>
      </c>
      <c r="M15" s="8"/>
      <c r="N15" s="8"/>
      <c r="O15" s="8"/>
      <c r="P15" s="8"/>
    </row>
    <row r="16" spans="2:21" x14ac:dyDescent="0.25">
      <c r="B16" s="318" t="s">
        <v>6</v>
      </c>
      <c r="C16" s="319">
        <f>IF($B$10="A&amp;E Services",'Reference Costs Output (2)'!E15,IF($B$10="Chemo/Radiotherapy &amp; High Cost Drugs ",'Reference Costs Output (2)'!E26,IF($B$10="Community Care",'Reference Costs Output (2)'!E36,IF($B$10="Diagnostic Tests",'Reference Costs Output (2)'!E46,IF($B$10="Hospital and Non-Admitted Mental Health",'Reference Costs Output (2)'!E56,IF($B$10="Hospital/Patient Transport Sheme",'Reference Costs Output (2)'!E66,IF($B$10="Other",'Reference Costs Output (2)'!E76,IF($B$10="Outpatient",'Reference Costs Output (2)'!E86,IF($B$10="Radiology",'Reference Costs Output (2)'!E96,IF($B$10="Rehabilitation",'Reference Costs Output (2)'!E106,IF($B$10="Renal Dialysis",'Reference Costs Output (2)'!E116,IF($B$10="Specialist Services",'Reference Costs Output (2)'!E126,IF($B$10="Opth&amp;Dentistry",'Reference Costs Output (2)'!E136,'Reference Costs Output (2)'!E143)))))))))))))</f>
        <v>25574685</v>
      </c>
      <c r="D16" s="339">
        <f>IF($B$10="A&amp;E Services",'Reference Costs Output (2)'!F15,IF($B$10="Chemo/Radiotherapy &amp; High Cost Drugs ",'Reference Costs Output (2)'!F26,IF($B$10="Community Care",'Reference Costs Output (2)'!F36,IF($B$10="Diagnostic Tests",'Reference Costs Output (2)'!F46,IF($B$10="Hospital and Non-Admitted Mental Health",'Reference Costs Output (2)'!F56,IF($B$10="Hospital/Patient Transport Sheme",'Reference Costs Output (2)'!F66,IF($B$10="Other",'Reference Costs Output (2)'!F76,IF($B$10="Outpatient",'Reference Costs Output (2)'!F86,IF($B$10="Radiology",'Reference Costs Output (2)'!F96,IF($B$10="Rehabilitation",'Reference Costs Output (2)'!F106,IF($B$10="Renal Dialysis",'Reference Costs Output (2)'!F116,IF($B$10="Specialist Services",'Reference Costs Output (2)'!F126,IF($B$10="Opth&amp;Dentistry",'Reference Costs Output (2)'!F136,'Reference Costs Output (2)'!F143)))))))))))))</f>
        <v>3296888378</v>
      </c>
      <c r="E16" s="505">
        <f t="shared" ref="E16:E17" si="0">H16</f>
        <v>4.9088487585418283E-2</v>
      </c>
      <c r="F16" s="339"/>
      <c r="G16" s="339"/>
      <c r="H16" s="506">
        <f>IF($B$10="A&amp;E Services",'Reference Costs Output (2)'!J15,IF($B$10="Chemo/Radiotherapy &amp; High Cost Drugs ",'Reference Costs Output (2)'!J26,IF($B$10="Community Care",'Reference Costs Output (2)'!#REF!,IF($B$10="Diagnostic Tests",'Reference Costs Output (2)'!J46,IF($B$10="Hospital and Non-Admitted Mental Health",'Reference Costs Output (2)'!K46,IF($B$10="Hospital/Patient Transport Sheme",'Reference Costs Output (2)'!J66,IF($B$10="Other",'Reference Costs Output (2)'!J76,IF($B$10="Outpatient",'Reference Costs Output (2)'!J86,IF($B$10="Radiology",'Reference Costs Output (2)'!J96,IF($B$10="Rehabilitation",'Reference Costs Output (2)'!J106,IF($B$10="Renal Dialysis",'Reference Costs Output (2)'!J116,IF($B$10="Specialist Services",'Reference Costs Output (2)'!J126,IF($B$10="Opth&amp;Dentistry",'Reference Costs Output (2)'!J136,'Reference Costs Output (2)'!J143)))))))))))))</f>
        <v>4.9088487585418283E-2</v>
      </c>
      <c r="M16" s="8"/>
      <c r="N16" s="8"/>
      <c r="O16" s="8"/>
      <c r="P16" s="8"/>
    </row>
    <row r="17" spans="1:21" x14ac:dyDescent="0.25">
      <c r="B17" s="318" t="s">
        <v>7</v>
      </c>
      <c r="C17" s="319">
        <f>IF($B$10="A&amp;E Services",'Reference Costs Output (2)'!E16,IF($B$10="Chemo/Radiotherapy &amp; High Cost Drugs ",'Reference Costs Output (2)'!E27,IF($B$10="Community Care",'Reference Costs Output (2)'!E37,IF($B$10="Diagnostic Tests",'Reference Costs Output (2)'!E47,IF($B$10="Hospital and Non-Admitted Mental Health",'Reference Costs Output (2)'!E57,IF($B$10="Hospital/Patient Transport Sheme",'Reference Costs Output (2)'!E67,IF($B$10="Other",'Reference Costs Output (2)'!E77,IF($B$10="Outpatient",'Reference Costs Output (2)'!E87,IF($B$10="Radiology",'Reference Costs Output (2)'!E97,IF($B$10="Rehabilitation",'Reference Costs Output (2)'!E107,IF($B$10="Renal Dialysis",'Reference Costs Output (2)'!E117,IF($B$10="Specialist Services",'Reference Costs Output (2)'!E127,IF($B$10="Opth&amp;Dentistry",'Reference Costs Output (2)'!E137,'Reference Costs Output (2)'!E144)))))))))))))</f>
        <v>25758593</v>
      </c>
      <c r="D17" s="339">
        <f>IF($B$10="A&amp;E Services",'Reference Costs Output (2)'!F16,IF($B$10="Chemo/Radiotherapy &amp; High Cost Drugs ",'Reference Costs Output (2)'!F27,IF($B$10="Community Care",'Reference Costs Output (2)'!F37,IF($B$10="Diagnostic Tests",'Reference Costs Output (2)'!F47,IF($B$10="Hospital and Non-Admitted Mental Health",'Reference Costs Output (2)'!F57,IF($B$10="Hospital/Patient Transport Sheme",'Reference Costs Output (2)'!F67,IF($B$10="Other",'Reference Costs Output (2)'!F77,IF($B$10="Outpatient",'Reference Costs Output (2)'!F87,IF($B$10="Radiology",'Reference Costs Output (2)'!F97,IF($B$10="Rehabilitation",'Reference Costs Output (2)'!F107,IF($B$10="Renal Dialysis",'Reference Costs Output (2)'!F117,IF($B$10="Specialist Services",'Reference Costs Output (2)'!F127,IF($B$10="Opth&amp;Dentistry",'Reference Costs Output (2)'!F137,'Reference Costs Output (2)'!F144)))))))))))))</f>
        <v>3431897220</v>
      </c>
      <c r="E17" s="505">
        <f t="shared" si="0"/>
        <v>2.3388636914548178E-2</v>
      </c>
      <c r="F17" s="339"/>
      <c r="G17" s="339"/>
      <c r="H17" s="506">
        <f>IF($B$10="A&amp;E Services",'Reference Costs Output (2)'!J16,IF($B$10="Chemo/Radiotherapy &amp; High Cost Drugs ",'Reference Costs Output (2)'!J27,IF($B$10="Community Care",'Reference Costs Output (2)'!#REF!,IF($B$10="Diagnostic Tests",'Reference Costs Output (2)'!J47,IF($B$10="Hospital and Non-Admitted Mental Health",'Reference Costs Output (2)'!K47,IF($B$10="Hospital/Patient Transport Sheme",'Reference Costs Output (2)'!J67,IF($B$10="Other",'Reference Costs Output (2)'!J77,IF($B$10="Outpatient",'Reference Costs Output (2)'!J87,IF($B$10="Radiology",'Reference Costs Output (2)'!J97,IF($B$10="Rehabilitation",'Reference Costs Output (2)'!J107,IF($B$10="Renal Dialysis",'Reference Costs Output (2)'!J117,IF($B$10="Specialist Services",'Reference Costs Output (2)'!J127,IF($B$10="Opth&amp;Dentistry",'Reference Costs Output (2)'!J137,'Reference Costs Output (2)'!J144)))))))))))))</f>
        <v>2.3388636914548178E-2</v>
      </c>
    </row>
    <row r="18" spans="1:21" x14ac:dyDescent="0.25">
      <c r="B18" s="281"/>
      <c r="C18" s="281"/>
      <c r="D18" s="281"/>
      <c r="E18" s="281"/>
      <c r="H18" s="281"/>
      <c r="I18" s="279"/>
      <c r="J18" s="8"/>
      <c r="K18" s="8"/>
    </row>
    <row r="19" spans="1:21" x14ac:dyDescent="0.25">
      <c r="H19" s="264"/>
      <c r="I19" s="265"/>
      <c r="J19" s="265"/>
      <c r="K19" s="263"/>
    </row>
    <row r="20" spans="1:21" x14ac:dyDescent="0.25">
      <c r="B20" s="279" t="s">
        <v>272</v>
      </c>
      <c r="H20" s="264"/>
      <c r="I20" s="265"/>
      <c r="J20" s="265"/>
      <c r="K20" s="263"/>
    </row>
    <row r="21" spans="1:21" ht="23.25" customHeight="1" x14ac:dyDescent="0.25">
      <c r="H21" s="266" t="s">
        <v>4</v>
      </c>
      <c r="I21" s="265">
        <f>1</f>
        <v>1</v>
      </c>
      <c r="J21" s="265">
        <f>1</f>
        <v>1</v>
      </c>
      <c r="K21" s="263"/>
    </row>
    <row r="22" spans="1:21" ht="22.5" x14ac:dyDescent="0.25">
      <c r="H22" s="266" t="s">
        <v>5</v>
      </c>
      <c r="I22" s="264">
        <f t="shared" ref="I22:J24" si="1">C15/C$14</f>
        <v>1.0701413061013521</v>
      </c>
      <c r="J22" s="264">
        <f t="shared" si="1"/>
        <v>1.1386978109516299</v>
      </c>
      <c r="K22" s="262"/>
      <c r="R22" s="8"/>
      <c r="S22" s="8"/>
      <c r="T22" s="8"/>
      <c r="U22" s="8"/>
    </row>
    <row r="23" spans="1:21" ht="22.5" x14ac:dyDescent="0.25">
      <c r="H23" s="266" t="s">
        <v>6</v>
      </c>
      <c r="I23" s="264">
        <f t="shared" si="1"/>
        <v>1.1028656186863399</v>
      </c>
      <c r="J23" s="264">
        <f t="shared" si="1"/>
        <v>1.2423324533729421</v>
      </c>
      <c r="K23" s="262"/>
      <c r="R23" s="8"/>
      <c r="S23" s="8"/>
      <c r="T23" s="8"/>
      <c r="U23" s="8"/>
    </row>
    <row r="24" spans="1:21" ht="22.5" x14ac:dyDescent="0.25">
      <c r="A24" s="6"/>
      <c r="H24" s="266" t="s">
        <v>7</v>
      </c>
      <c r="I24" s="264">
        <f t="shared" si="1"/>
        <v>1.1107963443316946</v>
      </c>
      <c r="J24" s="264">
        <f t="shared" si="1"/>
        <v>1.2932064432320249</v>
      </c>
      <c r="K24" s="262"/>
      <c r="R24" s="8"/>
      <c r="S24" s="8"/>
      <c r="T24" s="8"/>
      <c r="U24" s="8"/>
    </row>
    <row r="25" spans="1:21" x14ac:dyDescent="0.25">
      <c r="A25" s="5"/>
      <c r="H25" s="264"/>
      <c r="I25" s="264"/>
      <c r="J25" s="264"/>
      <c r="K25" s="262"/>
      <c r="R25" s="8"/>
      <c r="S25" s="8"/>
      <c r="T25" s="8"/>
      <c r="U25" s="8"/>
    </row>
    <row r="26" spans="1:21" x14ac:dyDescent="0.25">
      <c r="A26" s="5"/>
      <c r="H26" s="264"/>
      <c r="I26" s="264"/>
      <c r="J26" s="264"/>
      <c r="K26" s="262"/>
      <c r="R26" s="8"/>
      <c r="S26" s="8"/>
      <c r="T26" s="8"/>
      <c r="U26" s="8"/>
    </row>
    <row r="27" spans="1:21" x14ac:dyDescent="0.25">
      <c r="A27" s="5"/>
    </row>
    <row r="28" spans="1:21" ht="23.25" customHeight="1" x14ac:dyDescent="0.25">
      <c r="A28" s="5"/>
    </row>
    <row r="29" spans="1:21" x14ac:dyDescent="0.25">
      <c r="A29" s="5"/>
    </row>
    <row r="30" spans="1:21" x14ac:dyDescent="0.25">
      <c r="A30" s="5"/>
    </row>
    <row r="31" spans="1:21" x14ac:dyDescent="0.25">
      <c r="A31" s="5"/>
    </row>
    <row r="32" spans="1:21" x14ac:dyDescent="0.25">
      <c r="A32" s="5"/>
    </row>
    <row r="33" spans="1:1" x14ac:dyDescent="0.25">
      <c r="A33" s="5"/>
    </row>
    <row r="34" spans="1:1" x14ac:dyDescent="0.25">
      <c r="A34" s="5"/>
    </row>
    <row r="35" spans="1:1" ht="23.25" customHeight="1" x14ac:dyDescent="0.25"/>
    <row r="42" spans="1:1" ht="23.25" customHeight="1" x14ac:dyDescent="0.25"/>
    <row r="56" ht="23.25" customHeight="1" x14ac:dyDescent="0.25"/>
    <row r="63" ht="23.25" customHeight="1" x14ac:dyDescent="0.25"/>
    <row r="70" ht="23.25" customHeight="1" x14ac:dyDescent="0.25"/>
    <row r="77" ht="23.25" customHeight="1" x14ac:dyDescent="0.25"/>
    <row r="84" ht="23.25" customHeight="1" x14ac:dyDescent="0.25"/>
    <row r="92" ht="23.25" customHeight="1" x14ac:dyDescent="0.25"/>
  </sheetData>
  <dataConsolidate/>
  <mergeCells count="1">
    <mergeCell ref="B10:E10"/>
  </mergeCells>
  <dataValidations count="3">
    <dataValidation allowBlank="1" showInputMessage="1" showErrorMessage="1" promptTitle="QtPt" prompt="Total cost=quantity multiplied by unit cost" sqref="D13:E13"/>
    <dataValidation allowBlank="1" showInputMessage="1" showErrorMessage="1" promptTitle="Qt" prompt="Quantity_x000a_" sqref="C13"/>
    <dataValidation type="list" allowBlank="1" showInputMessage="1" showErrorMessage="1" sqref="B10">
      <formula1>Reference_costs</formula1>
    </dataValidation>
  </dataValidation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85"/>
  <sheetViews>
    <sheetView showGridLines="0" showRowColHeaders="0" zoomScaleNormal="100" workbookViewId="0">
      <selection activeCell="B9" sqref="B9:C9"/>
    </sheetView>
  </sheetViews>
  <sheetFormatPr defaultRowHeight="15" x14ac:dyDescent="0.25"/>
  <cols>
    <col min="2" max="2" width="35" customWidth="1"/>
    <col min="3" max="3" width="14.42578125" customWidth="1"/>
    <col min="4" max="4" width="13.7109375" customWidth="1"/>
    <col min="5" max="5" width="17.28515625" customWidth="1"/>
    <col min="6" max="6" width="15.140625" customWidth="1"/>
    <col min="7" max="7" width="12.85546875" customWidth="1"/>
    <col min="8" max="8" width="14.5703125" customWidth="1"/>
    <col min="9" max="9" width="21.5703125" customWidth="1"/>
    <col min="10" max="10" width="30" customWidth="1"/>
    <col min="11" max="11" width="3.5703125" customWidth="1"/>
    <col min="12" max="12" width="26.28515625" bestFit="1" customWidth="1"/>
    <col min="13" max="13" width="16.28515625" bestFit="1" customWidth="1"/>
    <col min="14" max="14" width="22.5703125" bestFit="1" customWidth="1"/>
    <col min="15" max="15" width="21.28515625" bestFit="1" customWidth="1"/>
    <col min="16" max="16" width="22.28515625" bestFit="1" customWidth="1"/>
  </cols>
  <sheetData>
    <row r="1" spans="1:20" x14ac:dyDescent="0.25">
      <c r="A1" s="657"/>
      <c r="B1" s="657"/>
      <c r="D1" s="231"/>
      <c r="E1" s="231"/>
    </row>
    <row r="2" spans="1:20" x14ac:dyDescent="0.25">
      <c r="D2" s="231"/>
      <c r="E2" s="231"/>
    </row>
    <row r="3" spans="1:20" x14ac:dyDescent="0.25">
      <c r="D3" s="231"/>
      <c r="E3" s="231"/>
    </row>
    <row r="4" spans="1:20" ht="30" x14ac:dyDescent="0.4">
      <c r="B4" s="2" t="s">
        <v>142</v>
      </c>
    </row>
    <row r="5" spans="1:20" ht="23.25" customHeight="1" x14ac:dyDescent="0.25">
      <c r="B5" s="280" t="s">
        <v>447</v>
      </c>
      <c r="C5" s="281"/>
      <c r="D5" s="281"/>
      <c r="E5" s="281"/>
      <c r="F5" s="281"/>
      <c r="G5" s="281"/>
      <c r="H5" s="281"/>
      <c r="I5" s="281"/>
    </row>
    <row r="6" spans="1:20" x14ac:dyDescent="0.25">
      <c r="B6" s="279"/>
      <c r="C6" s="279"/>
      <c r="D6" s="281"/>
      <c r="E6" s="281"/>
      <c r="F6" s="281"/>
      <c r="G6" s="281"/>
      <c r="H6" s="281"/>
      <c r="I6" s="281"/>
    </row>
    <row r="7" spans="1:20" x14ac:dyDescent="0.25">
      <c r="B7" s="280" t="s">
        <v>252</v>
      </c>
      <c r="C7" s="279"/>
      <c r="D7" s="281"/>
      <c r="E7" s="281"/>
      <c r="F7" s="281"/>
      <c r="G7" s="281"/>
      <c r="H7" s="281"/>
      <c r="I7" s="281"/>
      <c r="Q7" s="8"/>
      <c r="R7" s="8"/>
      <c r="S7" s="8"/>
      <c r="T7" s="8"/>
    </row>
    <row r="8" spans="1:20" x14ac:dyDescent="0.25">
      <c r="B8" s="274" t="s">
        <v>251</v>
      </c>
      <c r="C8" s="274"/>
      <c r="D8" s="285"/>
      <c r="E8" s="285"/>
      <c r="F8" s="281"/>
      <c r="G8" s="279"/>
      <c r="H8" s="279"/>
      <c r="I8" s="279"/>
      <c r="J8" s="8"/>
    </row>
    <row r="9" spans="1:20" x14ac:dyDescent="0.25">
      <c r="B9" s="666" t="s">
        <v>326</v>
      </c>
      <c r="C9" s="679"/>
      <c r="D9" s="326"/>
      <c r="E9" s="326"/>
      <c r="F9" s="281"/>
      <c r="G9" s="279"/>
      <c r="H9" s="279"/>
      <c r="I9" s="279"/>
      <c r="J9" s="8"/>
    </row>
    <row r="10" spans="1:20" ht="23.25" customHeight="1" x14ac:dyDescent="0.25">
      <c r="B10" s="281"/>
      <c r="C10" s="281"/>
      <c r="D10" s="281"/>
      <c r="E10" s="281"/>
      <c r="F10" s="281"/>
      <c r="G10" s="279"/>
      <c r="H10" s="279"/>
      <c r="I10" s="279"/>
      <c r="J10" s="8"/>
    </row>
    <row r="11" spans="1:20" ht="25.5" x14ac:dyDescent="0.3">
      <c r="B11" s="501" t="str">
        <f>IF($B$9="Elective and Day Case",'HES output (2)'!D12, IF($B$9="Non-elective",'HES output (2)'!D25,IF($B$9="Elective and Day Case Mental Health",'HES output (2)'!D38,'HES output (2)'!D51)))</f>
        <v>Year</v>
      </c>
      <c r="C11" s="501" t="str">
        <f>IF($B$9="Elective and Day Case",'HES output (2)'!E12, IF($B$9="Non-elective",'HES output (2)'!E25,IF($B$9="Elective and Day Case Mental Health",'HES output (2)'!E38,'HES output (2)'!E51)))</f>
        <v>Total CIPS</v>
      </c>
      <c r="D11" s="501" t="str">
        <f>IF($B$9="Elective and Day Case",'HES output (2)'!F12, IF($B$9="Non-elective",'HES output (2)'!F25,IF($B$9="Elective and Day Case Mental Health",'HES output (2)'!F38,'HES output (2)'!F51)))</f>
        <v>Average Cost</v>
      </c>
      <c r="E11" s="501" t="str">
        <f>IF($B$9="Elective and Day Case",'HES output (2)'!G12, IF($B$9="Non-elective",'HES output (2)'!G25,IF($B$9="Elective and Day Case Mental Health",'HES output (2)'!G38,'HES output (2)'!G51)))</f>
        <v>QtPt</v>
      </c>
      <c r="F11" s="501" t="str">
        <f>IF($B$9="Elective and Day Case",'HES output (2)'!I12, IF($B$9="Non-elective",'HES output (2)'!I25,IF($B$9="Elective and Day Case Mental Health",'HES output (2)'!I38,'HES output (2)'!I51)))</f>
        <v>30-day survival</v>
      </c>
      <c r="G11" s="501" t="str">
        <f>IF($B$9="Elective and Day Case",'HES output (2)'!J12, IF($B$9="Non-elective",'HES output (2)'!J25,IF($B$9="Elective and Day Case Mental Health",'HES output (2)'!J38,'HES output (2)'!J51)))</f>
        <v>Average age</v>
      </c>
      <c r="H11" s="501" t="str">
        <f>IF($B$9="Elective and Day Case",'HES output (2)'!K12, IF($B$9="Non-elective",'HES output (2)'!K25,IF($B$9="Elective and Day Case Mental Health",'HES output (2)'!K38,'HES output (2)'!K51)))</f>
        <v>Average QALE</v>
      </c>
      <c r="I11" s="502" t="str">
        <f>IF($B$9="Elective and Day Case",'HES output (2)'!L12, IF($B$9="Non-elective",'HES output (2)'!L25,IF($B$9="Elective and Day Case Mental Health",'HES output (2)'!L38,'HES output (2)'!L51)))</f>
        <v>80th percentile waiting time*</v>
      </c>
      <c r="J11" s="232"/>
      <c r="K11" s="232"/>
      <c r="L11" s="231"/>
    </row>
    <row r="12" spans="1:20" ht="22.5" x14ac:dyDescent="0.3">
      <c r="B12" s="501" t="s">
        <v>74</v>
      </c>
      <c r="C12" s="287">
        <f>IF($B$9="Elective and Day Case",'HES output (2)'!E13, IF($B$9="Non-elective",'HES output (2)'!E26,IF($B$9="Elective and Day Case Mental Health",'HES output (2)'!E39,'HES output (2)'!E52)))</f>
        <v>123983</v>
      </c>
      <c r="D12" s="328">
        <f>IF($B$9="Elective and Day Case",'HES output (2)'!F13, IF($B$9="Non-elective",'HES output (2)'!F26,IF($B$9="Elective and Day Case Mental Health",'HES output (2)'!F39,'HES output (2)'!F52)))</f>
        <v>1012</v>
      </c>
      <c r="E12" s="328">
        <f>IF($B$9="Elective and Day Case",'HES output (2)'!G13, IF($B$9="Non-elective",'HES output (2)'!G26,IF($B$9="Elective and Day Case Mental Health",'HES output (2)'!G39,'HES output (2)'!G52)))</f>
        <v>125470796</v>
      </c>
      <c r="F12" s="329">
        <f>IF($B$9="Elective and Day Case",'HES output (2)'!I13, IF($B$9="Non-elective",'HES output (2)'!I26,IF($B$9="Elective and Day Case Mental Health",'HES output (2)'!I39,'HES output (2)'!I52)))</f>
        <v>0.96960000000000002</v>
      </c>
      <c r="G12" s="586" t="str">
        <f>IF($B$9="Elective and Day Case",'HES output (2)'!J13, IF($B$9="Non-elective",'HES output (2)'!J26,IF($B$9="Elective and Day Case Mental Health",'HES output (2)'!J39,'HES output (2)'!J52)))</f>
        <v>n/a</v>
      </c>
      <c r="H12" s="586">
        <f>IF($B$9="Elective and Day Case",'HES output (2)'!K13, IF($B$9="Non-elective",'HES output (2)'!K26,IF($B$9="Elective and Day Case Mental Health",'HES output (2)'!K39,'HES output (2)'!K52)))</f>
        <v>28.7</v>
      </c>
      <c r="I12" s="287" t="str">
        <f>IF($B$9="Elective and Day Case",'HES output (2)'!L13, IF($B$9="Non-elective",'HES output (2)'!L26,IF($B$9="Elective and Day Case Mental Health",'HES output (2)'!L39,'HES output (2)'!L52)))</f>
        <v>n/a</v>
      </c>
      <c r="J12" s="232"/>
      <c r="K12" s="232"/>
      <c r="L12" s="231"/>
    </row>
    <row r="13" spans="1:20" ht="22.5" x14ac:dyDescent="0.3">
      <c r="B13" s="501" t="s">
        <v>75</v>
      </c>
      <c r="C13" s="287">
        <f>IF($B$9="Elective and Day Case",'HES output (2)'!E14, IF($B$9="Non-elective",'HES output (2)'!E27,IF($B$9="Elective and Day Case Mental Health",'HES output (2)'!E40,'HES output (2)'!E53)))</f>
        <v>120203</v>
      </c>
      <c r="D13" s="328">
        <f>IF($B$9="Elective and Day Case",'HES output (2)'!F14, IF($B$9="Non-elective",'HES output (2)'!F27,IF($B$9="Elective and Day Case Mental Health",'HES output (2)'!F40,'HES output (2)'!F53)))</f>
        <v>1012</v>
      </c>
      <c r="E13" s="328">
        <f>IF($B$9="Elective and Day Case",'HES output (2)'!G14, IF($B$9="Non-elective",'HES output (2)'!G27,IF($B$9="Elective and Day Case Mental Health",'HES output (2)'!G40,'HES output (2)'!G53)))</f>
        <v>121645436</v>
      </c>
      <c r="F13" s="329">
        <f>IF($B$9="Elective and Day Case",'HES output (2)'!I14, IF($B$9="Non-elective",'HES output (2)'!I27,IF($B$9="Elective and Day Case Mental Health",'HES output (2)'!I40,'HES output (2)'!I53)))</f>
        <v>0.97219999999999995</v>
      </c>
      <c r="G13" s="586" t="str">
        <f>IF($B$9="Elective and Day Case",'HES output (2)'!J14, IF($B$9="Non-elective",'HES output (2)'!J27,IF($B$9="Elective and Day Case Mental Health",'HES output (2)'!J40,'HES output (2)'!J53)))</f>
        <v>n/a</v>
      </c>
      <c r="H13" s="586">
        <f>IF($B$9="Elective and Day Case",'HES output (2)'!K14, IF($B$9="Non-elective",'HES output (2)'!K27,IF($B$9="Elective and Day Case Mental Health",'HES output (2)'!K40,'HES output (2)'!K53)))</f>
        <v>28.9</v>
      </c>
      <c r="I13" s="287" t="str">
        <f>IF($B$9="Elective and Day Case",'HES output (2)'!L14, IF($B$9="Non-elective",'HES output (2)'!L27,IF($B$9="Elective and Day Case Mental Health",'HES output (2)'!L40,'HES output (2)'!L53)))</f>
        <v>n/a</v>
      </c>
      <c r="J13" s="232"/>
      <c r="K13" s="232"/>
      <c r="L13" s="231"/>
    </row>
    <row r="14" spans="1:20" ht="22.5" x14ac:dyDescent="0.3">
      <c r="B14" s="501" t="s">
        <v>76</v>
      </c>
      <c r="C14" s="287">
        <f>IF($B$9="Elective and Day Case",'HES output (2)'!E15, IF($B$9="Non-elective",'HES output (2)'!E28,IF($B$9="Elective and Day Case Mental Health",'HES output (2)'!E41,'HES output (2)'!E54)))</f>
        <v>115560</v>
      </c>
      <c r="D14" s="328">
        <f>IF($B$9="Elective and Day Case",'HES output (2)'!F15, IF($B$9="Non-elective",'HES output (2)'!F28,IF($B$9="Elective and Day Case Mental Health",'HES output (2)'!F41,'HES output (2)'!F54)))</f>
        <v>1012</v>
      </c>
      <c r="E14" s="328">
        <f>IF($B$9="Elective and Day Case",'HES output (2)'!G15, IF($B$9="Non-elective",'HES output (2)'!G28,IF($B$9="Elective and Day Case Mental Health",'HES output (2)'!G41,'HES output (2)'!G54)))</f>
        <v>116946720</v>
      </c>
      <c r="F14" s="329">
        <f>IF($B$9="Elective and Day Case",'HES output (2)'!I15, IF($B$9="Non-elective",'HES output (2)'!I28,IF($B$9="Elective and Day Case Mental Health",'HES output (2)'!I41,'HES output (2)'!I54)))</f>
        <v>0.9738</v>
      </c>
      <c r="G14" s="586" t="str">
        <f>IF($B$9="Elective and Day Case",'HES output (2)'!J15, IF($B$9="Non-elective",'HES output (2)'!J28,IF($B$9="Elective and Day Case Mental Health",'HES output (2)'!J41,'HES output (2)'!J54)))</f>
        <v>n/a</v>
      </c>
      <c r="H14" s="586">
        <f>IF($B$9="Elective and Day Case",'HES output (2)'!K15, IF($B$9="Non-elective",'HES output (2)'!K28,IF($B$9="Elective and Day Case Mental Health",'HES output (2)'!K41,'HES output (2)'!K54)))</f>
        <v>29</v>
      </c>
      <c r="I14" s="287" t="str">
        <f>IF($B$9="Elective and Day Case",'HES output (2)'!L15, IF($B$9="Non-elective",'HES output (2)'!L28,IF($B$9="Elective and Day Case Mental Health",'HES output (2)'!L41,'HES output (2)'!L54)))</f>
        <v>n/a</v>
      </c>
      <c r="J14" s="232"/>
      <c r="K14" s="232"/>
      <c r="L14" s="231"/>
    </row>
    <row r="15" spans="1:20" ht="22.5" x14ac:dyDescent="0.3">
      <c r="B15" s="286" t="str">
        <f>IF($B$9="Elective and Day Case",'HES output (2)'!D16, IF($B$9="Non-elective",'HES output (2)'!D29,IF($B$9="Elective and Day Case Mental Health",'HES output (2)'!D42,'HES output (2)'!D55)))</f>
        <v>2007/08</v>
      </c>
      <c r="C15" s="287">
        <f>IF($B$9="Elective and Day Case",'HES output (2)'!E16, IF($B$9="Non-elective",'HES output (2)'!E29,IF($B$9="Elective and Day Case Mental Health",'HES output (2)'!E42,'HES output (2)'!E55)))</f>
        <v>111515</v>
      </c>
      <c r="D15" s="328">
        <f>IF($B$9="Elective and Day Case",'HES output (2)'!F16, IF($B$9="Non-elective",'HES output (2)'!F29,IF($B$9="Elective and Day Case Mental Health",'HES output (2)'!F42,'HES output (2)'!F55)))</f>
        <v>1395</v>
      </c>
      <c r="E15" s="328">
        <f>IF($B$9="Elective and Day Case",'HES output (2)'!G16, IF($B$9="Non-elective",'HES output (2)'!G29,IF($B$9="Elective and Day Case Mental Health",'HES output (2)'!G42,'HES output (2)'!G55)))</f>
        <v>155579903</v>
      </c>
      <c r="F15" s="329">
        <f>IF($B$9="Elective and Day Case",'HES output (2)'!I16, IF($B$9="Non-elective",'HES output (2)'!I29,IF($B$9="Elective and Day Case Mental Health",'HES output (2)'!I42,'HES output (2)'!I55)))</f>
        <v>0.97460000000000002</v>
      </c>
      <c r="G15" s="586">
        <f>IF($B$9="Elective and Day Case",'HES output (2)'!J16, IF($B$9="Non-elective",'HES output (2)'!J29,IF($B$9="Elective and Day Case Mental Health",'HES output (2)'!J42,'HES output (2)'!J55)))</f>
        <v>48.89</v>
      </c>
      <c r="H15" s="586">
        <f>IF($B$9="Elective and Day Case",'HES output (2)'!K16, IF($B$9="Non-elective",'HES output (2)'!K29,IF($B$9="Elective and Day Case Mental Health",'HES output (2)'!K42,'HES output (2)'!K55)))</f>
        <v>27.7</v>
      </c>
      <c r="I15" s="287" t="str">
        <f>IF($B$9="Elective and Day Case",'HES output (2)'!L16, IF($B$9="Non-elective",'HES output (2)'!L29,IF($B$9="Elective and Day Case Mental Health",'HES output (2)'!L42,'HES output (2)'!L55)))</f>
        <v>n/a</v>
      </c>
      <c r="J15" s="232"/>
      <c r="K15" s="232"/>
      <c r="L15" s="231"/>
    </row>
    <row r="16" spans="1:20" ht="22.5" x14ac:dyDescent="0.3">
      <c r="B16" s="286" t="str">
        <f>IF($B$9="Elective and Day Case",'HES output (2)'!D17, IF($B$9="Non-elective",'HES output (2)'!D30,IF($B$9="Elective and Day Case Mental Health",'HES output (2)'!D43,'HES output (2)'!D56)))</f>
        <v>2008/09</v>
      </c>
      <c r="C16" s="287">
        <f>IF($B$9="Elective and Day Case",'HES output (2)'!E17, IF($B$9="Non-elective",'HES output (2)'!E30,IF($B$9="Elective and Day Case Mental Health",'HES output (2)'!E43,'HES output (2)'!E56)))</f>
        <v>108573</v>
      </c>
      <c r="D16" s="328">
        <f>IF($B$9="Elective and Day Case",'HES output (2)'!F17, IF($B$9="Non-elective",'HES output (2)'!F30,IF($B$9="Elective and Day Case Mental Health",'HES output (2)'!F43,'HES output (2)'!F56)))</f>
        <v>1361</v>
      </c>
      <c r="E16" s="328">
        <f>IF($B$9="Elective and Day Case",'HES output (2)'!G17, IF($B$9="Non-elective",'HES output (2)'!G30,IF($B$9="Elective and Day Case Mental Health",'HES output (2)'!G43,'HES output (2)'!G56)))</f>
        <v>147753223</v>
      </c>
      <c r="F16" s="329">
        <f>IF($B$9="Elective and Day Case",'HES output (2)'!I17, IF($B$9="Non-elective",'HES output (2)'!I30,IF($B$9="Elective and Day Case Mental Health",'HES output (2)'!I43,'HES output (2)'!I56)))</f>
        <v>0.97399999999999998</v>
      </c>
      <c r="G16" s="327">
        <f>IF($B$9="Elective and Day Case",'HES output (2)'!J17, IF($B$9="Non-elective",'HES output (2)'!J30,IF($B$9="Elective and Day Case Mental Health",'HES output (2)'!J43,'HES output (2)'!J56)))</f>
        <v>49.53</v>
      </c>
      <c r="H16" s="327">
        <f>IF($B$9="Elective and Day Case",'HES output (2)'!K17, IF($B$9="Non-elective",'HES output (2)'!K30,IF($B$9="Elective and Day Case Mental Health",'HES output (2)'!K43,'HES output (2)'!K56)))</f>
        <v>27.27</v>
      </c>
      <c r="I16" s="468" t="str">
        <f>IF($B$9="Elective and Day Case",'HES output (2)'!L17, IF($B$9="Non-elective",'HES output (2)'!L30,IF($B$9="Elective and Day Case Mental Health",'HES output (2)'!L43,'HES output (2)'!L56)))</f>
        <v>n/a</v>
      </c>
      <c r="J16" s="232"/>
      <c r="K16" s="232"/>
      <c r="L16" s="231"/>
    </row>
    <row r="17" spans="1:12" ht="22.5" x14ac:dyDescent="0.3">
      <c r="B17" s="286" t="str">
        <f>IF($B$9="Elective and Day Case",'HES output (2)'!D18, IF($B$9="Non-elective",'HES output (2)'!D31,IF($B$9="Elective and Day Case Mental Health",'HES output (2)'!D44,'HES output (2)'!D57)))</f>
        <v>2009/10</v>
      </c>
      <c r="C17" s="287">
        <f>IF($B$9="Elective and Day Case",'HES output (2)'!E18, IF($B$9="Non-elective",'HES output (2)'!E31,IF($B$9="Elective and Day Case Mental Health",'HES output (2)'!E44,'HES output (2)'!E57)))</f>
        <v>121610</v>
      </c>
      <c r="D17" s="328">
        <f>IF($B$9="Elective and Day Case",'HES output (2)'!F18, IF($B$9="Non-elective",'HES output (2)'!F31,IF($B$9="Elective and Day Case Mental Health",'HES output (2)'!F44,'HES output (2)'!F57)))</f>
        <v>1365</v>
      </c>
      <c r="E17" s="328">
        <f>IF($B$9="Elective and Day Case",'HES output (2)'!G18, IF($B$9="Non-elective",'HES output (2)'!G31,IF($B$9="Elective and Day Case Mental Health",'HES output (2)'!G44,'HES output (2)'!G57)))</f>
        <v>166014565</v>
      </c>
      <c r="F17" s="329">
        <f>IF($B$9="Elective and Day Case",'HES output (2)'!I18, IF($B$9="Non-elective",'HES output (2)'!I31,IF($B$9="Elective and Day Case Mental Health",'HES output (2)'!I44,'HES output (2)'!I57)))</f>
        <v>0.9768</v>
      </c>
      <c r="G17" s="327">
        <f>IF($B$9="Elective and Day Case",'HES output (2)'!J18, IF($B$9="Non-elective",'HES output (2)'!J31,IF($B$9="Elective and Day Case Mental Health",'HES output (2)'!J44,'HES output (2)'!J57)))</f>
        <v>49.39</v>
      </c>
      <c r="H17" s="327">
        <f>IF($B$9="Elective and Day Case",'HES output (2)'!K18, IF($B$9="Non-elective",'HES output (2)'!K31,IF($B$9="Elective and Day Case Mental Health",'HES output (2)'!K44,'HES output (2)'!K57)))</f>
        <v>27.72</v>
      </c>
      <c r="I17" s="468" t="str">
        <f>IF($B$9="Elective and Day Case",'HES output (2)'!L18, IF($B$9="Non-elective",'HES output (2)'!L31,IF($B$9="Elective and Day Case Mental Health",'HES output (2)'!L44,'HES output (2)'!L57)))</f>
        <v>n/a</v>
      </c>
      <c r="J17" s="232"/>
      <c r="K17" s="232"/>
      <c r="L17" s="231"/>
    </row>
    <row r="18" spans="1:12" ht="22.5" x14ac:dyDescent="0.3">
      <c r="B18" s="286" t="str">
        <f>IF($B$9="Elective and Day Case",'HES output (2)'!D19, IF($B$9="Non-elective",'HES output (2)'!D32,IF($B$9="Elective and Day Case Mental Health",'HES output (2)'!D45,'HES output (2)'!D58)))</f>
        <v>2010/11</v>
      </c>
      <c r="C18" s="287">
        <f>IF($B$9="Elective and Day Case",'HES output (2)'!E19, IF($B$9="Non-elective",'HES output (2)'!E32,IF($B$9="Elective and Day Case Mental Health",'HES output (2)'!E45,'HES output (2)'!E58)))</f>
        <v>125823</v>
      </c>
      <c r="D18" s="328">
        <f>IF($B$9="Elective and Day Case",'HES output (2)'!F19, IF($B$9="Non-elective",'HES output (2)'!F32,IF($B$9="Elective and Day Case Mental Health",'HES output (2)'!F45,'HES output (2)'!F58)))</f>
        <v>1445</v>
      </c>
      <c r="E18" s="328">
        <f>IF($B$9="Elective and Day Case",'HES output (2)'!G19, IF($B$9="Non-elective",'HES output (2)'!G32,IF($B$9="Elective and Day Case Mental Health",'HES output (2)'!G45,'HES output (2)'!G58)))</f>
        <v>181850580</v>
      </c>
      <c r="F18" s="329">
        <f>IF($B$9="Elective and Day Case",'HES output (2)'!I19, IF($B$9="Non-elective",'HES output (2)'!I32,IF($B$9="Elective and Day Case Mental Health",'HES output (2)'!I45,'HES output (2)'!I58)))</f>
        <v>0.97629999999999995</v>
      </c>
      <c r="G18" s="327">
        <f>IF($B$9="Elective and Day Case",'HES output (2)'!J19, IF($B$9="Non-elective",'HES output (2)'!J32,IF($B$9="Elective and Day Case Mental Health",'HES output (2)'!J45,'HES output (2)'!J58)))</f>
        <v>49.66</v>
      </c>
      <c r="H18" s="327">
        <f>IF($B$9="Elective and Day Case",'HES output (2)'!K19, IF($B$9="Non-elective",'HES output (2)'!K32,IF($B$9="Elective and Day Case Mental Health",'HES output (2)'!K45,'HES output (2)'!K58)))</f>
        <v>27.81</v>
      </c>
      <c r="I18" s="468" t="str">
        <f>IF($B$9="Elective and Day Case",'HES output (2)'!L19, IF($B$9="Non-elective",'HES output (2)'!L32,IF($B$9="Elective and Day Case Mental Health",'HES output (2)'!L45,'HES output (2)'!L58)))</f>
        <v>n/a</v>
      </c>
      <c r="J18" s="232"/>
      <c r="K18" s="232"/>
      <c r="L18" s="231"/>
    </row>
    <row r="19" spans="1:12" x14ac:dyDescent="0.25">
      <c r="B19" s="288"/>
      <c r="C19" s="288"/>
      <c r="D19" s="288"/>
      <c r="E19" s="288"/>
      <c r="F19" s="288"/>
      <c r="G19" s="288"/>
      <c r="H19" s="288"/>
      <c r="I19" s="288"/>
      <c r="J19" s="8"/>
    </row>
    <row r="20" spans="1:12" x14ac:dyDescent="0.25">
      <c r="B20" s="279" t="s">
        <v>516</v>
      </c>
      <c r="C20" s="281"/>
      <c r="D20" s="281"/>
      <c r="E20" s="281"/>
      <c r="F20" s="281"/>
      <c r="G20" s="344"/>
      <c r="H20" s="345">
        <v>1</v>
      </c>
      <c r="I20" s="345">
        <v>1</v>
      </c>
      <c r="J20" s="263"/>
      <c r="K20" s="262"/>
      <c r="L20" s="262"/>
    </row>
    <row r="21" spans="1:12" x14ac:dyDescent="0.25">
      <c r="B21" s="281"/>
      <c r="C21" s="281"/>
      <c r="D21" s="281"/>
      <c r="E21" s="281"/>
      <c r="F21" s="281"/>
      <c r="G21" s="344"/>
      <c r="H21" s="345">
        <f>C13/C$12</f>
        <v>0.96951194921884454</v>
      </c>
      <c r="I21" s="345">
        <f>D13/D$12</f>
        <v>1</v>
      </c>
      <c r="J21" s="263"/>
      <c r="K21" s="262"/>
      <c r="L21" s="262"/>
    </row>
    <row r="22" spans="1:12" ht="23.25" customHeight="1" x14ac:dyDescent="0.25">
      <c r="B22" s="281"/>
      <c r="C22" s="281"/>
      <c r="D22" s="281"/>
      <c r="E22" s="281"/>
      <c r="F22" s="281"/>
      <c r="G22" s="344"/>
      <c r="H22" s="345">
        <f>C14/C$12</f>
        <v>0.93206326673818185</v>
      </c>
      <c r="I22" s="345">
        <f t="shared" ref="I22:I26" si="0">D14/D$12</f>
        <v>1</v>
      </c>
      <c r="J22" s="263"/>
      <c r="K22" s="262"/>
      <c r="L22" s="262"/>
    </row>
    <row r="23" spans="1:12" x14ac:dyDescent="0.25">
      <c r="B23" s="281"/>
      <c r="C23" s="281"/>
      <c r="D23" s="281"/>
      <c r="E23" s="281"/>
      <c r="F23" s="281"/>
      <c r="G23" s="344"/>
      <c r="H23" s="345">
        <f t="shared" ref="H23:H26" si="1">C15/C$12</f>
        <v>0.89943782615358558</v>
      </c>
      <c r="I23" s="345">
        <f t="shared" si="0"/>
        <v>1.3784584980237153</v>
      </c>
      <c r="J23" s="263"/>
      <c r="K23" s="262"/>
      <c r="L23" s="262"/>
    </row>
    <row r="24" spans="1:12" x14ac:dyDescent="0.25">
      <c r="B24" s="281"/>
      <c r="C24" s="281"/>
      <c r="D24" s="281"/>
      <c r="E24" s="281"/>
      <c r="F24" s="281"/>
      <c r="G24" s="344"/>
      <c r="H24" s="345">
        <f t="shared" si="1"/>
        <v>0.87570876652444285</v>
      </c>
      <c r="I24" s="345">
        <f t="shared" si="0"/>
        <v>1.3448616600790513</v>
      </c>
      <c r="J24" s="263"/>
      <c r="K24" s="262"/>
      <c r="L24" s="262"/>
    </row>
    <row r="25" spans="1:12" x14ac:dyDescent="0.25">
      <c r="B25" s="281"/>
      <c r="C25" s="281"/>
      <c r="D25" s="281"/>
      <c r="E25" s="281"/>
      <c r="F25" s="281"/>
      <c r="G25" s="279"/>
      <c r="H25" s="345">
        <f t="shared" si="1"/>
        <v>0.98086027923183017</v>
      </c>
      <c r="I25" s="345">
        <f t="shared" si="0"/>
        <v>1.348814229249012</v>
      </c>
      <c r="J25" s="263"/>
      <c r="K25" s="262"/>
      <c r="L25" s="262"/>
    </row>
    <row r="26" spans="1:12" x14ac:dyDescent="0.25">
      <c r="A26" s="6"/>
      <c r="B26" s="281"/>
      <c r="C26" s="281"/>
      <c r="D26" s="281"/>
      <c r="E26" s="281"/>
      <c r="F26" s="281"/>
      <c r="G26" s="279"/>
      <c r="H26" s="345">
        <f t="shared" si="1"/>
        <v>1.0148407442955889</v>
      </c>
      <c r="I26" s="345">
        <f t="shared" si="0"/>
        <v>1.4278656126482214</v>
      </c>
      <c r="J26" s="263"/>
      <c r="K26" s="262"/>
      <c r="L26" s="262"/>
    </row>
    <row r="27" spans="1:12" x14ac:dyDescent="0.25">
      <c r="A27" s="5"/>
      <c r="B27" s="281"/>
      <c r="C27" s="281"/>
      <c r="D27" s="281"/>
      <c r="E27" s="281"/>
      <c r="F27" s="281"/>
      <c r="G27" s="279"/>
      <c r="H27" s="469"/>
      <c r="I27" s="469"/>
      <c r="J27" s="263"/>
      <c r="K27" s="262"/>
      <c r="L27" s="262"/>
    </row>
    <row r="28" spans="1:12" x14ac:dyDescent="0.25">
      <c r="A28" s="5"/>
      <c r="B28" s="281"/>
      <c r="C28" s="281"/>
      <c r="D28" s="281"/>
      <c r="E28" s="281"/>
      <c r="F28" s="281"/>
      <c r="G28" s="279"/>
      <c r="H28" s="469"/>
      <c r="I28" s="469"/>
      <c r="J28" s="263"/>
      <c r="K28" s="262"/>
      <c r="L28" s="262"/>
    </row>
    <row r="29" spans="1:12" x14ac:dyDescent="0.25">
      <c r="A29" s="5"/>
      <c r="B29" s="281"/>
      <c r="C29" s="281"/>
      <c r="D29" s="281"/>
      <c r="E29" s="281"/>
      <c r="F29" s="281"/>
      <c r="G29" s="281"/>
      <c r="H29" s="281"/>
      <c r="I29" s="281"/>
      <c r="J29" s="236"/>
      <c r="K29" s="262"/>
      <c r="L29" s="262"/>
    </row>
    <row r="30" spans="1:12" x14ac:dyDescent="0.25">
      <c r="A30" s="5"/>
      <c r="B30" s="281"/>
      <c r="C30" s="281"/>
      <c r="D30" s="281"/>
      <c r="E30" s="281"/>
      <c r="F30" s="281"/>
      <c r="G30" s="281"/>
      <c r="H30" s="281"/>
      <c r="I30" s="281"/>
      <c r="J30" s="236"/>
    </row>
    <row r="31" spans="1:12" x14ac:dyDescent="0.25">
      <c r="A31" s="5"/>
      <c r="B31" s="281"/>
      <c r="C31" s="281"/>
      <c r="D31" s="281"/>
      <c r="E31" s="281"/>
      <c r="F31" s="281"/>
      <c r="G31" s="281"/>
      <c r="H31" s="281"/>
      <c r="I31" s="281"/>
      <c r="J31" s="236"/>
    </row>
    <row r="32" spans="1:12" x14ac:dyDescent="0.25">
      <c r="A32" s="5"/>
      <c r="B32" s="281"/>
      <c r="C32" s="281"/>
      <c r="D32" s="281"/>
      <c r="E32" s="281"/>
      <c r="F32" s="281"/>
      <c r="G32" s="281"/>
      <c r="H32" s="281"/>
      <c r="I32" s="281"/>
      <c r="J32" s="236"/>
    </row>
    <row r="33" spans="1:10" ht="23.25" customHeight="1" x14ac:dyDescent="0.25">
      <c r="A33" s="5"/>
      <c r="B33" s="281"/>
      <c r="C33" s="281"/>
      <c r="D33" s="281"/>
      <c r="E33" s="281"/>
      <c r="F33" s="281"/>
      <c r="G33" s="281"/>
      <c r="H33" s="281"/>
      <c r="I33" s="281"/>
      <c r="J33" s="236"/>
    </row>
    <row r="34" spans="1:10" x14ac:dyDescent="0.25">
      <c r="A34" s="5"/>
      <c r="B34" s="281"/>
      <c r="C34" s="281"/>
      <c r="D34" s="281"/>
      <c r="E34" s="281"/>
      <c r="F34" s="281"/>
      <c r="G34" s="281"/>
      <c r="H34" s="281"/>
      <c r="I34" s="281"/>
      <c r="J34" s="236"/>
    </row>
    <row r="35" spans="1:10" x14ac:dyDescent="0.25">
      <c r="A35" s="5"/>
      <c r="B35" s="281"/>
      <c r="C35" s="281"/>
      <c r="D35" s="281"/>
      <c r="E35" s="281"/>
      <c r="F35" s="281"/>
      <c r="G35" s="281"/>
      <c r="H35" s="281"/>
      <c r="I35" s="281"/>
      <c r="J35" s="236"/>
    </row>
    <row r="36" spans="1:10" x14ac:dyDescent="0.25">
      <c r="A36" s="5"/>
      <c r="B36" s="281"/>
      <c r="C36" s="281"/>
      <c r="D36" s="281"/>
      <c r="E36" s="281"/>
      <c r="F36" s="281"/>
      <c r="G36" s="281"/>
      <c r="H36" s="281"/>
      <c r="I36" s="281"/>
      <c r="J36" s="236"/>
    </row>
    <row r="37" spans="1:10" x14ac:dyDescent="0.25">
      <c r="B37" s="281"/>
      <c r="C37" s="281"/>
      <c r="D37" s="281"/>
      <c r="E37" s="281"/>
      <c r="F37" s="281"/>
      <c r="G37" s="281"/>
      <c r="H37" s="281"/>
      <c r="I37" s="281"/>
      <c r="J37" s="236"/>
    </row>
    <row r="38" spans="1:10" x14ac:dyDescent="0.25">
      <c r="B38" s="281"/>
      <c r="C38" s="281"/>
      <c r="D38" s="281"/>
      <c r="E38" s="281"/>
      <c r="F38" s="281"/>
      <c r="G38" s="281"/>
      <c r="H38" s="281"/>
      <c r="I38" s="281"/>
    </row>
    <row r="39" spans="1:10" x14ac:dyDescent="0.25">
      <c r="B39" s="281"/>
      <c r="C39" s="281"/>
      <c r="D39" s="281"/>
      <c r="E39" s="281"/>
      <c r="F39" s="281"/>
      <c r="G39" s="281"/>
      <c r="H39" s="281"/>
      <c r="I39" s="281"/>
    </row>
    <row r="40" spans="1:10" x14ac:dyDescent="0.25">
      <c r="B40" s="281"/>
      <c r="C40" s="281"/>
      <c r="D40" s="281"/>
      <c r="E40" s="281"/>
      <c r="F40" s="281"/>
      <c r="G40" s="281"/>
      <c r="H40" s="281"/>
      <c r="I40" s="281"/>
    </row>
    <row r="41" spans="1:10" x14ac:dyDescent="0.25">
      <c r="B41" s="281"/>
      <c r="C41" s="281"/>
      <c r="D41" s="281"/>
      <c r="E41" s="281"/>
      <c r="F41" s="281"/>
      <c r="G41" s="281"/>
      <c r="H41" s="281"/>
      <c r="I41" s="281"/>
    </row>
    <row r="42" spans="1:10" x14ac:dyDescent="0.25">
      <c r="B42" s="281"/>
      <c r="C42" s="281"/>
      <c r="D42" s="281"/>
      <c r="E42" s="281"/>
      <c r="F42" s="281"/>
      <c r="G42" s="281"/>
      <c r="H42" s="281"/>
      <c r="I42" s="281"/>
    </row>
    <row r="43" spans="1:10" x14ac:dyDescent="0.25">
      <c r="B43" s="281"/>
      <c r="C43" s="281"/>
      <c r="D43" s="281"/>
      <c r="E43" s="281"/>
      <c r="F43" s="281"/>
      <c r="G43" s="281"/>
      <c r="H43" s="281"/>
      <c r="I43" s="281"/>
    </row>
    <row r="44" spans="1:10" ht="23.25" customHeight="1" x14ac:dyDescent="0.25">
      <c r="B44" s="281"/>
      <c r="C44" s="281"/>
      <c r="D44" s="281"/>
      <c r="E44" s="281"/>
      <c r="F44" s="281"/>
      <c r="G44" s="281"/>
      <c r="H44" s="281"/>
      <c r="I44" s="281"/>
    </row>
    <row r="45" spans="1:10" x14ac:dyDescent="0.25">
      <c r="B45" s="281"/>
      <c r="C45" s="281"/>
      <c r="D45" s="281"/>
      <c r="E45" s="281"/>
      <c r="F45" s="281"/>
      <c r="G45" s="281"/>
      <c r="H45" s="281"/>
      <c r="I45" s="281"/>
    </row>
    <row r="46" spans="1:10" x14ac:dyDescent="0.25">
      <c r="B46" s="281"/>
      <c r="C46" s="281"/>
      <c r="D46" s="281"/>
      <c r="E46" s="281"/>
      <c r="F46" s="281"/>
      <c r="G46" s="281"/>
      <c r="H46" s="281"/>
      <c r="I46" s="281"/>
    </row>
    <row r="47" spans="1:10" x14ac:dyDescent="0.25">
      <c r="B47" s="281"/>
      <c r="C47" s="281"/>
      <c r="D47" s="281"/>
      <c r="E47" s="281"/>
      <c r="F47" s="281"/>
      <c r="G47" s="281"/>
      <c r="H47" s="281"/>
      <c r="I47" s="281"/>
    </row>
    <row r="48" spans="1:10" x14ac:dyDescent="0.25">
      <c r="B48" s="281"/>
      <c r="C48" s="281"/>
      <c r="D48" s="281"/>
      <c r="E48" s="281"/>
      <c r="F48" s="281"/>
      <c r="G48" s="281"/>
      <c r="H48" s="281"/>
      <c r="I48" s="281"/>
    </row>
    <row r="49" spans="2:9" x14ac:dyDescent="0.25">
      <c r="B49" s="281"/>
      <c r="C49" s="281"/>
      <c r="D49" s="281"/>
      <c r="E49" s="281"/>
      <c r="F49" s="281"/>
      <c r="G49" s="281"/>
      <c r="H49" s="281"/>
      <c r="I49" s="281"/>
    </row>
    <row r="50" spans="2:9" x14ac:dyDescent="0.25">
      <c r="B50" s="281"/>
      <c r="C50" s="281"/>
      <c r="D50" s="281"/>
      <c r="E50" s="281"/>
      <c r="F50" s="281"/>
      <c r="G50" s="281"/>
      <c r="H50" s="281"/>
      <c r="I50" s="281"/>
    </row>
    <row r="51" spans="2:9" x14ac:dyDescent="0.25">
      <c r="B51" s="281"/>
      <c r="C51" s="281"/>
      <c r="D51" s="281"/>
      <c r="E51" s="281"/>
      <c r="F51" s="281"/>
      <c r="G51" s="281"/>
      <c r="H51" s="281"/>
      <c r="I51" s="281"/>
    </row>
    <row r="52" spans="2:9" x14ac:dyDescent="0.25">
      <c r="B52" s="281"/>
      <c r="C52" s="281"/>
      <c r="D52" s="281"/>
      <c r="E52" s="281"/>
      <c r="F52" s="281"/>
      <c r="G52" s="281"/>
      <c r="H52" s="281"/>
      <c r="I52" s="281"/>
    </row>
    <row r="53" spans="2:9" x14ac:dyDescent="0.25">
      <c r="B53" s="281"/>
      <c r="C53" s="281"/>
      <c r="D53" s="281"/>
      <c r="E53" s="281"/>
      <c r="F53" s="281"/>
      <c r="G53" s="281"/>
      <c r="H53" s="281"/>
      <c r="I53" s="281"/>
    </row>
    <row r="54" spans="2:9" x14ac:dyDescent="0.25">
      <c r="B54" s="281"/>
      <c r="C54" s="281"/>
      <c r="D54" s="281"/>
      <c r="E54" s="281"/>
      <c r="F54" s="281"/>
      <c r="G54" s="281"/>
      <c r="H54" s="281"/>
      <c r="I54" s="281"/>
    </row>
    <row r="55" spans="2:9" ht="23.25" customHeight="1" x14ac:dyDescent="0.25">
      <c r="B55" s="281"/>
      <c r="C55" s="281"/>
      <c r="D55" s="281"/>
      <c r="E55" s="281"/>
      <c r="F55" s="281"/>
      <c r="G55" s="281"/>
      <c r="H55" s="281"/>
      <c r="I55" s="281"/>
    </row>
    <row r="56" spans="2:9" x14ac:dyDescent="0.25">
      <c r="B56" s="281"/>
      <c r="C56" s="281"/>
      <c r="D56" s="281"/>
      <c r="E56" s="281"/>
      <c r="F56" s="281"/>
      <c r="G56" s="281"/>
      <c r="H56" s="281"/>
      <c r="I56" s="281"/>
    </row>
    <row r="57" spans="2:9" x14ac:dyDescent="0.25">
      <c r="B57" s="281"/>
      <c r="C57" s="281"/>
      <c r="D57" s="281"/>
      <c r="E57" s="281"/>
      <c r="F57" s="281"/>
      <c r="G57" s="281"/>
      <c r="H57" s="281"/>
      <c r="I57" s="281"/>
    </row>
    <row r="58" spans="2:9" x14ac:dyDescent="0.25">
      <c r="B58" s="281"/>
      <c r="C58" s="281"/>
      <c r="D58" s="281"/>
      <c r="E58" s="281"/>
      <c r="F58" s="281"/>
      <c r="G58" s="281"/>
      <c r="H58" s="281"/>
      <c r="I58" s="281"/>
    </row>
    <row r="65" ht="23.25" customHeight="1" x14ac:dyDescent="0.25"/>
    <row r="75" ht="23.25" customHeight="1" x14ac:dyDescent="0.25"/>
    <row r="85" ht="23.25" customHeight="1" x14ac:dyDescent="0.25"/>
  </sheetData>
  <sheetProtection formatCells="0"/>
  <protectedRanges>
    <protectedRange sqref="B9" name="Range1"/>
  </protectedRanges>
  <customSheetViews>
    <customSheetView guid="{9EA95E61-FCA5-4867-AEB4-B8C24058ACDD}" showGridLines="0" showRowCol="0">
      <selection activeCell="B4" sqref="B4"/>
      <pageMargins left="0.7" right="0.7" top="0.75" bottom="0.75" header="0.3" footer="0.3"/>
      <pageSetup paperSize="9" orientation="portrait" r:id="rId1"/>
    </customSheetView>
  </customSheetViews>
  <mergeCells count="2">
    <mergeCell ref="A1:B1"/>
    <mergeCell ref="B9:C9"/>
  </mergeCells>
  <dataValidations count="2">
    <dataValidation type="list" allowBlank="1" showInputMessage="1" showErrorMessage="1" sqref="B9">
      <formula1>HES_setting</formula1>
    </dataValidation>
    <dataValidation allowBlank="1" showInputMessage="1" showErrorMessage="1" promptTitle="Average waiting time" prompt="Waiting time is measured in days from referral to admission_x000a_" sqref="I11"/>
  </dataValidations>
  <pageMargins left="0.7" right="0.7" top="0.75" bottom="0.75" header="0.3" footer="0.3"/>
  <pageSetup paperSize="9" orientation="portrait"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02"/>
  <sheetViews>
    <sheetView topLeftCell="C17" workbookViewId="0">
      <selection activeCell="F18" sqref="F18"/>
    </sheetView>
  </sheetViews>
  <sheetFormatPr defaultRowHeight="15" x14ac:dyDescent="0.25"/>
  <cols>
    <col min="3" max="3" width="5" customWidth="1"/>
    <col min="4" max="4" width="10.140625" bestFit="1" customWidth="1"/>
    <col min="5" max="5" width="17.5703125" bestFit="1" customWidth="1"/>
    <col min="6" max="9" width="17.5703125" customWidth="1"/>
    <col min="10" max="12" width="17.5703125" bestFit="1" customWidth="1"/>
  </cols>
  <sheetData>
    <row r="1" spans="3:17" ht="15.75" thickBot="1" x14ac:dyDescent="0.3"/>
    <row r="2" spans="3:17" ht="18.75" thickBot="1" x14ac:dyDescent="0.3">
      <c r="C2" s="686" t="s">
        <v>483</v>
      </c>
      <c r="D2" s="687"/>
      <c r="E2" s="687"/>
      <c r="F2" s="687"/>
      <c r="G2" s="687"/>
      <c r="H2" s="687"/>
      <c r="I2" s="687"/>
      <c r="J2" s="687"/>
      <c r="K2" s="687"/>
      <c r="L2" s="688"/>
    </row>
    <row r="3" spans="3:17" x14ac:dyDescent="0.25">
      <c r="C3" s="507" t="s">
        <v>88</v>
      </c>
      <c r="D3" s="508" t="s">
        <v>97</v>
      </c>
      <c r="E3" s="508" t="s">
        <v>484</v>
      </c>
      <c r="F3" s="508"/>
      <c r="G3" s="508"/>
      <c r="H3" s="508"/>
      <c r="I3" s="508"/>
      <c r="J3" s="508" t="s">
        <v>485</v>
      </c>
      <c r="K3" s="508" t="s">
        <v>486</v>
      </c>
      <c r="L3" s="509" t="s">
        <v>487</v>
      </c>
    </row>
    <row r="4" spans="3:17" ht="22.5" x14ac:dyDescent="0.3">
      <c r="C4" s="510">
        <v>405</v>
      </c>
      <c r="D4" s="511"/>
      <c r="E4" s="512"/>
      <c r="F4" s="512"/>
      <c r="G4" s="513"/>
      <c r="H4" s="512"/>
      <c r="I4" s="512"/>
      <c r="J4" s="513"/>
      <c r="K4" s="513"/>
      <c r="L4" s="514"/>
      <c r="Q4" s="112"/>
    </row>
    <row r="5" spans="3:17" ht="22.5" x14ac:dyDescent="0.3">
      <c r="C5" s="510">
        <v>506</v>
      </c>
      <c r="D5" s="511"/>
      <c r="E5" s="512"/>
      <c r="F5" s="512"/>
      <c r="G5" s="513"/>
      <c r="H5" s="512"/>
      <c r="I5" s="512"/>
      <c r="J5" s="513"/>
      <c r="K5" s="513"/>
      <c r="L5" s="514"/>
      <c r="Q5" s="112"/>
    </row>
    <row r="6" spans="3:17" ht="22.5" x14ac:dyDescent="0.3">
      <c r="C6" s="510">
        <v>607</v>
      </c>
      <c r="D6" s="511"/>
      <c r="E6" s="512"/>
      <c r="F6" s="512"/>
      <c r="G6" s="513"/>
      <c r="H6" s="512"/>
      <c r="I6" s="512"/>
      <c r="J6" s="513"/>
      <c r="K6" s="513"/>
      <c r="L6" s="514"/>
      <c r="Q6" s="112"/>
    </row>
    <row r="7" spans="3:17" ht="22.5" x14ac:dyDescent="0.3">
      <c r="C7" s="510">
        <v>708</v>
      </c>
      <c r="D7" s="511">
        <v>14143025</v>
      </c>
      <c r="E7" s="512">
        <v>16389951847.07</v>
      </c>
      <c r="F7" s="512"/>
      <c r="G7" s="513" t="s">
        <v>101</v>
      </c>
      <c r="H7" s="512">
        <v>16389951847.07</v>
      </c>
      <c r="I7" s="512"/>
      <c r="J7" s="513" t="s">
        <v>101</v>
      </c>
      <c r="K7" s="513" t="s">
        <v>101</v>
      </c>
      <c r="L7" s="514" t="s">
        <v>101</v>
      </c>
      <c r="Q7" s="112" t="s">
        <v>323</v>
      </c>
    </row>
    <row r="8" spans="3:17" ht="22.5" x14ac:dyDescent="0.3">
      <c r="C8" s="510">
        <v>809</v>
      </c>
      <c r="D8" s="511">
        <v>14922786</v>
      </c>
      <c r="E8" s="512">
        <v>17711524635.330002</v>
      </c>
      <c r="F8" s="540">
        <f>K8/L8-1</f>
        <v>3.1961228844223033E-2</v>
      </c>
      <c r="G8" s="512">
        <v>17322372424.150002</v>
      </c>
      <c r="H8" s="512">
        <v>17711524635.330002</v>
      </c>
      <c r="I8" s="512">
        <v>5.1732041505147874E-2</v>
      </c>
      <c r="J8" s="512">
        <v>17322372424.150002</v>
      </c>
      <c r="K8" s="512">
        <v>16913794848.799999</v>
      </c>
      <c r="L8" s="515">
        <v>16389951847.07</v>
      </c>
      <c r="Q8" s="112" t="s">
        <v>324</v>
      </c>
    </row>
    <row r="9" spans="3:17" ht="22.5" x14ac:dyDescent="0.3">
      <c r="C9" s="510">
        <v>910</v>
      </c>
      <c r="D9" s="511">
        <v>15417136</v>
      </c>
      <c r="E9" s="512">
        <v>18622527488.459999</v>
      </c>
      <c r="F9" s="540">
        <f t="shared" ref="F9:F10" si="0">K9/L9-1</f>
        <v>1.2901186750134297E-2</v>
      </c>
      <c r="G9" s="512">
        <v>18735491509.330002</v>
      </c>
      <c r="H9" s="512">
        <v>18622527488.459999</v>
      </c>
      <c r="I9" s="512">
        <v>1.4713321722183981E-2</v>
      </c>
      <c r="J9" s="512">
        <v>18735491509.330002</v>
      </c>
      <c r="K9" s="512">
        <v>17940024322.279999</v>
      </c>
      <c r="L9" s="515">
        <v>17711524635.330002</v>
      </c>
      <c r="Q9" s="112" t="s">
        <v>498</v>
      </c>
    </row>
    <row r="10" spans="3:17" ht="23.25" thickBot="1" x14ac:dyDescent="0.35">
      <c r="C10" s="516">
        <v>1011</v>
      </c>
      <c r="D10" s="517">
        <v>15864439</v>
      </c>
      <c r="E10" s="518">
        <v>19634896375.299999</v>
      </c>
      <c r="F10" s="540">
        <f t="shared" si="0"/>
        <v>3.8288614205663096E-2</v>
      </c>
      <c r="G10" s="518">
        <v>18938679664.139999</v>
      </c>
      <c r="H10" s="518">
        <v>19634896375.299999</v>
      </c>
      <c r="I10" s="518">
        <v>5.0992570767768086E-2</v>
      </c>
      <c r="J10" s="518">
        <v>18938679664.139999</v>
      </c>
      <c r="K10" s="518">
        <v>19335558259</v>
      </c>
      <c r="L10" s="519">
        <v>18622527488.459999</v>
      </c>
      <c r="Q10" s="112" t="s">
        <v>153</v>
      </c>
    </row>
    <row r="11" spans="3:17" ht="23.25" thickBot="1" x14ac:dyDescent="0.35">
      <c r="C11" s="520"/>
      <c r="D11" s="520"/>
      <c r="E11" s="520"/>
      <c r="F11" s="520"/>
      <c r="G11" s="520"/>
      <c r="H11" s="520"/>
      <c r="I11" s="520"/>
      <c r="J11" s="520"/>
      <c r="K11" s="520"/>
      <c r="L11" s="520"/>
      <c r="Q11" s="112"/>
    </row>
    <row r="12" spans="3:17" ht="18.75" thickBot="1" x14ac:dyDescent="0.3">
      <c r="C12" s="686" t="s">
        <v>488</v>
      </c>
      <c r="D12" s="687"/>
      <c r="E12" s="687"/>
      <c r="F12" s="687"/>
      <c r="G12" s="687"/>
      <c r="H12" s="687"/>
      <c r="I12" s="687"/>
      <c r="J12" s="687"/>
      <c r="K12" s="687"/>
      <c r="L12" s="688"/>
    </row>
    <row r="13" spans="3:17" x14ac:dyDescent="0.25">
      <c r="C13" s="507" t="s">
        <v>88</v>
      </c>
      <c r="D13" s="508" t="s">
        <v>97</v>
      </c>
      <c r="E13" s="508" t="s">
        <v>484</v>
      </c>
      <c r="F13" s="508"/>
      <c r="G13" s="508"/>
      <c r="H13" s="508"/>
      <c r="I13" s="508"/>
      <c r="J13" s="508" t="s">
        <v>485</v>
      </c>
      <c r="K13" s="508" t="s">
        <v>489</v>
      </c>
      <c r="L13" s="509" t="s">
        <v>487</v>
      </c>
    </row>
    <row r="14" spans="3:17" x14ac:dyDescent="0.25">
      <c r="C14" s="510"/>
      <c r="D14" s="511"/>
      <c r="E14" s="512"/>
      <c r="F14" s="512"/>
      <c r="G14" s="512"/>
      <c r="H14" s="512"/>
      <c r="I14" s="512"/>
      <c r="J14" s="513"/>
      <c r="K14" s="513"/>
      <c r="L14" s="514"/>
    </row>
    <row r="15" spans="3:17" x14ac:dyDescent="0.25">
      <c r="C15" s="510"/>
      <c r="D15" s="511"/>
      <c r="E15" s="512"/>
      <c r="F15" s="512"/>
      <c r="G15" s="512"/>
      <c r="H15" s="512"/>
      <c r="I15" s="512"/>
      <c r="J15" s="513"/>
      <c r="K15" s="513"/>
      <c r="L15" s="514"/>
    </row>
    <row r="16" spans="3:17" x14ac:dyDescent="0.25">
      <c r="C16" s="510"/>
      <c r="D16" s="511"/>
      <c r="E16" s="512"/>
      <c r="F16" s="512"/>
      <c r="G16" s="512"/>
      <c r="H16" s="512"/>
      <c r="I16" s="512"/>
      <c r="J16" s="513"/>
      <c r="K16" s="513"/>
      <c r="L16" s="514"/>
    </row>
    <row r="17" spans="3:16" x14ac:dyDescent="0.25">
      <c r="C17" s="510">
        <v>708</v>
      </c>
      <c r="D17" s="511">
        <v>14143025</v>
      </c>
      <c r="E17" s="512">
        <v>16389951847.07</v>
      </c>
      <c r="F17" s="512"/>
      <c r="G17" s="512"/>
      <c r="H17" s="512"/>
      <c r="I17" s="512"/>
      <c r="J17" s="513" t="s">
        <v>101</v>
      </c>
      <c r="K17" s="513" t="s">
        <v>101</v>
      </c>
      <c r="L17" s="514" t="s">
        <v>101</v>
      </c>
    </row>
    <row r="18" spans="3:16" x14ac:dyDescent="0.25">
      <c r="C18" s="510">
        <v>809</v>
      </c>
      <c r="D18" s="511">
        <v>14922786</v>
      </c>
      <c r="E18" s="512">
        <v>17711524635.330002</v>
      </c>
      <c r="F18" s="540">
        <f t="shared" ref="F18:F20" si="1">K18/L18-1</f>
        <v>5.1732041505147874E-2</v>
      </c>
      <c r="G18" s="512"/>
      <c r="H18" s="512"/>
      <c r="I18" s="512"/>
      <c r="J18" s="512">
        <v>17322372424.150002</v>
      </c>
      <c r="K18" s="512">
        <v>17237837516.290001</v>
      </c>
      <c r="L18" s="515">
        <v>16389951847.07</v>
      </c>
    </row>
    <row r="19" spans="3:16" x14ac:dyDescent="0.25">
      <c r="C19" s="510">
        <v>910</v>
      </c>
      <c r="D19" s="511">
        <v>15417136</v>
      </c>
      <c r="E19" s="512">
        <v>18622527488.459999</v>
      </c>
      <c r="F19" s="540">
        <f t="shared" si="1"/>
        <v>1.4713321722183981E-2</v>
      </c>
      <c r="G19" s="512"/>
      <c r="H19" s="512"/>
      <c r="I19" s="512"/>
      <c r="J19" s="512">
        <v>18735491509.330002</v>
      </c>
      <c r="K19" s="512">
        <v>17972119995.48</v>
      </c>
      <c r="L19" s="515">
        <v>17711524635.330002</v>
      </c>
    </row>
    <row r="20" spans="3:16" ht="15.75" thickBot="1" x14ac:dyDescent="0.3">
      <c r="C20" s="516">
        <v>1011</v>
      </c>
      <c r="D20" s="517">
        <v>15864439</v>
      </c>
      <c r="E20" s="518">
        <v>19634896375.299999</v>
      </c>
      <c r="F20" s="540">
        <f t="shared" si="1"/>
        <v>5.0992570767768086E-2</v>
      </c>
      <c r="G20" s="518"/>
      <c r="H20" s="518"/>
      <c r="I20" s="518"/>
      <c r="J20" s="518">
        <v>18938679664.139999</v>
      </c>
      <c r="K20" s="518">
        <v>19572138039.290001</v>
      </c>
      <c r="L20" s="519">
        <v>18622527488.459999</v>
      </c>
    </row>
    <row r="21" spans="3:16" x14ac:dyDescent="0.25">
      <c r="C21" s="520"/>
      <c r="D21" s="520"/>
      <c r="E21" s="520"/>
      <c r="F21" s="520"/>
      <c r="G21" s="520"/>
      <c r="H21" s="520"/>
      <c r="I21" s="520"/>
      <c r="J21" s="520"/>
      <c r="K21" s="520"/>
      <c r="L21" s="520"/>
    </row>
    <row r="22" spans="3:16" ht="15.75" thickBot="1" x14ac:dyDescent="0.3">
      <c r="C22" s="520"/>
      <c r="D22" s="520"/>
      <c r="E22" s="520"/>
      <c r="F22" s="520"/>
      <c r="G22" s="520"/>
      <c r="H22" s="520"/>
      <c r="I22" s="520"/>
      <c r="J22" s="520"/>
      <c r="K22" s="520"/>
      <c r="L22" s="520"/>
    </row>
    <row r="23" spans="3:16" ht="23.25" thickBot="1" x14ac:dyDescent="0.35">
      <c r="C23" s="686" t="s">
        <v>490</v>
      </c>
      <c r="D23" s="687"/>
      <c r="E23" s="687"/>
      <c r="F23" s="687"/>
      <c r="G23" s="687"/>
      <c r="H23" s="687"/>
      <c r="I23" s="687"/>
      <c r="J23" s="687"/>
      <c r="K23" s="687"/>
      <c r="L23" s="688"/>
      <c r="N23" t="s">
        <v>496</v>
      </c>
      <c r="P23" s="112" t="s">
        <v>323</v>
      </c>
    </row>
    <row r="24" spans="3:16" ht="22.5" x14ac:dyDescent="0.3">
      <c r="C24" s="507" t="s">
        <v>88</v>
      </c>
      <c r="D24" s="508" t="s">
        <v>97</v>
      </c>
      <c r="E24" s="508" t="s">
        <v>484</v>
      </c>
      <c r="F24" s="508"/>
      <c r="G24" s="508"/>
      <c r="H24" s="508"/>
      <c r="I24" s="508"/>
      <c r="J24" s="508" t="s">
        <v>485</v>
      </c>
      <c r="K24" s="508" t="s">
        <v>486</v>
      </c>
      <c r="L24" s="509" t="s">
        <v>487</v>
      </c>
      <c r="P24" s="112" t="s">
        <v>324</v>
      </c>
    </row>
    <row r="25" spans="3:16" ht="22.5" x14ac:dyDescent="0.3">
      <c r="C25" s="510"/>
      <c r="D25" s="225">
        <v>6433933</v>
      </c>
      <c r="E25" s="512">
        <v>6633384923</v>
      </c>
      <c r="F25" s="605">
        <f>K25/L25-1</f>
        <v>9.4305675426915592E-3</v>
      </c>
      <c r="G25" s="513">
        <v>8.2286065818359955E-3</v>
      </c>
      <c r="H25" s="512"/>
      <c r="I25" s="512"/>
      <c r="J25" s="513"/>
      <c r="K25" s="513">
        <v>6041385867.7402039</v>
      </c>
      <c r="L25" s="514">
        <v>5984944444.9131927</v>
      </c>
      <c r="P25" s="112" t="s">
        <v>498</v>
      </c>
    </row>
    <row r="26" spans="3:16" ht="22.5" x14ac:dyDescent="0.3">
      <c r="C26" s="510"/>
      <c r="D26" s="225">
        <v>6864612</v>
      </c>
      <c r="E26" s="512">
        <v>7146061092</v>
      </c>
      <c r="F26" s="605">
        <f t="shared" ref="F26:F27" si="2">K26/L26-1</f>
        <v>6.3599037306689699E-2</v>
      </c>
      <c r="G26" s="513">
        <v>6.1821533143343599E-2</v>
      </c>
      <c r="H26" s="512"/>
      <c r="I26" s="512"/>
      <c r="J26" s="513"/>
      <c r="K26" s="513">
        <v>7042151222.5389404</v>
      </c>
      <c r="L26" s="514">
        <v>6621058289.3827209</v>
      </c>
      <c r="P26" s="112" t="s">
        <v>153</v>
      </c>
    </row>
    <row r="27" spans="3:16" x14ac:dyDescent="0.25">
      <c r="C27" s="510"/>
      <c r="D27" s="225">
        <v>7194697</v>
      </c>
      <c r="E27" s="512">
        <v>7453706092</v>
      </c>
      <c r="F27" s="605">
        <f t="shared" si="2"/>
        <v>4.296864323692029E-2</v>
      </c>
      <c r="G27" s="513">
        <v>4.2942179103114153E-2</v>
      </c>
      <c r="H27" s="512"/>
      <c r="I27" s="512"/>
      <c r="J27" s="513"/>
      <c r="K27" s="513">
        <v>7451786915.2902222</v>
      </c>
      <c r="L27" s="514">
        <v>7144785189.4790649</v>
      </c>
    </row>
    <row r="28" spans="3:16" x14ac:dyDescent="0.25">
      <c r="C28" s="510">
        <v>708</v>
      </c>
      <c r="D28" s="511">
        <v>7592096</v>
      </c>
      <c r="E28" s="512">
        <v>8282722742.3100004</v>
      </c>
      <c r="F28" s="512">
        <v>4.1873879162783068E-2</v>
      </c>
      <c r="G28" s="513">
        <v>5.1397782208088882E-2</v>
      </c>
      <c r="H28" s="512">
        <v>8282722742.3100004</v>
      </c>
      <c r="I28" s="512"/>
      <c r="J28" s="513" t="s">
        <v>101</v>
      </c>
      <c r="K28" s="513" t="s">
        <v>101</v>
      </c>
      <c r="L28" s="514" t="s">
        <v>101</v>
      </c>
    </row>
    <row r="29" spans="3:16" x14ac:dyDescent="0.25">
      <c r="C29" s="510">
        <v>809</v>
      </c>
      <c r="D29" s="511">
        <v>8140742</v>
      </c>
      <c r="E29" s="512">
        <v>8889730826.9799995</v>
      </c>
      <c r="F29" s="540">
        <f t="shared" ref="F29:F31" si="3">K29/L29-1</f>
        <v>5.151377366532528E-2</v>
      </c>
      <c r="G29" s="512">
        <v>6.1477893849913645E-2</v>
      </c>
      <c r="H29" s="512">
        <v>8889730826.9799995</v>
      </c>
      <c r="I29" s="512">
        <v>6.1477893849913645E-2</v>
      </c>
      <c r="J29" s="512">
        <v>8552630211.04</v>
      </c>
      <c r="K29" s="512">
        <v>8709397046.9899998</v>
      </c>
      <c r="L29" s="515">
        <v>8282722742.3100004</v>
      </c>
    </row>
    <row r="30" spans="3:16" x14ac:dyDescent="0.25">
      <c r="C30" s="510">
        <v>910</v>
      </c>
      <c r="D30" s="511">
        <v>8465757</v>
      </c>
      <c r="E30" s="512">
        <v>9203218231.8199997</v>
      </c>
      <c r="F30" s="540">
        <f t="shared" si="3"/>
        <v>-2.7347827952468595E-3</v>
      </c>
      <c r="G30" s="512">
        <v>-1.0596700072638909E-2</v>
      </c>
      <c r="H30" s="512">
        <v>9203218231.8199997</v>
      </c>
      <c r="I30" s="512">
        <v>-1.0596700072638909E-2</v>
      </c>
      <c r="J30" s="512">
        <v>9525111522.9200001</v>
      </c>
      <c r="K30" s="512">
        <v>8865419344.0599995</v>
      </c>
      <c r="L30" s="515">
        <v>8889730826.9799995</v>
      </c>
    </row>
    <row r="31" spans="3:16" ht="15.75" thickBot="1" x14ac:dyDescent="0.3">
      <c r="C31" s="516">
        <v>1011</v>
      </c>
      <c r="D31" s="517">
        <v>8755081</v>
      </c>
      <c r="E31" s="518">
        <v>9695505600.5699997</v>
      </c>
      <c r="F31" s="540">
        <f t="shared" si="3"/>
        <v>4.3205886190462062E-2</v>
      </c>
      <c r="G31" s="518">
        <v>5.2692004197329778E-2</v>
      </c>
      <c r="H31" s="518">
        <v>9695505600.5699997</v>
      </c>
      <c r="I31" s="518">
        <v>5.2692004197329778E-2</v>
      </c>
      <c r="J31" s="518">
        <v>9306704947.6800003</v>
      </c>
      <c r="K31" s="518">
        <v>9600851431.3299999</v>
      </c>
      <c r="L31" s="519">
        <v>9203218231.8199997</v>
      </c>
    </row>
    <row r="32" spans="3:16" ht="15.75" thickBot="1" x14ac:dyDescent="0.3">
      <c r="C32" s="520"/>
      <c r="D32" s="520"/>
      <c r="E32" s="520"/>
      <c r="F32" s="520"/>
      <c r="G32" s="520"/>
      <c r="H32" s="520"/>
      <c r="I32" s="520"/>
      <c r="J32" s="520"/>
      <c r="K32" s="520"/>
      <c r="L32" s="520"/>
    </row>
    <row r="33" spans="3:12" ht="18.75" thickBot="1" x14ac:dyDescent="0.3">
      <c r="C33" s="686" t="s">
        <v>491</v>
      </c>
      <c r="D33" s="687"/>
      <c r="E33" s="687"/>
      <c r="F33" s="687"/>
      <c r="G33" s="687"/>
      <c r="H33" s="687"/>
      <c r="I33" s="687"/>
      <c r="J33" s="687"/>
      <c r="K33" s="687"/>
      <c r="L33" s="688"/>
    </row>
    <row r="34" spans="3:12" x14ac:dyDescent="0.25">
      <c r="C34" s="507" t="s">
        <v>88</v>
      </c>
      <c r="D34" s="508" t="s">
        <v>97</v>
      </c>
      <c r="E34" s="508" t="s">
        <v>484</v>
      </c>
      <c r="F34" s="508"/>
      <c r="G34" s="508"/>
      <c r="H34" s="508"/>
      <c r="I34" s="508"/>
      <c r="J34" s="508" t="s">
        <v>485</v>
      </c>
      <c r="K34" s="508" t="s">
        <v>489</v>
      </c>
      <c r="L34" s="509" t="s">
        <v>487</v>
      </c>
    </row>
    <row r="35" spans="3:12" x14ac:dyDescent="0.25">
      <c r="C35" s="510"/>
      <c r="D35" s="225">
        <v>6433933</v>
      </c>
      <c r="E35" s="512">
        <v>6633384923</v>
      </c>
      <c r="F35" s="512"/>
      <c r="G35" s="512"/>
      <c r="H35" s="512"/>
      <c r="I35" s="512"/>
      <c r="J35" s="513"/>
      <c r="K35" s="513"/>
      <c r="L35" s="514"/>
    </row>
    <row r="36" spans="3:12" x14ac:dyDescent="0.25">
      <c r="C36" s="510"/>
      <c r="D36" s="225">
        <v>6864612</v>
      </c>
      <c r="E36" s="512">
        <v>7146061092</v>
      </c>
      <c r="F36" s="512"/>
      <c r="G36" s="512"/>
      <c r="H36" s="512"/>
      <c r="I36" s="512"/>
      <c r="J36" s="513"/>
      <c r="K36" s="513"/>
      <c r="L36" s="514"/>
    </row>
    <row r="37" spans="3:12" x14ac:dyDescent="0.25">
      <c r="C37" s="510"/>
      <c r="D37" s="225">
        <v>7194697</v>
      </c>
      <c r="E37" s="512">
        <v>7453706092</v>
      </c>
      <c r="F37" s="512"/>
      <c r="G37" s="512"/>
      <c r="H37" s="512"/>
      <c r="I37" s="512"/>
      <c r="J37" s="513"/>
      <c r="K37" s="513"/>
      <c r="L37" s="514"/>
    </row>
    <row r="38" spans="3:12" x14ac:dyDescent="0.25">
      <c r="C38" s="510">
        <v>708</v>
      </c>
      <c r="D38" s="511">
        <v>7592096</v>
      </c>
      <c r="E38" s="512">
        <v>8282722742.3100004</v>
      </c>
      <c r="F38" s="512"/>
      <c r="G38" s="512"/>
      <c r="H38" s="512"/>
      <c r="I38" s="512"/>
      <c r="J38" s="513" t="s">
        <v>101</v>
      </c>
      <c r="K38" s="513" t="s">
        <v>101</v>
      </c>
      <c r="L38" s="514" t="s">
        <v>101</v>
      </c>
    </row>
    <row r="39" spans="3:12" x14ac:dyDescent="0.25">
      <c r="C39" s="510">
        <v>809</v>
      </c>
      <c r="D39" s="511">
        <v>8140742</v>
      </c>
      <c r="E39" s="512">
        <v>8889730826.9799995</v>
      </c>
      <c r="F39" s="540">
        <f t="shared" ref="F39:F41" si="4">K39/L39-1</f>
        <v>6.1477893849913645E-2</v>
      </c>
      <c r="G39" s="512"/>
      <c r="H39" s="512"/>
      <c r="I39" s="512"/>
      <c r="J39" s="512">
        <v>8552630211.04</v>
      </c>
      <c r="K39" s="512">
        <v>8791927091.8500004</v>
      </c>
      <c r="L39" s="515">
        <v>8282722742.3100004</v>
      </c>
    </row>
    <row r="40" spans="3:12" x14ac:dyDescent="0.25">
      <c r="C40" s="510">
        <v>910</v>
      </c>
      <c r="D40" s="511">
        <v>8465757</v>
      </c>
      <c r="E40" s="512">
        <v>9203218231.8199997</v>
      </c>
      <c r="F40" s="540">
        <f t="shared" si="4"/>
        <v>-1.0596700072638909E-2</v>
      </c>
      <c r="G40" s="512"/>
      <c r="H40" s="512"/>
      <c r="I40" s="512"/>
      <c r="J40" s="512">
        <v>9525111522.9200001</v>
      </c>
      <c r="K40" s="512">
        <v>8795529015.6800003</v>
      </c>
      <c r="L40" s="515">
        <v>8889730826.9799995</v>
      </c>
    </row>
    <row r="41" spans="3:12" ht="15.75" thickBot="1" x14ac:dyDescent="0.3">
      <c r="C41" s="516">
        <v>1011</v>
      </c>
      <c r="D41" s="517">
        <v>8755081</v>
      </c>
      <c r="E41" s="518">
        <v>9695505600.5699997</v>
      </c>
      <c r="F41" s="540">
        <f t="shared" si="4"/>
        <v>5.2692004197329778E-2</v>
      </c>
      <c r="G41" s="518"/>
      <c r="H41" s="518"/>
      <c r="I41" s="518"/>
      <c r="J41" s="518">
        <v>9306704947.6800003</v>
      </c>
      <c r="K41" s="518">
        <v>9688154245.5200005</v>
      </c>
      <c r="L41" s="519">
        <v>9203218231.8199997</v>
      </c>
    </row>
    <row r="42" spans="3:12" ht="15.75" thickBot="1" x14ac:dyDescent="0.3">
      <c r="C42" s="520"/>
      <c r="D42" s="520"/>
      <c r="E42" s="520"/>
      <c r="F42" s="520"/>
      <c r="G42" s="520"/>
      <c r="H42" s="520"/>
      <c r="I42" s="520"/>
      <c r="J42" s="520"/>
      <c r="K42" s="520"/>
      <c r="L42" s="520"/>
    </row>
    <row r="43" spans="3:12" x14ac:dyDescent="0.25">
      <c r="C43" s="680" t="s">
        <v>492</v>
      </c>
      <c r="D43" s="681"/>
      <c r="E43" s="681"/>
      <c r="F43" s="681"/>
      <c r="G43" s="681"/>
      <c r="H43" s="681"/>
      <c r="I43" s="681"/>
      <c r="J43" s="681"/>
      <c r="K43" s="681"/>
      <c r="L43" s="682"/>
    </row>
    <row r="44" spans="3:12" ht="15.75" thickBot="1" x14ac:dyDescent="0.3">
      <c r="C44" s="683"/>
      <c r="D44" s="684"/>
      <c r="E44" s="684"/>
      <c r="F44" s="684"/>
      <c r="G44" s="684"/>
      <c r="H44" s="684"/>
      <c r="I44" s="684"/>
      <c r="J44" s="684"/>
      <c r="K44" s="684"/>
      <c r="L44" s="685"/>
    </row>
    <row r="45" spans="3:12" x14ac:dyDescent="0.25">
      <c r="C45" s="507" t="s">
        <v>88</v>
      </c>
      <c r="D45" s="508" t="s">
        <v>97</v>
      </c>
      <c r="E45" s="508" t="s">
        <v>484</v>
      </c>
      <c r="F45" s="508"/>
      <c r="G45" s="508"/>
      <c r="H45" s="508"/>
      <c r="I45" s="508"/>
      <c r="J45" s="508" t="s">
        <v>485</v>
      </c>
      <c r="K45" s="508" t="s">
        <v>486</v>
      </c>
      <c r="L45" s="509" t="s">
        <v>487</v>
      </c>
    </row>
    <row r="46" spans="3:12" x14ac:dyDescent="0.25">
      <c r="C46" s="510"/>
      <c r="D46" s="548">
        <v>6009802</v>
      </c>
      <c r="E46" s="512">
        <v>7271860420</v>
      </c>
      <c r="F46" s="512">
        <v>4.0728285163566191E-2</v>
      </c>
      <c r="G46" s="513">
        <v>4.0753814871525629E-2</v>
      </c>
      <c r="H46" s="512"/>
      <c r="I46" s="512"/>
      <c r="J46" s="513"/>
      <c r="K46" s="513">
        <v>6671741776.1142273</v>
      </c>
      <c r="L46" s="514">
        <v>6410647112.4359436</v>
      </c>
    </row>
    <row r="47" spans="3:12" x14ac:dyDescent="0.25">
      <c r="C47" s="510"/>
      <c r="D47" s="549">
        <v>6291117</v>
      </c>
      <c r="E47" s="512">
        <v>7807276197</v>
      </c>
      <c r="F47" s="512">
        <v>4.6735176645254839E-2</v>
      </c>
      <c r="G47" s="513">
        <v>4.6065860441381945E-2</v>
      </c>
      <c r="H47" s="512"/>
      <c r="I47" s="512"/>
      <c r="J47" s="513"/>
      <c r="K47" s="513">
        <v>7547612053.6969013</v>
      </c>
      <c r="L47" s="514">
        <v>7210622344.695343</v>
      </c>
    </row>
    <row r="48" spans="3:12" x14ac:dyDescent="0.25">
      <c r="C48" s="510"/>
      <c r="D48" s="549">
        <v>6363388</v>
      </c>
      <c r="E48" s="512">
        <v>7916054672</v>
      </c>
      <c r="F48" s="512">
        <v>1.4380080660301164E-2</v>
      </c>
      <c r="G48" s="513">
        <v>1.4380076912181794E-2</v>
      </c>
      <c r="H48" s="512"/>
      <c r="I48" s="512"/>
      <c r="J48" s="513"/>
      <c r="K48" s="513">
        <v>7916625917.7388611</v>
      </c>
      <c r="L48" s="514">
        <v>7804398044.3559265</v>
      </c>
    </row>
    <row r="49" spans="3:12" x14ac:dyDescent="0.25">
      <c r="C49" s="510">
        <v>708</v>
      </c>
      <c r="D49" s="511">
        <v>6550929</v>
      </c>
      <c r="E49" s="512">
        <v>8107229104.7700005</v>
      </c>
      <c r="F49" s="512">
        <v>-1.5793066750017126E-2</v>
      </c>
      <c r="G49" s="513">
        <v>-1.5793066750017126E-2</v>
      </c>
      <c r="H49" s="512">
        <v>8107229104.7700005</v>
      </c>
      <c r="I49" s="512"/>
      <c r="J49" s="513" t="s">
        <v>101</v>
      </c>
      <c r="K49" s="513" t="s">
        <v>101</v>
      </c>
      <c r="L49" s="514" t="s">
        <v>101</v>
      </c>
    </row>
    <row r="50" spans="3:12" x14ac:dyDescent="0.25">
      <c r="C50" s="510">
        <v>809</v>
      </c>
      <c r="D50" s="511">
        <v>6782044</v>
      </c>
      <c r="E50" s="512">
        <v>8821793808.3400002</v>
      </c>
      <c r="F50" s="540">
        <f>K50/L50-1</f>
        <v>1.1985438649171565E-2</v>
      </c>
      <c r="G50" s="512">
        <v>4.1775224961970281E-2</v>
      </c>
      <c r="H50" s="512">
        <v>8821793808.3400002</v>
      </c>
      <c r="I50" s="512">
        <v>4.1775224961970281E-2</v>
      </c>
      <c r="J50" s="512">
        <v>8769742213.1100006</v>
      </c>
      <c r="K50" s="512">
        <v>8204397801.8199997</v>
      </c>
      <c r="L50" s="515">
        <v>8107229104.7700005</v>
      </c>
    </row>
    <row r="51" spans="3:12" x14ac:dyDescent="0.25">
      <c r="C51" s="510">
        <v>910</v>
      </c>
      <c r="D51" s="511">
        <v>6951379</v>
      </c>
      <c r="E51" s="512">
        <v>9419309256.6399994</v>
      </c>
      <c r="F51" s="540">
        <f t="shared" ref="F51:F52" si="5">K51/L51-1</f>
        <v>2.86575695808029E-2</v>
      </c>
      <c r="G51" s="512">
        <v>4.021825709920579E-2</v>
      </c>
      <c r="H51" s="512">
        <v>9419309256.6399994</v>
      </c>
      <c r="I51" s="512">
        <v>4.021825709920579E-2</v>
      </c>
      <c r="J51" s="512">
        <v>9210379986.3999996</v>
      </c>
      <c r="K51" s="512">
        <v>9074604978.2299995</v>
      </c>
      <c r="L51" s="515">
        <v>8821793808.3400002</v>
      </c>
    </row>
    <row r="52" spans="3:12" ht="15.75" thickBot="1" x14ac:dyDescent="0.3">
      <c r="C52" s="516">
        <v>1011</v>
      </c>
      <c r="D52" s="517">
        <v>7109358</v>
      </c>
      <c r="E52" s="518">
        <v>9939390774.7299995</v>
      </c>
      <c r="F52" s="540">
        <f t="shared" si="5"/>
        <v>3.3484150741485141E-2</v>
      </c>
      <c r="G52" s="518">
        <v>4.933212451989899E-2</v>
      </c>
      <c r="H52" s="518">
        <v>9939390774.7299995</v>
      </c>
      <c r="I52" s="518">
        <v>4.933212451989899E-2</v>
      </c>
      <c r="J52" s="518">
        <v>9631974716.4599991</v>
      </c>
      <c r="K52" s="518">
        <v>9734706827.6700001</v>
      </c>
      <c r="L52" s="519">
        <v>9419309256.6399994</v>
      </c>
    </row>
    <row r="53" spans="3:12" ht="15.75" thickBot="1" x14ac:dyDescent="0.3">
      <c r="C53" s="520"/>
      <c r="D53" s="520"/>
      <c r="E53" s="520"/>
      <c r="F53" s="520"/>
      <c r="G53" s="520"/>
      <c r="H53" s="520"/>
      <c r="I53" s="520"/>
      <c r="J53" s="520"/>
      <c r="K53" s="520"/>
      <c r="L53" s="520"/>
    </row>
    <row r="54" spans="3:12" ht="18.75" thickBot="1" x14ac:dyDescent="0.3">
      <c r="C54" s="686" t="s">
        <v>493</v>
      </c>
      <c r="D54" s="687"/>
      <c r="E54" s="687"/>
      <c r="F54" s="687"/>
      <c r="G54" s="687"/>
      <c r="H54" s="687"/>
      <c r="I54" s="687"/>
      <c r="J54" s="687"/>
      <c r="K54" s="687"/>
      <c r="L54" s="688"/>
    </row>
    <row r="55" spans="3:12" x14ac:dyDescent="0.25">
      <c r="C55" s="507" t="s">
        <v>88</v>
      </c>
      <c r="D55" s="508" t="s">
        <v>97</v>
      </c>
      <c r="E55" s="508" t="s">
        <v>484</v>
      </c>
      <c r="F55" s="508"/>
      <c r="G55" s="508"/>
      <c r="H55" s="508"/>
      <c r="I55" s="508"/>
      <c r="J55" s="508" t="s">
        <v>485</v>
      </c>
      <c r="K55" s="508" t="s">
        <v>489</v>
      </c>
      <c r="L55" s="509" t="s">
        <v>487</v>
      </c>
    </row>
    <row r="56" spans="3:12" x14ac:dyDescent="0.25">
      <c r="C56" s="510"/>
      <c r="D56" s="511"/>
      <c r="E56" s="512"/>
      <c r="F56" s="512"/>
      <c r="G56" s="512"/>
      <c r="H56" s="512"/>
      <c r="I56" s="512"/>
      <c r="J56" s="513"/>
      <c r="K56" s="513"/>
      <c r="L56" s="514"/>
    </row>
    <row r="57" spans="3:12" x14ac:dyDescent="0.25">
      <c r="C57" s="510"/>
      <c r="D57" s="511"/>
      <c r="E57" s="512"/>
      <c r="F57" s="512"/>
      <c r="G57" s="512"/>
      <c r="H57" s="512"/>
      <c r="I57" s="512"/>
      <c r="J57" s="513"/>
      <c r="K57" s="513"/>
      <c r="L57" s="514"/>
    </row>
    <row r="58" spans="3:12" x14ac:dyDescent="0.25">
      <c r="C58" s="510"/>
      <c r="D58" s="511"/>
      <c r="E58" s="512"/>
      <c r="F58" s="512"/>
      <c r="G58" s="512"/>
      <c r="H58" s="512"/>
      <c r="I58" s="512"/>
      <c r="J58" s="513"/>
      <c r="K58" s="513"/>
      <c r="L58" s="514"/>
    </row>
    <row r="59" spans="3:12" x14ac:dyDescent="0.25">
      <c r="C59" s="510">
        <v>708</v>
      </c>
      <c r="D59" s="511">
        <v>6550929</v>
      </c>
      <c r="E59" s="512">
        <v>8107229104.7700005</v>
      </c>
      <c r="F59" s="512"/>
      <c r="G59" s="512"/>
      <c r="H59" s="512"/>
      <c r="I59" s="512"/>
      <c r="J59" s="513" t="s">
        <v>101</v>
      </c>
      <c r="K59" s="513" t="s">
        <v>101</v>
      </c>
      <c r="L59" s="514" t="s">
        <v>101</v>
      </c>
    </row>
    <row r="60" spans="3:12" x14ac:dyDescent="0.25">
      <c r="C60" s="510">
        <v>809</v>
      </c>
      <c r="D60" s="511">
        <v>6782044</v>
      </c>
      <c r="E60" s="512">
        <v>8821793808.3400002</v>
      </c>
      <c r="F60" s="540">
        <f t="shared" ref="F60:F62" si="6">K60/L60-1</f>
        <v>4.1775224961970281E-2</v>
      </c>
      <c r="G60" s="512"/>
      <c r="H60" s="512"/>
      <c r="I60" s="512"/>
      <c r="J60" s="512">
        <v>8769742213.1100006</v>
      </c>
      <c r="K60" s="512">
        <v>8445910424.4399996</v>
      </c>
      <c r="L60" s="515">
        <v>8107229104.7700005</v>
      </c>
    </row>
    <row r="61" spans="3:12" x14ac:dyDescent="0.25">
      <c r="C61" s="510">
        <v>910</v>
      </c>
      <c r="D61" s="511">
        <v>6951379</v>
      </c>
      <c r="E61" s="512">
        <v>9419309256.6399994</v>
      </c>
      <c r="F61" s="540">
        <f t="shared" si="6"/>
        <v>4.021825709920579E-2</v>
      </c>
      <c r="G61" s="512"/>
      <c r="H61" s="512"/>
      <c r="I61" s="512"/>
      <c r="J61" s="512">
        <v>9210379986.3999996</v>
      </c>
      <c r="K61" s="512">
        <v>9176590979.7999992</v>
      </c>
      <c r="L61" s="515">
        <v>8821793808.3400002</v>
      </c>
    </row>
    <row r="62" spans="3:12" ht="15.75" thickBot="1" x14ac:dyDescent="0.3">
      <c r="C62" s="516">
        <v>1011</v>
      </c>
      <c r="D62" s="517">
        <v>7109358</v>
      </c>
      <c r="E62" s="518">
        <v>9939390774.7299995</v>
      </c>
      <c r="F62" s="540">
        <f t="shared" si="6"/>
        <v>4.933212451989899E-2</v>
      </c>
      <c r="G62" s="518"/>
      <c r="H62" s="518"/>
      <c r="I62" s="518"/>
      <c r="J62" s="518">
        <v>9631974716.4599991</v>
      </c>
      <c r="K62" s="518">
        <v>9883983793.7800007</v>
      </c>
      <c r="L62" s="519">
        <v>9419309256.6399994</v>
      </c>
    </row>
    <row r="63" spans="3:12" ht="15.75" thickBot="1" x14ac:dyDescent="0.3">
      <c r="C63" s="520"/>
      <c r="D63" s="520"/>
      <c r="E63" s="520"/>
      <c r="F63" s="520"/>
      <c r="G63" s="520"/>
      <c r="H63" s="520"/>
      <c r="I63" s="520"/>
      <c r="J63" s="520"/>
      <c r="K63" s="520"/>
      <c r="L63" s="520"/>
    </row>
    <row r="64" spans="3:12" x14ac:dyDescent="0.25">
      <c r="C64" s="680" t="s">
        <v>494</v>
      </c>
      <c r="D64" s="681"/>
      <c r="E64" s="681"/>
      <c r="F64" s="681"/>
      <c r="G64" s="681"/>
      <c r="H64" s="681"/>
      <c r="I64" s="681"/>
      <c r="J64" s="681"/>
      <c r="K64" s="681"/>
      <c r="L64" s="682"/>
    </row>
    <row r="65" spans="2:15" ht="15.75" thickBot="1" x14ac:dyDescent="0.3">
      <c r="C65" s="683"/>
      <c r="D65" s="684"/>
      <c r="E65" s="684"/>
      <c r="F65" s="684"/>
      <c r="G65" s="684"/>
      <c r="H65" s="684"/>
      <c r="I65" s="684"/>
      <c r="J65" s="684"/>
      <c r="K65" s="684"/>
      <c r="L65" s="685"/>
    </row>
    <row r="66" spans="2:15" x14ac:dyDescent="0.25">
      <c r="C66" s="507" t="s">
        <v>88</v>
      </c>
      <c r="D66" s="508" t="s">
        <v>97</v>
      </c>
      <c r="E66" s="508" t="s">
        <v>484</v>
      </c>
      <c r="F66" s="508"/>
      <c r="G66" s="508"/>
      <c r="H66" s="508"/>
      <c r="I66" s="508"/>
      <c r="J66" s="508" t="s">
        <v>485</v>
      </c>
      <c r="K66" s="508" t="s">
        <v>486</v>
      </c>
      <c r="L66" s="509" t="s">
        <v>487</v>
      </c>
    </row>
    <row r="67" spans="2:15" x14ac:dyDescent="0.25">
      <c r="C67" s="510"/>
      <c r="D67" s="511">
        <v>169607</v>
      </c>
      <c r="E67" s="512">
        <v>125470796</v>
      </c>
      <c r="F67" s="540">
        <f t="shared" ref="F67:F69" si="7">J67/L67-1</f>
        <v>1.2409982751631521E-2</v>
      </c>
      <c r="G67" s="540">
        <v>7.8148113714905376E-2</v>
      </c>
      <c r="H67" s="512"/>
      <c r="I67" s="512"/>
      <c r="J67" s="512">
        <v>147013152.60668945</v>
      </c>
      <c r="K67" s="513"/>
      <c r="L67" s="513">
        <v>145211085.53979492</v>
      </c>
      <c r="M67" s="513"/>
      <c r="N67" s="513"/>
      <c r="O67" s="513"/>
    </row>
    <row r="68" spans="2:15" x14ac:dyDescent="0.25">
      <c r="C68" s="510"/>
      <c r="D68" s="511">
        <v>161642</v>
      </c>
      <c r="E68" s="512">
        <v>121645436</v>
      </c>
      <c r="F68" s="540">
        <f t="shared" si="7"/>
        <v>-4.2750488320491109E-2</v>
      </c>
      <c r="G68" s="540">
        <v>-5.6474466590093031E-2</v>
      </c>
      <c r="H68" s="512"/>
      <c r="I68" s="512"/>
      <c r="J68" s="512">
        <v>150187673.2243042</v>
      </c>
      <c r="K68" s="513"/>
      <c r="L68" s="513">
        <v>156895011.58459473</v>
      </c>
    </row>
    <row r="69" spans="2:15" x14ac:dyDescent="0.25">
      <c r="C69" s="510"/>
      <c r="D69" s="511">
        <v>153968</v>
      </c>
      <c r="E69" s="512">
        <v>116946720</v>
      </c>
      <c r="F69" s="540">
        <f t="shared" si="7"/>
        <v>-4.4981818651237626E-2</v>
      </c>
      <c r="G69" s="540">
        <v>-4.6826399546244679E-2</v>
      </c>
      <c r="H69" s="512"/>
      <c r="I69" s="512"/>
      <c r="J69" s="512">
        <v>142827800.38867187</v>
      </c>
      <c r="K69" s="513"/>
      <c r="L69" s="513">
        <v>149555058.92773437</v>
      </c>
    </row>
    <row r="70" spans="2:15" x14ac:dyDescent="0.25">
      <c r="C70" s="510">
        <v>708</v>
      </c>
      <c r="D70" s="511">
        <v>145379</v>
      </c>
      <c r="E70" s="512">
        <v>389080903.73000002</v>
      </c>
      <c r="F70" s="540">
        <f>J70/L70-1</f>
        <v>-8.4477568510430312E-2</v>
      </c>
      <c r="G70" s="540">
        <v>0.74517052648495929</v>
      </c>
      <c r="H70" s="512">
        <v>389080903.73000002</v>
      </c>
      <c r="I70" s="512"/>
      <c r="J70" s="513">
        <v>130159319.81350754</v>
      </c>
      <c r="K70" s="513"/>
      <c r="L70" s="513">
        <v>142169449.19824219</v>
      </c>
    </row>
    <row r="71" spans="2:15" x14ac:dyDescent="0.25">
      <c r="C71" s="510">
        <v>809</v>
      </c>
      <c r="D71" s="511">
        <v>134267</v>
      </c>
      <c r="E71" s="512">
        <v>375971739.5</v>
      </c>
      <c r="F71" s="540">
        <f t="shared" ref="F71" si="8">K71/L71-1</f>
        <v>-6.472908471878358E-2</v>
      </c>
      <c r="G71" s="512">
        <v>-2.9650681874651252E-2</v>
      </c>
      <c r="H71" s="512">
        <v>375971739.5</v>
      </c>
      <c r="I71" s="512">
        <v>-2.9650681874651252E-2</v>
      </c>
      <c r="J71" s="512">
        <v>402280658.25999999</v>
      </c>
      <c r="K71" s="512">
        <v>363896052.94999999</v>
      </c>
      <c r="L71" s="515">
        <v>389080903.73000002</v>
      </c>
    </row>
    <row r="72" spans="2:15" x14ac:dyDescent="0.25">
      <c r="C72" s="510">
        <v>910</v>
      </c>
      <c r="D72" s="511">
        <v>149753</v>
      </c>
      <c r="E72" s="512">
        <v>413305127.63999999</v>
      </c>
      <c r="F72" s="540">
        <f t="shared" ref="F72:F73" si="9">K72/L72-1</f>
        <v>0.1164256895430833</v>
      </c>
      <c r="G72" s="512">
        <v>0.13204627285556914</v>
      </c>
      <c r="H72" s="512">
        <v>413305127.63999999</v>
      </c>
      <c r="I72" s="512">
        <v>0.13204627285556914</v>
      </c>
      <c r="J72" s="512">
        <v>370206970.31</v>
      </c>
      <c r="K72" s="512">
        <v>419744508.51999998</v>
      </c>
      <c r="L72" s="515">
        <v>375971739.5</v>
      </c>
    </row>
    <row r="73" spans="2:15" ht="15.75" thickBot="1" x14ac:dyDescent="0.3">
      <c r="B73" s="601">
        <f>E73/D73</f>
        <v>2837.5868320588743</v>
      </c>
      <c r="C73" s="516">
        <v>1011</v>
      </c>
      <c r="D73" s="517">
        <v>156537</v>
      </c>
      <c r="E73" s="518">
        <v>444187329.93000001</v>
      </c>
      <c r="F73" s="540">
        <f t="shared" si="9"/>
        <v>4.2866387531083294E-2</v>
      </c>
      <c r="G73" s="518">
        <v>5.6120629285304702E-2</v>
      </c>
      <c r="H73" s="518">
        <v>444187329.93000001</v>
      </c>
      <c r="I73" s="518">
        <v>5.6120629285304702E-2</v>
      </c>
      <c r="J73" s="518">
        <v>425937642.10000002</v>
      </c>
      <c r="K73" s="518">
        <v>431022025.41000003</v>
      </c>
      <c r="L73" s="519">
        <v>413305127.63999999</v>
      </c>
    </row>
    <row r="74" spans="2:15" ht="15.75" thickBot="1" x14ac:dyDescent="0.3">
      <c r="C74" s="520"/>
      <c r="D74" s="520"/>
      <c r="E74" s="520"/>
      <c r="F74" s="520"/>
      <c r="G74" s="520"/>
      <c r="H74" s="520"/>
      <c r="I74" s="520"/>
      <c r="J74" s="520"/>
      <c r="K74" s="520"/>
      <c r="L74" s="520"/>
    </row>
    <row r="75" spans="2:15" ht="18.75" thickBot="1" x14ac:dyDescent="0.3">
      <c r="C75" s="686" t="s">
        <v>495</v>
      </c>
      <c r="D75" s="687"/>
      <c r="E75" s="687"/>
      <c r="F75" s="687"/>
      <c r="G75" s="687"/>
      <c r="H75" s="687"/>
      <c r="I75" s="687"/>
      <c r="J75" s="687"/>
      <c r="K75" s="687"/>
      <c r="L75" s="688"/>
    </row>
    <row r="76" spans="2:15" x14ac:dyDescent="0.25">
      <c r="C76" s="507" t="s">
        <v>88</v>
      </c>
      <c r="D76" s="508" t="s">
        <v>97</v>
      </c>
      <c r="E76" s="508" t="s">
        <v>484</v>
      </c>
      <c r="F76" s="508"/>
      <c r="G76" s="508"/>
      <c r="H76" s="508"/>
      <c r="I76" s="508"/>
      <c r="J76" s="508" t="s">
        <v>485</v>
      </c>
      <c r="K76" s="508" t="s">
        <v>489</v>
      </c>
      <c r="L76" s="509" t="s">
        <v>487</v>
      </c>
    </row>
    <row r="77" spans="2:15" x14ac:dyDescent="0.25">
      <c r="C77" s="510"/>
      <c r="D77" s="511">
        <v>169607</v>
      </c>
      <c r="E77" s="512"/>
      <c r="F77" s="540">
        <f t="shared" ref="F77:F80" si="10">K77/L77-1</f>
        <v>7.8148113714905376E-2</v>
      </c>
      <c r="G77" s="512"/>
      <c r="H77" s="512"/>
      <c r="I77" s="512"/>
      <c r="J77" s="513"/>
      <c r="K77" s="513">
        <v>156559057.96522367</v>
      </c>
      <c r="L77" s="513">
        <v>145211085.53979492</v>
      </c>
    </row>
    <row r="78" spans="2:15" x14ac:dyDescent="0.25">
      <c r="C78" s="510"/>
      <c r="D78" s="511">
        <v>161642</v>
      </c>
      <c r="E78" s="512"/>
      <c r="F78" s="540">
        <f t="shared" si="10"/>
        <v>-5.6474466590093031E-2</v>
      </c>
      <c r="G78" s="512"/>
      <c r="H78" s="512"/>
      <c r="I78" s="512"/>
      <c r="J78" s="513"/>
      <c r="K78" s="513">
        <v>148034449.49470827</v>
      </c>
      <c r="L78" s="513">
        <v>156895011.58459473</v>
      </c>
    </row>
    <row r="79" spans="2:15" x14ac:dyDescent="0.25">
      <c r="C79" s="510"/>
      <c r="D79" s="511">
        <v>153968</v>
      </c>
      <c r="E79" s="512"/>
      <c r="F79" s="540">
        <f t="shared" si="10"/>
        <v>-4.6826399546244679E-2</v>
      </c>
      <c r="G79" s="512"/>
      <c r="H79" s="512"/>
      <c r="I79" s="512"/>
      <c r="J79" s="513"/>
      <c r="K79" s="513">
        <v>142551933.98422211</v>
      </c>
      <c r="L79" s="513">
        <v>149555058.92773437</v>
      </c>
    </row>
    <row r="80" spans="2:15" x14ac:dyDescent="0.25">
      <c r="C80" s="510">
        <v>708</v>
      </c>
      <c r="D80" s="511">
        <v>145379</v>
      </c>
      <c r="E80" s="512">
        <v>389080903.73000002</v>
      </c>
      <c r="F80" s="540">
        <f t="shared" si="10"/>
        <v>0.74517052648495929</v>
      </c>
      <c r="G80" s="512"/>
      <c r="H80" s="512"/>
      <c r="I80" s="512"/>
      <c r="J80" s="513" t="s">
        <v>101</v>
      </c>
      <c r="K80" s="513">
        <v>248109932.50737301</v>
      </c>
      <c r="L80" s="513">
        <v>142169449.19824219</v>
      </c>
    </row>
    <row r="81" spans="3:21" ht="15.75" thickBot="1" x14ac:dyDescent="0.3">
      <c r="C81" s="510">
        <v>809</v>
      </c>
      <c r="D81" s="511">
        <v>134267</v>
      </c>
      <c r="E81" s="512">
        <v>375971739.5</v>
      </c>
      <c r="F81" s="540">
        <f>K81/L81-1</f>
        <v>-2.9650681874651252E-2</v>
      </c>
      <c r="G81" s="512"/>
      <c r="H81" s="512"/>
      <c r="I81" s="512"/>
      <c r="J81" s="512">
        <v>402280658.25999999</v>
      </c>
      <c r="K81" s="512">
        <v>377544389.63</v>
      </c>
      <c r="L81" s="515">
        <v>389080903.73000002</v>
      </c>
    </row>
    <row r="82" spans="3:21" ht="25.5" x14ac:dyDescent="0.25">
      <c r="C82" s="510">
        <v>910</v>
      </c>
      <c r="D82" s="511">
        <v>149753</v>
      </c>
      <c r="E82" s="512">
        <v>413305127.63999999</v>
      </c>
      <c r="F82" s="540">
        <f t="shared" ref="F82" si="11">K82/L82-1</f>
        <v>0.13204627285556914</v>
      </c>
      <c r="G82" s="512"/>
      <c r="H82" s="512"/>
      <c r="I82" s="512"/>
      <c r="J82" s="512">
        <v>370206970.31</v>
      </c>
      <c r="K82" s="512">
        <v>425617406.39999998</v>
      </c>
      <c r="L82" s="515">
        <v>375971739.5</v>
      </c>
      <c r="P82" s="521" t="s">
        <v>1</v>
      </c>
      <c r="Q82" s="522" t="s">
        <v>143</v>
      </c>
      <c r="R82" s="522" t="s">
        <v>92</v>
      </c>
      <c r="S82" s="522" t="s">
        <v>497</v>
      </c>
    </row>
    <row r="83" spans="3:21" ht="15.75" thickBot="1" x14ac:dyDescent="0.3">
      <c r="C83" s="516">
        <v>1011</v>
      </c>
      <c r="D83" s="517">
        <v>156537</v>
      </c>
      <c r="E83" s="518">
        <v>444187329.93000001</v>
      </c>
      <c r="F83" s="540">
        <f>K83/L83-1</f>
        <v>5.6120629285304702E-2</v>
      </c>
      <c r="G83" s="518"/>
      <c r="H83" s="518"/>
      <c r="I83" s="518"/>
      <c r="J83" s="518">
        <v>425937642.10000002</v>
      </c>
      <c r="K83" s="518">
        <v>436500071.49000001</v>
      </c>
      <c r="L83" s="519">
        <v>413305127.63999999</v>
      </c>
      <c r="P83" s="525"/>
      <c r="Q83" s="526"/>
      <c r="R83" s="527"/>
      <c r="S83" s="528"/>
    </row>
    <row r="84" spans="3:21" ht="15.75" thickBot="1" x14ac:dyDescent="0.3">
      <c r="P84" s="525"/>
      <c r="Q84" s="526"/>
      <c r="R84" s="527"/>
      <c r="S84" s="528"/>
    </row>
    <row r="85" spans="3:21" ht="25.5" x14ac:dyDescent="0.25">
      <c r="C85" s="521" t="s">
        <v>1</v>
      </c>
      <c r="D85" s="522" t="s">
        <v>143</v>
      </c>
      <c r="E85" s="522" t="s">
        <v>92</v>
      </c>
      <c r="F85" s="522"/>
      <c r="G85" s="522"/>
      <c r="H85" s="522"/>
      <c r="I85" s="522"/>
      <c r="J85" s="522" t="s">
        <v>144</v>
      </c>
      <c r="K85" s="522" t="s">
        <v>145</v>
      </c>
      <c r="L85" s="523" t="s">
        <v>146</v>
      </c>
      <c r="M85" s="524"/>
      <c r="N85" s="524"/>
      <c r="O85" s="524"/>
      <c r="P85" s="525"/>
      <c r="Q85" s="526"/>
      <c r="R85" s="527"/>
      <c r="S85" s="528"/>
      <c r="T85" s="522" t="s">
        <v>145</v>
      </c>
      <c r="U85" s="523" t="s">
        <v>146</v>
      </c>
    </row>
    <row r="86" spans="3:21" x14ac:dyDescent="0.25">
      <c r="C86" s="525"/>
      <c r="D86" s="526">
        <v>52724302</v>
      </c>
      <c r="E86" s="528">
        <v>5569045486.7889786</v>
      </c>
      <c r="F86" s="540">
        <f t="shared" ref="F86:F87" si="12">J86/L86-1</f>
        <v>0.10142546919528872</v>
      </c>
      <c r="G86" s="528"/>
      <c r="H86" s="527"/>
      <c r="I86" s="527"/>
      <c r="J86" s="528">
        <v>5424654905.8055468</v>
      </c>
      <c r="K86" s="528"/>
      <c r="L86" s="528">
        <v>4925122087.2610188</v>
      </c>
      <c r="M86" s="530"/>
      <c r="N86" s="524"/>
      <c r="O86" s="524"/>
      <c r="P86" s="525" t="s">
        <v>4</v>
      </c>
      <c r="Q86" s="526">
        <v>69678564</v>
      </c>
      <c r="R86" s="527">
        <v>6552679133</v>
      </c>
      <c r="S86" s="528" t="s">
        <v>101</v>
      </c>
      <c r="T86" s="528"/>
      <c r="U86" s="529"/>
    </row>
    <row r="87" spans="3:21" x14ac:dyDescent="0.25">
      <c r="C87" s="525"/>
      <c r="D87" s="526">
        <v>60541477</v>
      </c>
      <c r="E87" s="528">
        <v>6213177870.8596992</v>
      </c>
      <c r="F87" s="540">
        <f t="shared" si="12"/>
        <v>9.8719895811427483E-2</v>
      </c>
      <c r="G87" s="528">
        <v>3.9181130255050434E-2</v>
      </c>
      <c r="H87" s="527"/>
      <c r="I87" s="527"/>
      <c r="J87" s="528">
        <v>6118821077.0138874</v>
      </c>
      <c r="K87" s="528"/>
      <c r="L87" s="528">
        <v>5569045486.7889786</v>
      </c>
      <c r="M87" s="530"/>
      <c r="N87" s="524"/>
      <c r="O87" s="524"/>
      <c r="P87" s="525" t="s">
        <v>5</v>
      </c>
      <c r="Q87" s="526">
        <v>74421017</v>
      </c>
      <c r="R87" s="527">
        <v>7317052852</v>
      </c>
      <c r="S87" s="527">
        <v>7044164800</v>
      </c>
      <c r="T87" s="528"/>
      <c r="U87" s="529"/>
    </row>
    <row r="88" spans="3:21" x14ac:dyDescent="0.25">
      <c r="C88" s="525"/>
      <c r="D88" s="526">
        <v>63453507</v>
      </c>
      <c r="E88" s="528">
        <v>5880117484.2040462</v>
      </c>
      <c r="F88" s="540">
        <f>J88/L88-1</f>
        <v>-6.8552823741646063E-2</v>
      </c>
      <c r="G88" s="528">
        <v>-6.8552823741646063E-2</v>
      </c>
      <c r="H88" s="527"/>
      <c r="I88" s="527"/>
      <c r="J88" s="528">
        <v>5787246983.4031582</v>
      </c>
      <c r="K88" s="528"/>
      <c r="L88" s="528">
        <v>6213177870.8596992</v>
      </c>
      <c r="M88" s="530"/>
      <c r="N88" s="524"/>
      <c r="O88" s="524"/>
      <c r="P88" s="525" t="s">
        <v>6</v>
      </c>
      <c r="Q88" s="526">
        <v>76761100</v>
      </c>
      <c r="R88" s="527">
        <v>7623618289</v>
      </c>
      <c r="S88" s="527">
        <v>7460414658</v>
      </c>
      <c r="T88" s="528"/>
      <c r="U88" s="529"/>
    </row>
    <row r="89" spans="3:21" ht="15.75" thickBot="1" x14ac:dyDescent="0.3">
      <c r="C89" s="525" t="s">
        <v>4</v>
      </c>
      <c r="D89" s="526">
        <v>69678564</v>
      </c>
      <c r="E89" s="527">
        <v>6552679133</v>
      </c>
      <c r="F89" s="540">
        <f>J89/L89-1</f>
        <v>0.11437894746196453</v>
      </c>
      <c r="G89" s="528">
        <v>8.1592493501527752E-2</v>
      </c>
      <c r="H89" s="527">
        <v>6552679133</v>
      </c>
      <c r="I89" s="527"/>
      <c r="J89" s="527">
        <f>E89</f>
        <v>6552679133</v>
      </c>
      <c r="K89" s="528" t="s">
        <v>101</v>
      </c>
      <c r="L89" s="528">
        <v>5880117484.2040462</v>
      </c>
      <c r="M89" s="530">
        <f>E89/D89</f>
        <v>94.041535256093965</v>
      </c>
      <c r="N89" s="524"/>
      <c r="O89" s="524"/>
      <c r="P89" s="533" t="s">
        <v>7</v>
      </c>
      <c r="Q89" s="534">
        <v>81263904</v>
      </c>
      <c r="R89" s="535">
        <v>8516922013</v>
      </c>
      <c r="S89" s="535">
        <v>8401423542</v>
      </c>
      <c r="T89" s="528" t="s">
        <v>101</v>
      </c>
      <c r="U89" s="529" t="s">
        <v>101</v>
      </c>
    </row>
    <row r="90" spans="3:21" x14ac:dyDescent="0.25">
      <c r="C90" s="525" t="s">
        <v>5</v>
      </c>
      <c r="D90" s="526">
        <v>74421017</v>
      </c>
      <c r="E90" s="527">
        <v>7317052852</v>
      </c>
      <c r="F90" s="540">
        <f>K90/L90-1</f>
        <v>4.3189293776056958E-2</v>
      </c>
      <c r="G90" s="527">
        <v>7.5530951423579351E-2</v>
      </c>
      <c r="H90" s="527">
        <v>7317052852</v>
      </c>
      <c r="I90" s="527">
        <v>7.5530951423579351E-2</v>
      </c>
      <c r="J90" s="527">
        <v>7041261652</v>
      </c>
      <c r="K90" s="527">
        <v>6832343870</v>
      </c>
      <c r="L90" s="531">
        <v>6549476601</v>
      </c>
      <c r="M90" s="530">
        <f t="shared" ref="M90:M92" si="13">E90/D90</f>
        <v>98.319710573157039</v>
      </c>
      <c r="N90" s="532">
        <f>J90/L90-1</f>
        <v>7.5087687300831485E-2</v>
      </c>
      <c r="O90" s="524"/>
      <c r="T90" s="527">
        <v>6832343870</v>
      </c>
      <c r="U90" s="531">
        <v>6549476601</v>
      </c>
    </row>
    <row r="91" spans="3:21" x14ac:dyDescent="0.25">
      <c r="C91" s="525" t="s">
        <v>6</v>
      </c>
      <c r="D91" s="526">
        <v>76761100</v>
      </c>
      <c r="E91" s="527">
        <v>7623618289</v>
      </c>
      <c r="F91" s="540">
        <f t="shared" ref="F91:F92" si="14">K91/L91-1</f>
        <v>6.8588948464016086E-2</v>
      </c>
      <c r="G91" s="527">
        <v>2.0073430802318493E-2</v>
      </c>
      <c r="H91" s="527">
        <v>7623618289</v>
      </c>
      <c r="I91" s="527">
        <v>2.0073430802318493E-2</v>
      </c>
      <c r="J91" s="527">
        <v>7461952695</v>
      </c>
      <c r="K91" s="527">
        <v>7815238015</v>
      </c>
      <c r="L91" s="531">
        <v>7313605504</v>
      </c>
      <c r="M91" s="530">
        <f t="shared" si="13"/>
        <v>99.316167811560803</v>
      </c>
      <c r="N91" s="532">
        <f>J91/L91-1</f>
        <v>2.0283728855605476E-2</v>
      </c>
      <c r="O91" s="524"/>
      <c r="T91" s="527">
        <v>7815238015</v>
      </c>
      <c r="U91" s="531">
        <v>7313605504</v>
      </c>
    </row>
    <row r="92" spans="3:21" ht="15.75" thickBot="1" x14ac:dyDescent="0.3">
      <c r="C92" s="533" t="s">
        <v>7</v>
      </c>
      <c r="D92" s="534">
        <v>81263904</v>
      </c>
      <c r="E92" s="535">
        <v>8516922013</v>
      </c>
      <c r="F92" s="540">
        <f t="shared" si="14"/>
        <v>3.6282611852473945E-2</v>
      </c>
      <c r="G92" s="535">
        <v>0.10078240201895516</v>
      </c>
      <c r="H92" s="535">
        <v>8516922013</v>
      </c>
      <c r="I92" s="535">
        <v>0.10078240201895516</v>
      </c>
      <c r="J92" s="535">
        <v>8403055628</v>
      </c>
      <c r="K92" s="535">
        <v>7909146363</v>
      </c>
      <c r="L92" s="536">
        <v>7632229155</v>
      </c>
      <c r="M92" s="530">
        <f t="shared" si="13"/>
        <v>104.80572054475749</v>
      </c>
      <c r="N92" s="532">
        <f t="shared" ref="N92" si="15">J92/L92-1</f>
        <v>0.10099624334458279</v>
      </c>
      <c r="O92" s="524"/>
      <c r="T92" s="535">
        <v>7909146363</v>
      </c>
      <c r="U92" s="536">
        <v>7632229155</v>
      </c>
    </row>
    <row r="93" spans="3:21" ht="15.75" thickBot="1" x14ac:dyDescent="0.3"/>
    <row r="94" spans="3:21" ht="25.5" x14ac:dyDescent="0.25">
      <c r="C94" s="521" t="s">
        <v>1</v>
      </c>
      <c r="D94" s="522" t="s">
        <v>143</v>
      </c>
      <c r="E94" s="522" t="s">
        <v>92</v>
      </c>
      <c r="F94" s="522"/>
      <c r="G94" s="522"/>
      <c r="H94" s="522"/>
      <c r="I94" s="522"/>
      <c r="J94" s="522" t="s">
        <v>497</v>
      </c>
      <c r="K94" s="522" t="s">
        <v>145</v>
      </c>
      <c r="L94" s="523" t="s">
        <v>146</v>
      </c>
    </row>
    <row r="95" spans="3:21" x14ac:dyDescent="0.25">
      <c r="C95" s="525"/>
      <c r="D95" s="526">
        <v>52724302</v>
      </c>
      <c r="E95" s="527"/>
      <c r="F95" s="540"/>
      <c r="G95" s="527"/>
      <c r="H95" s="527"/>
      <c r="I95" s="527"/>
      <c r="J95" s="528">
        <v>6118821077.0138874</v>
      </c>
      <c r="K95" s="528"/>
      <c r="L95" s="529"/>
    </row>
    <row r="96" spans="3:21" x14ac:dyDescent="0.25">
      <c r="C96" s="525"/>
      <c r="D96" s="526">
        <v>60541477</v>
      </c>
      <c r="E96" s="527"/>
      <c r="F96" s="540">
        <f t="shared" ref="F96:F98" si="16">J96/L96-1</f>
        <v>3.9181130255050434E-2</v>
      </c>
      <c r="G96" s="527"/>
      <c r="H96" s="527"/>
      <c r="I96" s="527"/>
      <c r="J96" s="528">
        <v>5787246983.4031582</v>
      </c>
      <c r="K96" s="528">
        <v>5569045486.7889786</v>
      </c>
      <c r="L96" s="528">
        <v>5569045486.7889786</v>
      </c>
    </row>
    <row r="97" spans="3:12" x14ac:dyDescent="0.25">
      <c r="C97" s="525"/>
      <c r="D97" s="526">
        <v>63453507</v>
      </c>
      <c r="E97" s="527"/>
      <c r="F97" s="540">
        <f t="shared" si="16"/>
        <v>-6.8552823741646063E-2</v>
      </c>
      <c r="G97" s="527"/>
      <c r="H97" s="527"/>
      <c r="I97" s="527"/>
      <c r="J97" s="528">
        <v>5787246983.4031582</v>
      </c>
      <c r="K97" s="528">
        <v>6213177870.8596992</v>
      </c>
      <c r="L97" s="528">
        <v>6213177870.8596992</v>
      </c>
    </row>
    <row r="98" spans="3:12" x14ac:dyDescent="0.25">
      <c r="C98" s="525" t="s">
        <v>4</v>
      </c>
      <c r="D98" s="526">
        <v>69678564</v>
      </c>
      <c r="E98" s="527">
        <v>6552679133</v>
      </c>
      <c r="F98" s="540">
        <f t="shared" si="16"/>
        <v>8.1592493501527752E-2</v>
      </c>
      <c r="G98" s="527"/>
      <c r="H98" s="527"/>
      <c r="I98" s="527"/>
      <c r="J98" s="528">
        <v>6359890931.8221846</v>
      </c>
      <c r="K98" s="528">
        <v>5880117484.2040462</v>
      </c>
      <c r="L98" s="528">
        <v>5880117484.2040462</v>
      </c>
    </row>
    <row r="99" spans="3:12" x14ac:dyDescent="0.25">
      <c r="C99" s="525" t="s">
        <v>5</v>
      </c>
      <c r="D99" s="526">
        <v>74421017</v>
      </c>
      <c r="E99" s="527">
        <v>7317052852</v>
      </c>
      <c r="F99" s="540">
        <f>J99/L99-1</f>
        <v>7.5530951423579351E-2</v>
      </c>
      <c r="G99" s="527"/>
      <c r="H99" s="527"/>
      <c r="I99" s="527"/>
      <c r="J99" s="527">
        <v>7044164800</v>
      </c>
      <c r="K99" s="527">
        <v>6832343870</v>
      </c>
      <c r="L99" s="531">
        <v>6549476601</v>
      </c>
    </row>
    <row r="100" spans="3:12" x14ac:dyDescent="0.25">
      <c r="C100" s="525" t="s">
        <v>6</v>
      </c>
      <c r="D100" s="526">
        <v>76761100</v>
      </c>
      <c r="E100" s="527">
        <v>7623618289</v>
      </c>
      <c r="F100" s="540">
        <f>J100/L100-1</f>
        <v>2.0073430802318493E-2</v>
      </c>
      <c r="G100" s="527"/>
      <c r="H100" s="527"/>
      <c r="I100" s="527"/>
      <c r="J100" s="527">
        <v>7460414658</v>
      </c>
      <c r="K100" s="527">
        <v>7815238015</v>
      </c>
      <c r="L100" s="531">
        <v>7313605504</v>
      </c>
    </row>
    <row r="101" spans="3:12" ht="15.75" thickBot="1" x14ac:dyDescent="0.3">
      <c r="C101" s="533" t="s">
        <v>7</v>
      </c>
      <c r="D101" s="534">
        <v>81263904</v>
      </c>
      <c r="E101" s="535">
        <v>8516922013</v>
      </c>
      <c r="F101" s="540">
        <f>J101/L101-1</f>
        <v>0.10078240201895516</v>
      </c>
      <c r="G101" s="535"/>
      <c r="H101" s="535"/>
      <c r="I101" s="535"/>
      <c r="J101" s="535">
        <v>8401423542</v>
      </c>
      <c r="K101" s="535">
        <v>7909146363</v>
      </c>
      <c r="L101" s="536">
        <v>7632229155</v>
      </c>
    </row>
    <row r="102" spans="3:12" x14ac:dyDescent="0.25">
      <c r="F102" t="s">
        <v>500</v>
      </c>
    </row>
  </sheetData>
  <mergeCells count="8">
    <mergeCell ref="C64:L65"/>
    <mergeCell ref="C75:L75"/>
    <mergeCell ref="C2:L2"/>
    <mergeCell ref="C12:L12"/>
    <mergeCell ref="C23:L23"/>
    <mergeCell ref="C33:L33"/>
    <mergeCell ref="C43:L44"/>
    <mergeCell ref="C54:L5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4:W106"/>
  <sheetViews>
    <sheetView showGridLines="0" showRowColHeaders="0" topLeftCell="E70" zoomScale="60" zoomScaleNormal="60" workbookViewId="0">
      <selection activeCell="G105" sqref="G105"/>
    </sheetView>
  </sheetViews>
  <sheetFormatPr defaultRowHeight="15" x14ac:dyDescent="0.25"/>
  <cols>
    <col min="3" max="3" width="13.42578125" bestFit="1" customWidth="1"/>
    <col min="4" max="4" width="14.7109375" customWidth="1"/>
    <col min="5" max="5" width="21.140625" customWidth="1"/>
    <col min="6" max="6" width="27" customWidth="1"/>
    <col min="7" max="7" width="27.5703125" customWidth="1"/>
    <col min="8" max="8" width="22.28515625" customWidth="1"/>
    <col min="9" max="9" width="47.28515625" customWidth="1"/>
    <col min="10" max="10" width="43.42578125" customWidth="1"/>
    <col min="11" max="11" width="39.42578125" customWidth="1"/>
    <col min="12" max="12" width="28.28515625" customWidth="1"/>
    <col min="13" max="13" width="32.7109375" customWidth="1"/>
    <col min="14" max="14" width="16.28515625" customWidth="1"/>
    <col min="15" max="15" width="26.28515625" bestFit="1" customWidth="1"/>
    <col min="16" max="16" width="16.28515625" bestFit="1" customWidth="1"/>
    <col min="17" max="17" width="22.5703125" bestFit="1" customWidth="1"/>
    <col min="18" max="18" width="21.28515625" bestFit="1" customWidth="1"/>
    <col min="19" max="19" width="22.28515625" bestFit="1" customWidth="1"/>
  </cols>
  <sheetData>
    <row r="4" spans="2:23" ht="59.25" x14ac:dyDescent="0.75">
      <c r="D4" s="4" t="s">
        <v>142</v>
      </c>
    </row>
    <row r="5" spans="2:23" ht="59.25" x14ac:dyDescent="0.75">
      <c r="D5" s="4"/>
      <c r="E5" s="552">
        <v>23.7</v>
      </c>
      <c r="F5" s="553">
        <v>23.7</v>
      </c>
      <c r="G5" s="553">
        <v>23.6</v>
      </c>
    </row>
    <row r="6" spans="2:23" ht="23.25" customHeight="1" x14ac:dyDescent="0.25"/>
    <row r="8" spans="2:23" x14ac:dyDescent="0.25">
      <c r="B8" s="8"/>
      <c r="T8" s="8"/>
      <c r="U8" s="8"/>
      <c r="V8" s="8"/>
      <c r="W8" s="8"/>
    </row>
    <row r="9" spans="2:23" x14ac:dyDescent="0.25">
      <c r="B9" s="8"/>
      <c r="T9" s="8"/>
      <c r="U9" s="8"/>
      <c r="V9" s="8"/>
      <c r="W9" s="8"/>
    </row>
    <row r="10" spans="2:23" x14ac:dyDescent="0.25">
      <c r="B10" s="8"/>
      <c r="T10" s="8"/>
      <c r="U10" s="8"/>
      <c r="V10" s="8"/>
      <c r="W10" s="8"/>
    </row>
    <row r="11" spans="2:23" ht="23.25" thickBot="1" x14ac:dyDescent="0.3">
      <c r="B11" s="8"/>
      <c r="D11" s="674" t="s">
        <v>90</v>
      </c>
      <c r="E11" s="674"/>
      <c r="F11" s="674"/>
      <c r="G11" s="674"/>
      <c r="H11" s="674"/>
      <c r="I11" s="674"/>
      <c r="J11" s="674"/>
      <c r="K11" s="674"/>
      <c r="L11" s="674"/>
      <c r="M11" s="674"/>
      <c r="T11" s="8"/>
      <c r="U11" s="8"/>
      <c r="V11" s="8"/>
      <c r="W11" s="8"/>
    </row>
    <row r="12" spans="2:23" ht="67.5" x14ac:dyDescent="0.25">
      <c r="B12" s="8"/>
      <c r="D12" s="42" t="s">
        <v>1</v>
      </c>
      <c r="E12" s="43" t="s">
        <v>91</v>
      </c>
      <c r="F12" s="43" t="s">
        <v>89</v>
      </c>
      <c r="G12" s="43" t="s">
        <v>92</v>
      </c>
      <c r="H12" s="43" t="s">
        <v>331</v>
      </c>
      <c r="I12" s="43" t="s">
        <v>328</v>
      </c>
      <c r="J12" s="43" t="s">
        <v>329</v>
      </c>
      <c r="K12" s="43" t="s">
        <v>330</v>
      </c>
      <c r="L12" s="16" t="s">
        <v>481</v>
      </c>
      <c r="M12" s="16"/>
      <c r="T12" s="8"/>
      <c r="U12" s="8"/>
      <c r="V12" s="8"/>
      <c r="W12" s="8"/>
    </row>
    <row r="13" spans="2:23" ht="45" x14ac:dyDescent="0.35">
      <c r="B13" s="8"/>
      <c r="D13" s="545" t="s">
        <v>74</v>
      </c>
      <c r="E13" s="225">
        <v>6433933</v>
      </c>
      <c r="F13" s="548">
        <v>1031</v>
      </c>
      <c r="G13" s="546">
        <f>E13*F13</f>
        <v>6633384923</v>
      </c>
      <c r="H13" s="546" t="s">
        <v>453</v>
      </c>
      <c r="I13" s="556">
        <v>0.99380000000000002</v>
      </c>
      <c r="J13" s="557">
        <v>56.3</v>
      </c>
      <c r="K13" s="554">
        <v>23.7</v>
      </c>
      <c r="L13" s="552">
        <v>104</v>
      </c>
      <c r="M13" s="547"/>
      <c r="T13" s="8"/>
      <c r="U13" s="8"/>
      <c r="V13" s="8"/>
      <c r="W13" s="8"/>
    </row>
    <row r="14" spans="2:23" ht="45" x14ac:dyDescent="0.35">
      <c r="B14" s="8"/>
      <c r="D14" s="545" t="s">
        <v>75</v>
      </c>
      <c r="E14" s="225">
        <v>6864612</v>
      </c>
      <c r="F14" s="549">
        <v>1041</v>
      </c>
      <c r="G14" s="546">
        <f t="shared" ref="G14:G15" si="0">E14*F14</f>
        <v>7146061092</v>
      </c>
      <c r="H14" s="546" t="s">
        <v>453</v>
      </c>
      <c r="I14" s="558">
        <v>0.99470000000000003</v>
      </c>
      <c r="J14" s="559">
        <v>53.9</v>
      </c>
      <c r="K14" s="555">
        <v>23.7</v>
      </c>
      <c r="L14" s="553">
        <v>95</v>
      </c>
      <c r="M14" s="547"/>
      <c r="T14" s="8"/>
      <c r="U14" s="8"/>
      <c r="V14" s="8"/>
      <c r="W14" s="8"/>
    </row>
    <row r="15" spans="2:23" ht="45" x14ac:dyDescent="0.35">
      <c r="B15" s="8"/>
      <c r="D15" s="545" t="s">
        <v>76</v>
      </c>
      <c r="E15" s="225">
        <v>7194697</v>
      </c>
      <c r="F15" s="549">
        <v>1036</v>
      </c>
      <c r="G15" s="546">
        <f t="shared" si="0"/>
        <v>7453706092</v>
      </c>
      <c r="H15" s="546" t="s">
        <v>453</v>
      </c>
      <c r="I15" s="558">
        <v>0.99509999999999998</v>
      </c>
      <c r="J15" s="559">
        <v>54.4</v>
      </c>
      <c r="K15" s="555">
        <v>23.6</v>
      </c>
      <c r="L15" s="553">
        <v>89</v>
      </c>
      <c r="M15" s="547"/>
      <c r="T15" s="8"/>
      <c r="U15" s="8"/>
      <c r="V15" s="8"/>
      <c r="W15" s="8"/>
    </row>
    <row r="16" spans="2:23" ht="22.5" x14ac:dyDescent="0.25">
      <c r="B16" s="8"/>
      <c r="D16" s="24" t="s">
        <v>4</v>
      </c>
      <c r="E16" s="108">
        <v>7592096</v>
      </c>
      <c r="F16" s="26">
        <v>1091</v>
      </c>
      <c r="G16" s="109">
        <v>8282716573</v>
      </c>
      <c r="H16" s="27">
        <v>0.99850000000000005</v>
      </c>
      <c r="I16" s="27">
        <v>0.99709999999999999</v>
      </c>
      <c r="J16" s="25">
        <v>54.63</v>
      </c>
      <c r="K16" s="25">
        <v>23.49</v>
      </c>
      <c r="L16" s="92">
        <v>73.89</v>
      </c>
      <c r="M16" s="92"/>
      <c r="T16" s="8"/>
      <c r="U16" s="8"/>
      <c r="V16" s="8"/>
      <c r="W16" s="8"/>
    </row>
    <row r="17" spans="1:23" ht="22.5" x14ac:dyDescent="0.25">
      <c r="B17" s="8"/>
      <c r="D17" s="24" t="s">
        <v>5</v>
      </c>
      <c r="E17" s="108">
        <v>8140742</v>
      </c>
      <c r="F17" s="26">
        <v>1092</v>
      </c>
      <c r="G17" s="109">
        <v>8889714686</v>
      </c>
      <c r="H17" s="27">
        <v>0.99870000000000003</v>
      </c>
      <c r="I17" s="27">
        <v>0.99739999999999995</v>
      </c>
      <c r="J17" s="25">
        <v>55.05</v>
      </c>
      <c r="K17" s="25">
        <v>23.24</v>
      </c>
      <c r="L17" s="92">
        <v>59.77</v>
      </c>
      <c r="M17" s="92"/>
      <c r="T17" s="8"/>
      <c r="U17" s="8"/>
      <c r="V17" s="8"/>
      <c r="W17" s="8"/>
    </row>
    <row r="18" spans="1:23" ht="23.25" thickBot="1" x14ac:dyDescent="0.3">
      <c r="B18" s="8"/>
      <c r="D18" s="24" t="s">
        <v>6</v>
      </c>
      <c r="E18" s="108">
        <v>8465757</v>
      </c>
      <c r="F18" s="26">
        <v>1087</v>
      </c>
      <c r="G18" s="109">
        <v>9203218618</v>
      </c>
      <c r="H18" s="27">
        <v>0.99880000000000002</v>
      </c>
      <c r="I18" s="27">
        <v>0.99760000000000004</v>
      </c>
      <c r="J18" s="25">
        <v>55.34</v>
      </c>
      <c r="K18" s="25">
        <v>23.39</v>
      </c>
      <c r="L18" s="94">
        <v>65.209999999999994</v>
      </c>
      <c r="M18" s="92"/>
      <c r="T18" s="8"/>
      <c r="U18" s="8"/>
      <c r="V18" s="8"/>
      <c r="W18" s="8"/>
    </row>
    <row r="19" spans="1:23" ht="23.25" thickBot="1" x14ac:dyDescent="0.35">
      <c r="B19" s="8"/>
      <c r="D19" s="29" t="s">
        <v>7</v>
      </c>
      <c r="E19" s="110">
        <v>8755081</v>
      </c>
      <c r="F19" s="31">
        <v>1106</v>
      </c>
      <c r="G19" s="111">
        <v>9686031387</v>
      </c>
      <c r="H19" s="32">
        <v>0.999</v>
      </c>
      <c r="I19" s="32">
        <v>0.99780000000000002</v>
      </c>
      <c r="J19" s="30">
        <v>55.68</v>
      </c>
      <c r="K19" s="30">
        <v>23.36</v>
      </c>
      <c r="L19" s="112">
        <v>75.89</v>
      </c>
      <c r="M19" s="94"/>
      <c r="T19" s="8"/>
      <c r="U19" s="8"/>
      <c r="V19" s="8"/>
      <c r="W19" s="8"/>
    </row>
    <row r="20" spans="1:23" ht="22.5" x14ac:dyDescent="0.3">
      <c r="B20" s="8"/>
      <c r="D20" s="112"/>
      <c r="E20" s="112"/>
      <c r="F20" s="112"/>
      <c r="G20" s="112"/>
      <c r="H20" s="112"/>
      <c r="I20" s="112"/>
      <c r="J20" s="112"/>
      <c r="K20" s="112"/>
      <c r="L20" s="112"/>
      <c r="M20" s="112"/>
      <c r="T20" s="8"/>
      <c r="U20" s="8"/>
      <c r="V20" s="8"/>
      <c r="W20" s="8"/>
    </row>
    <row r="21" spans="1:23" ht="22.5" x14ac:dyDescent="0.3">
      <c r="B21" s="8"/>
      <c r="D21" s="548"/>
      <c r="E21" s="549"/>
      <c r="F21" s="549"/>
      <c r="G21" s="112"/>
      <c r="H21" s="112"/>
      <c r="I21" s="112"/>
      <c r="J21" s="112"/>
      <c r="K21" s="112"/>
      <c r="L21" s="552"/>
      <c r="M21" s="553"/>
      <c r="N21" s="553"/>
      <c r="T21" s="8"/>
      <c r="U21" s="8"/>
      <c r="V21" s="8"/>
      <c r="W21" s="8"/>
    </row>
    <row r="22" spans="1:23" ht="22.5" x14ac:dyDescent="0.3">
      <c r="B22" s="8"/>
      <c r="D22" s="112"/>
      <c r="E22" s="112"/>
      <c r="F22" s="112"/>
      <c r="G22" s="112"/>
      <c r="H22" s="112"/>
      <c r="I22" s="112"/>
      <c r="J22" s="112"/>
      <c r="K22" s="112"/>
      <c r="L22" s="112"/>
      <c r="M22" s="112"/>
      <c r="T22" s="8"/>
      <c r="U22" s="8"/>
      <c r="V22" s="8"/>
      <c r="W22" s="8"/>
    </row>
    <row r="23" spans="1:23" ht="22.5" x14ac:dyDescent="0.3">
      <c r="B23" s="8"/>
      <c r="D23" s="112"/>
      <c r="E23" s="112"/>
      <c r="F23" s="112"/>
      <c r="G23" s="112"/>
      <c r="H23" s="112"/>
      <c r="I23" s="112"/>
      <c r="J23" s="112"/>
      <c r="K23" s="112"/>
      <c r="L23" s="112"/>
      <c r="M23" s="112"/>
      <c r="T23" s="8"/>
      <c r="U23" s="8"/>
      <c r="V23" s="8"/>
      <c r="W23" s="8"/>
    </row>
    <row r="24" spans="1:23" ht="23.25" thickBot="1" x14ac:dyDescent="0.35">
      <c r="B24" s="8"/>
      <c r="D24" s="674" t="s">
        <v>93</v>
      </c>
      <c r="E24" s="674"/>
      <c r="F24" s="674"/>
      <c r="G24" s="674"/>
      <c r="H24" s="674"/>
      <c r="I24" s="674"/>
      <c r="J24" s="674"/>
      <c r="K24" s="674"/>
      <c r="L24" s="112"/>
      <c r="M24" s="552">
        <v>1210</v>
      </c>
      <c r="N24" s="549">
        <v>1241</v>
      </c>
      <c r="O24" s="549">
        <v>1244</v>
      </c>
      <c r="T24" s="8"/>
      <c r="U24" s="8"/>
      <c r="V24" s="8"/>
      <c r="W24" s="8"/>
    </row>
    <row r="25" spans="1:23" ht="67.5" x14ac:dyDescent="0.25">
      <c r="B25" s="8"/>
      <c r="D25" s="42" t="s">
        <v>1</v>
      </c>
      <c r="E25" s="43" t="s">
        <v>91</v>
      </c>
      <c r="F25" s="43" t="s">
        <v>89</v>
      </c>
      <c r="G25" s="43" t="s">
        <v>92</v>
      </c>
      <c r="H25" s="43" t="s">
        <v>331</v>
      </c>
      <c r="I25" s="43" t="s">
        <v>328</v>
      </c>
      <c r="J25" s="43" t="s">
        <v>329</v>
      </c>
      <c r="K25" s="43" t="s">
        <v>330</v>
      </c>
      <c r="L25" s="16" t="s">
        <v>481</v>
      </c>
      <c r="M25" s="550">
        <v>0.9516</v>
      </c>
      <c r="N25" s="551">
        <v>0.95489999999999997</v>
      </c>
      <c r="O25" s="551">
        <v>0.95650000000000002</v>
      </c>
      <c r="T25" s="8"/>
      <c r="U25" s="8"/>
      <c r="V25" s="8"/>
      <c r="W25" s="8"/>
    </row>
    <row r="26" spans="1:23" ht="22.5" x14ac:dyDescent="0.35">
      <c r="B26" s="8"/>
      <c r="D26" s="24" t="s">
        <v>74</v>
      </c>
      <c r="E26" s="548">
        <v>6009802</v>
      </c>
      <c r="F26" s="560">
        <v>1210</v>
      </c>
      <c r="G26" s="561">
        <f>E26*F26</f>
        <v>7271860420</v>
      </c>
      <c r="H26" s="546" t="s">
        <v>453</v>
      </c>
      <c r="I26" s="561">
        <v>0.9516</v>
      </c>
      <c r="J26" s="560">
        <v>41.6</v>
      </c>
      <c r="K26" s="560">
        <v>34.1</v>
      </c>
      <c r="L26" s="92" t="s">
        <v>453</v>
      </c>
      <c r="M26" s="552">
        <v>41.6</v>
      </c>
      <c r="N26" s="553">
        <v>41.6</v>
      </c>
      <c r="O26" s="553">
        <v>41.6</v>
      </c>
      <c r="T26" s="8"/>
      <c r="U26" s="8"/>
      <c r="V26" s="8"/>
      <c r="W26" s="8"/>
    </row>
    <row r="27" spans="1:23" ht="22.5" x14ac:dyDescent="0.35">
      <c r="B27" s="8"/>
      <c r="D27" s="24" t="s">
        <v>75</v>
      </c>
      <c r="E27" s="549">
        <v>6291117</v>
      </c>
      <c r="F27" s="562">
        <v>1241</v>
      </c>
      <c r="G27" s="561">
        <f t="shared" ref="G27:G28" si="1">E27*F27</f>
        <v>7807276197</v>
      </c>
      <c r="H27" s="546" t="s">
        <v>453</v>
      </c>
      <c r="I27" s="563">
        <v>0.95489999999999997</v>
      </c>
      <c r="J27" s="564">
        <v>41.6</v>
      </c>
      <c r="K27" s="564">
        <v>34.299999999999997</v>
      </c>
      <c r="L27" s="92" t="s">
        <v>453</v>
      </c>
      <c r="M27" s="552">
        <v>34.1</v>
      </c>
      <c r="N27" s="553">
        <v>34.299999999999997</v>
      </c>
      <c r="O27" s="553">
        <v>34.6</v>
      </c>
      <c r="T27" s="8"/>
      <c r="U27" s="8"/>
      <c r="V27" s="8"/>
      <c r="W27" s="8"/>
    </row>
    <row r="28" spans="1:23" ht="23.25" x14ac:dyDescent="0.35">
      <c r="B28" s="8"/>
      <c r="D28" s="24" t="s">
        <v>76</v>
      </c>
      <c r="E28" s="549">
        <v>6363388</v>
      </c>
      <c r="F28" s="562">
        <v>1244</v>
      </c>
      <c r="G28" s="561">
        <f t="shared" si="1"/>
        <v>7916054672</v>
      </c>
      <c r="H28" s="546" t="s">
        <v>453</v>
      </c>
      <c r="I28" s="563">
        <v>0.95650000000000002</v>
      </c>
      <c r="J28" s="564">
        <v>41.6</v>
      </c>
      <c r="K28" s="564">
        <v>34.6</v>
      </c>
      <c r="L28" s="92" t="s">
        <v>453</v>
      </c>
      <c r="M28" s="112"/>
      <c r="T28" s="8"/>
      <c r="U28" s="8"/>
      <c r="V28" s="8"/>
      <c r="W28" s="8"/>
    </row>
    <row r="29" spans="1:23" ht="22.5" x14ac:dyDescent="0.3">
      <c r="B29" s="8"/>
      <c r="D29" s="24" t="s">
        <v>4</v>
      </c>
      <c r="E29" s="108">
        <v>6550929</v>
      </c>
      <c r="F29" s="26">
        <v>1237</v>
      </c>
      <c r="G29" s="109">
        <v>8103818876</v>
      </c>
      <c r="H29" s="27">
        <v>0.96560000000000001</v>
      </c>
      <c r="I29" s="27">
        <v>0.95750000000000002</v>
      </c>
      <c r="J29" s="25">
        <v>41.31</v>
      </c>
      <c r="K29" s="92">
        <v>34.76</v>
      </c>
      <c r="L29" s="92" t="s">
        <v>453</v>
      </c>
      <c r="M29" s="112"/>
      <c r="T29" s="8"/>
      <c r="U29" s="8"/>
      <c r="V29" s="8"/>
      <c r="W29" s="8"/>
    </row>
    <row r="30" spans="1:23" ht="22.5" x14ac:dyDescent="0.3">
      <c r="A30" s="5"/>
      <c r="B30" s="52"/>
      <c r="C30" s="6"/>
      <c r="D30" s="24" t="s">
        <v>5</v>
      </c>
      <c r="E30" s="108">
        <v>6782044</v>
      </c>
      <c r="F30" s="26">
        <v>1298</v>
      </c>
      <c r="G30" s="109">
        <v>8805877486</v>
      </c>
      <c r="H30" s="27">
        <v>0.96650000000000003</v>
      </c>
      <c r="I30" s="27">
        <v>0.95799999999999996</v>
      </c>
      <c r="J30" s="25">
        <v>41.88</v>
      </c>
      <c r="K30" s="92">
        <v>34.43</v>
      </c>
      <c r="L30" s="92" t="s">
        <v>453</v>
      </c>
      <c r="M30" s="112"/>
      <c r="T30" s="8"/>
      <c r="U30" s="8"/>
      <c r="V30" s="8"/>
      <c r="W30" s="8"/>
    </row>
    <row r="31" spans="1:23" ht="22.5" x14ac:dyDescent="0.3">
      <c r="A31" s="5"/>
      <c r="B31" s="52"/>
      <c r="C31" s="5"/>
      <c r="D31" s="24" t="s">
        <v>6</v>
      </c>
      <c r="E31" s="108">
        <v>6951379</v>
      </c>
      <c r="F31" s="26">
        <v>1355</v>
      </c>
      <c r="G31" s="109">
        <v>9419309257</v>
      </c>
      <c r="H31" s="27">
        <v>0.96899999999999997</v>
      </c>
      <c r="I31" s="27">
        <v>0.9607</v>
      </c>
      <c r="J31" s="25">
        <v>42.12</v>
      </c>
      <c r="K31" s="92">
        <v>34.61</v>
      </c>
      <c r="L31" s="92" t="s">
        <v>453</v>
      </c>
      <c r="M31" s="112"/>
      <c r="T31" s="8"/>
      <c r="U31" s="8"/>
      <c r="V31" s="8"/>
      <c r="W31" s="8"/>
    </row>
    <row r="32" spans="1:23" ht="23.25" thickBot="1" x14ac:dyDescent="0.35">
      <c r="B32" s="8"/>
      <c r="C32" s="5"/>
      <c r="D32" s="29" t="s">
        <v>7</v>
      </c>
      <c r="E32" s="110">
        <v>7109358</v>
      </c>
      <c r="F32" s="31">
        <v>1397</v>
      </c>
      <c r="G32" s="111">
        <v>9935305034</v>
      </c>
      <c r="H32" s="32">
        <v>0.97019999999999995</v>
      </c>
      <c r="I32" s="32">
        <v>0.96050000000000002</v>
      </c>
      <c r="J32" s="30">
        <v>42.22</v>
      </c>
      <c r="K32" s="94">
        <v>34.81</v>
      </c>
      <c r="L32" s="92" t="s">
        <v>453</v>
      </c>
      <c r="M32" s="112"/>
      <c r="T32" s="8"/>
      <c r="U32" s="8"/>
      <c r="V32" s="8"/>
      <c r="W32" s="8"/>
    </row>
    <row r="33" spans="1:18" ht="22.5" x14ac:dyDescent="0.3">
      <c r="C33" s="5"/>
      <c r="D33" s="112"/>
      <c r="E33" s="112"/>
      <c r="F33" s="112"/>
      <c r="G33" s="112"/>
      <c r="H33" s="112"/>
      <c r="I33" s="112"/>
      <c r="J33" s="112"/>
      <c r="K33" s="112"/>
      <c r="L33" s="112"/>
      <c r="M33" s="112"/>
      <c r="P33" s="548">
        <v>45624</v>
      </c>
      <c r="Q33" s="549">
        <v>41439</v>
      </c>
      <c r="R33" s="549">
        <v>38408</v>
      </c>
    </row>
    <row r="34" spans="1:18" ht="22.5" x14ac:dyDescent="0.3">
      <c r="C34" s="5"/>
      <c r="D34" s="112"/>
      <c r="E34" s="112"/>
      <c r="F34" s="112"/>
      <c r="G34" s="112"/>
      <c r="H34" s="112"/>
      <c r="I34" s="112"/>
      <c r="J34" s="112"/>
      <c r="K34" s="112"/>
      <c r="L34" s="112"/>
      <c r="M34" s="112"/>
    </row>
    <row r="35" spans="1:18" ht="22.5" x14ac:dyDescent="0.3">
      <c r="C35" s="5"/>
      <c r="D35" s="112"/>
      <c r="E35" s="112"/>
      <c r="F35" s="112"/>
      <c r="G35" s="112"/>
      <c r="H35" s="112"/>
      <c r="I35" s="112"/>
      <c r="J35" s="112"/>
      <c r="K35" s="112"/>
      <c r="L35" s="112"/>
      <c r="M35" s="112"/>
    </row>
    <row r="36" spans="1:18" ht="22.5" x14ac:dyDescent="0.3">
      <c r="C36" s="5"/>
      <c r="D36" s="112"/>
      <c r="E36" s="112"/>
      <c r="F36" s="112"/>
      <c r="G36" s="112"/>
      <c r="H36" s="112"/>
      <c r="I36" s="112"/>
      <c r="J36" s="112"/>
      <c r="K36" s="112"/>
      <c r="L36" s="112"/>
      <c r="M36" s="112"/>
    </row>
    <row r="37" spans="1:18" ht="23.25" thickBot="1" x14ac:dyDescent="0.3">
      <c r="C37" s="5"/>
      <c r="D37" s="674" t="s">
        <v>94</v>
      </c>
      <c r="E37" s="674"/>
      <c r="F37" s="674"/>
      <c r="G37" s="674"/>
      <c r="H37" s="674"/>
      <c r="I37" s="674"/>
      <c r="J37" s="674"/>
      <c r="K37" s="674"/>
      <c r="L37" s="674"/>
      <c r="M37" s="674"/>
    </row>
    <row r="38" spans="1:18" ht="67.5" x14ac:dyDescent="0.25">
      <c r="A38" s="5"/>
      <c r="B38" s="5"/>
      <c r="C38" s="5"/>
      <c r="D38" s="42" t="s">
        <v>1</v>
      </c>
      <c r="E38" s="43" t="s">
        <v>91</v>
      </c>
      <c r="F38" s="43" t="s">
        <v>89</v>
      </c>
      <c r="G38" s="43" t="s">
        <v>92</v>
      </c>
      <c r="H38" s="43" t="s">
        <v>331</v>
      </c>
      <c r="I38" s="43" t="s">
        <v>328</v>
      </c>
      <c r="J38" s="43" t="s">
        <v>329</v>
      </c>
      <c r="K38" s="43" t="s">
        <v>330</v>
      </c>
      <c r="L38" s="16" t="s">
        <v>481</v>
      </c>
      <c r="M38" s="16"/>
      <c r="O38" s="548">
        <v>45624</v>
      </c>
      <c r="P38" s="549">
        <v>41439</v>
      </c>
      <c r="Q38" s="549">
        <v>38408</v>
      </c>
    </row>
    <row r="39" spans="1:18" ht="22.5" x14ac:dyDescent="0.25">
      <c r="C39" s="5"/>
      <c r="D39" s="565" t="s">
        <v>74</v>
      </c>
      <c r="E39" s="566">
        <v>45624</v>
      </c>
      <c r="F39" s="557">
        <v>689</v>
      </c>
      <c r="G39" s="556">
        <f>E39*F39</f>
        <v>31434936</v>
      </c>
      <c r="H39" s="546" t="s">
        <v>453</v>
      </c>
      <c r="I39" s="556">
        <v>0.97719999999999996</v>
      </c>
      <c r="J39" s="567" t="s">
        <v>453</v>
      </c>
      <c r="K39" s="557">
        <v>30.1</v>
      </c>
      <c r="L39" s="557">
        <v>40</v>
      </c>
      <c r="M39" s="92"/>
      <c r="O39" s="552">
        <v>689</v>
      </c>
      <c r="P39" s="553">
        <v>673</v>
      </c>
      <c r="Q39" s="553">
        <v>656</v>
      </c>
    </row>
    <row r="40" spans="1:18" ht="22.5" x14ac:dyDescent="0.25">
      <c r="C40" s="5"/>
      <c r="D40" s="565" t="s">
        <v>75</v>
      </c>
      <c r="E40" s="568">
        <v>41439</v>
      </c>
      <c r="F40" s="559">
        <v>673</v>
      </c>
      <c r="G40" s="556">
        <f t="shared" ref="G40:G41" si="2">E40*F40</f>
        <v>27888447</v>
      </c>
      <c r="H40" s="546" t="s">
        <v>453</v>
      </c>
      <c r="I40" s="558">
        <v>0.98009999999999997</v>
      </c>
      <c r="J40" s="567" t="s">
        <v>453</v>
      </c>
      <c r="K40" s="559">
        <v>30</v>
      </c>
      <c r="L40" s="559">
        <v>265</v>
      </c>
      <c r="M40" s="92"/>
      <c r="O40" s="550">
        <v>0.97719999999999996</v>
      </c>
      <c r="P40" s="551">
        <v>0.98009999999999997</v>
      </c>
      <c r="Q40" s="551">
        <v>0.98150000000000004</v>
      </c>
    </row>
    <row r="41" spans="1:18" ht="22.5" x14ac:dyDescent="0.25">
      <c r="C41" s="5"/>
      <c r="D41" s="565" t="s">
        <v>76</v>
      </c>
      <c r="E41" s="568">
        <v>38408</v>
      </c>
      <c r="F41" s="559">
        <v>656</v>
      </c>
      <c r="G41" s="556">
        <f t="shared" si="2"/>
        <v>25195648</v>
      </c>
      <c r="H41" s="546" t="s">
        <v>453</v>
      </c>
      <c r="I41" s="558">
        <v>0.98150000000000004</v>
      </c>
      <c r="J41" s="567" t="s">
        <v>453</v>
      </c>
      <c r="K41" s="559">
        <v>30.6</v>
      </c>
      <c r="L41" s="559">
        <v>257</v>
      </c>
      <c r="M41" s="92"/>
      <c r="O41" s="552">
        <v>30.1</v>
      </c>
      <c r="P41" s="553">
        <v>30</v>
      </c>
      <c r="Q41" s="553">
        <v>30.6</v>
      </c>
    </row>
    <row r="42" spans="1:18" ht="22.5" x14ac:dyDescent="0.25">
      <c r="C42" s="5"/>
      <c r="D42" s="565" t="s">
        <v>4</v>
      </c>
      <c r="E42" s="569">
        <v>33864</v>
      </c>
      <c r="F42" s="570">
        <v>1202</v>
      </c>
      <c r="G42" s="571">
        <v>40708551</v>
      </c>
      <c r="H42" s="572">
        <v>0.98740000000000006</v>
      </c>
      <c r="I42" s="572">
        <v>0.98319999999999996</v>
      </c>
      <c r="J42" s="567">
        <v>45.97</v>
      </c>
      <c r="K42" s="567">
        <v>29.87</v>
      </c>
      <c r="L42" s="573">
        <v>31.75</v>
      </c>
      <c r="M42" s="92"/>
      <c r="O42" s="552">
        <v>40</v>
      </c>
      <c r="P42" s="553">
        <v>265</v>
      </c>
      <c r="Q42" s="553">
        <v>257</v>
      </c>
    </row>
    <row r="43" spans="1:18" ht="22.5" x14ac:dyDescent="0.25">
      <c r="D43" s="565" t="s">
        <v>5</v>
      </c>
      <c r="E43" s="569">
        <v>25694</v>
      </c>
      <c r="F43" s="570">
        <v>1134</v>
      </c>
      <c r="G43" s="571">
        <v>29138585</v>
      </c>
      <c r="H43" s="572">
        <v>0.98860000000000003</v>
      </c>
      <c r="I43" s="572">
        <v>0.98429999999999995</v>
      </c>
      <c r="J43" s="567">
        <v>47.17</v>
      </c>
      <c r="K43" s="567">
        <v>29</v>
      </c>
      <c r="L43" s="573">
        <v>41.54</v>
      </c>
      <c r="M43" s="92"/>
    </row>
    <row r="44" spans="1:18" ht="22.5" x14ac:dyDescent="0.25">
      <c r="D44" s="565" t="s">
        <v>6</v>
      </c>
      <c r="E44" s="569">
        <v>28143</v>
      </c>
      <c r="F44" s="570">
        <v>1195</v>
      </c>
      <c r="G44" s="571">
        <v>33642269</v>
      </c>
      <c r="H44" s="572">
        <v>0.99009999999999998</v>
      </c>
      <c r="I44" s="572">
        <v>0.98609999999999998</v>
      </c>
      <c r="J44" s="567">
        <v>47.06</v>
      </c>
      <c r="K44" s="567">
        <v>29.38</v>
      </c>
      <c r="L44" s="573">
        <v>27.52</v>
      </c>
      <c r="M44" s="92"/>
    </row>
    <row r="45" spans="1:18" ht="23.25" thickBot="1" x14ac:dyDescent="0.3">
      <c r="D45" s="29" t="s">
        <v>7</v>
      </c>
      <c r="E45" s="110">
        <v>30714</v>
      </c>
      <c r="F45" s="31">
        <v>1297</v>
      </c>
      <c r="G45" s="111">
        <v>39845598</v>
      </c>
      <c r="H45" s="32">
        <v>0.99180000000000001</v>
      </c>
      <c r="I45" s="32">
        <v>0.98850000000000005</v>
      </c>
      <c r="J45" s="30">
        <v>46.2</v>
      </c>
      <c r="K45" s="30">
        <v>30.16</v>
      </c>
      <c r="L45" s="500">
        <v>36.6</v>
      </c>
      <c r="M45" s="94"/>
    </row>
    <row r="46" spans="1:18" ht="22.5" x14ac:dyDescent="0.3">
      <c r="D46" s="112"/>
      <c r="E46" s="112"/>
      <c r="F46" s="112"/>
      <c r="G46" s="112"/>
      <c r="H46" s="112"/>
      <c r="I46" s="112"/>
      <c r="J46" s="112"/>
      <c r="K46" s="112"/>
      <c r="L46" s="112"/>
      <c r="M46" s="112"/>
    </row>
    <row r="47" spans="1:18" ht="22.5" x14ac:dyDescent="0.3">
      <c r="D47" s="548"/>
      <c r="E47" s="549"/>
      <c r="F47" s="549"/>
      <c r="G47" s="112"/>
      <c r="H47" s="112"/>
      <c r="I47" s="112"/>
      <c r="J47" s="112"/>
      <c r="K47" s="112"/>
      <c r="L47" s="112"/>
      <c r="M47" s="112"/>
    </row>
    <row r="48" spans="1:18" ht="22.5" x14ac:dyDescent="0.3">
      <c r="D48" s="112"/>
      <c r="E48" s="112"/>
      <c r="F48" s="112"/>
      <c r="G48" s="112"/>
      <c r="H48" s="112"/>
      <c r="I48" s="112"/>
      <c r="J48" s="112"/>
      <c r="K48" s="112"/>
      <c r="L48" s="112"/>
      <c r="M48" s="112"/>
    </row>
    <row r="49" spans="3:16" ht="22.5" x14ac:dyDescent="0.3">
      <c r="D49" s="112"/>
      <c r="E49" s="112"/>
      <c r="F49" s="112"/>
      <c r="G49" s="112"/>
      <c r="H49" s="112"/>
      <c r="I49" s="112"/>
      <c r="J49" s="112"/>
      <c r="K49" s="112"/>
      <c r="L49" s="112"/>
      <c r="M49" s="112"/>
    </row>
    <row r="50" spans="3:16" ht="23.25" thickBot="1" x14ac:dyDescent="0.35">
      <c r="D50" s="674" t="s">
        <v>95</v>
      </c>
      <c r="E50" s="674"/>
      <c r="F50" s="674"/>
      <c r="G50" s="674"/>
      <c r="H50" s="674"/>
      <c r="I50" s="674"/>
      <c r="J50" s="674"/>
      <c r="K50" s="674"/>
      <c r="L50" s="112"/>
      <c r="M50" s="112"/>
    </row>
    <row r="51" spans="3:16" ht="67.5" x14ac:dyDescent="0.3">
      <c r="D51" s="576" t="s">
        <v>1</v>
      </c>
      <c r="E51" s="577" t="s">
        <v>91</v>
      </c>
      <c r="F51" s="577" t="s">
        <v>89</v>
      </c>
      <c r="G51" s="577" t="s">
        <v>92</v>
      </c>
      <c r="H51" s="577" t="s">
        <v>331</v>
      </c>
      <c r="I51" s="577" t="s">
        <v>328</v>
      </c>
      <c r="J51" s="43" t="s">
        <v>329</v>
      </c>
      <c r="K51" s="43" t="s">
        <v>330</v>
      </c>
      <c r="L51" s="16" t="s">
        <v>481</v>
      </c>
      <c r="M51" s="112"/>
    </row>
    <row r="52" spans="3:16" ht="24" thickBot="1" x14ac:dyDescent="0.4">
      <c r="C52" s="225">
        <f>E52+E39</f>
        <v>169607</v>
      </c>
      <c r="D52" s="578" t="s">
        <v>74</v>
      </c>
      <c r="E52" s="579">
        <v>123983</v>
      </c>
      <c r="F52" s="579">
        <v>1012</v>
      </c>
      <c r="G52" s="561">
        <f>E52*F52</f>
        <v>125470796</v>
      </c>
      <c r="H52" s="580" t="s">
        <v>453</v>
      </c>
      <c r="I52" s="561">
        <v>0.96960000000000002</v>
      </c>
      <c r="J52" s="567" t="s">
        <v>453</v>
      </c>
      <c r="K52" s="580">
        <v>28.7</v>
      </c>
      <c r="L52" s="92" t="s">
        <v>453</v>
      </c>
      <c r="M52" s="112"/>
    </row>
    <row r="53" spans="3:16" ht="24" thickBot="1" x14ac:dyDescent="0.4">
      <c r="C53" s="225">
        <f t="shared" ref="C53:C54" si="3">E53+E40</f>
        <v>161642</v>
      </c>
      <c r="D53" s="578" t="s">
        <v>75</v>
      </c>
      <c r="E53" s="562">
        <v>120203</v>
      </c>
      <c r="F53" s="562">
        <v>1012</v>
      </c>
      <c r="G53" s="561">
        <f t="shared" ref="G53:G54" si="4">E53*F53</f>
        <v>121645436</v>
      </c>
      <c r="H53" s="582" t="s">
        <v>453</v>
      </c>
      <c r="I53" s="563">
        <v>0.97219999999999995</v>
      </c>
      <c r="J53" s="567" t="s">
        <v>453</v>
      </c>
      <c r="K53" s="582">
        <v>28.9</v>
      </c>
      <c r="L53" s="92" t="s">
        <v>453</v>
      </c>
      <c r="M53" s="112"/>
      <c r="N53" s="548">
        <v>1012</v>
      </c>
      <c r="O53" s="549">
        <v>1012</v>
      </c>
      <c r="P53" s="549">
        <v>1012</v>
      </c>
    </row>
    <row r="54" spans="3:16" ht="24" thickBot="1" x14ac:dyDescent="0.4">
      <c r="C54" s="225">
        <f t="shared" si="3"/>
        <v>153968</v>
      </c>
      <c r="D54" s="578" t="s">
        <v>76</v>
      </c>
      <c r="E54" s="562">
        <v>115560</v>
      </c>
      <c r="F54" s="562">
        <v>1012</v>
      </c>
      <c r="G54" s="561">
        <f t="shared" si="4"/>
        <v>116946720</v>
      </c>
      <c r="H54" s="582" t="s">
        <v>453</v>
      </c>
      <c r="I54" s="563">
        <v>0.9738</v>
      </c>
      <c r="J54" s="567" t="s">
        <v>453</v>
      </c>
      <c r="K54" s="582">
        <v>29</v>
      </c>
      <c r="L54" s="92" t="s">
        <v>453</v>
      </c>
      <c r="M54" s="112"/>
      <c r="N54" s="550">
        <v>0.96960000000000002</v>
      </c>
      <c r="O54" s="551">
        <v>0.97219999999999995</v>
      </c>
      <c r="P54" s="551">
        <v>0.9738</v>
      </c>
    </row>
    <row r="55" spans="3:16" ht="23.25" thickBot="1" x14ac:dyDescent="0.35">
      <c r="D55" s="578" t="s">
        <v>4</v>
      </c>
      <c r="E55" s="583">
        <v>111515</v>
      </c>
      <c r="F55" s="584">
        <v>1395</v>
      </c>
      <c r="G55" s="585">
        <v>155579903</v>
      </c>
      <c r="H55" s="581">
        <v>0.98260000000000003</v>
      </c>
      <c r="I55" s="581">
        <v>0.97460000000000002</v>
      </c>
      <c r="J55" s="25">
        <v>48.89</v>
      </c>
      <c r="K55" s="92">
        <v>27.7</v>
      </c>
      <c r="L55" s="92" t="s">
        <v>453</v>
      </c>
      <c r="M55" s="112"/>
      <c r="N55" s="574">
        <v>28.7</v>
      </c>
      <c r="O55" s="575">
        <v>28.9</v>
      </c>
      <c r="P55" s="575">
        <v>29</v>
      </c>
    </row>
    <row r="56" spans="3:16" ht="22.5" x14ac:dyDescent="0.3">
      <c r="D56" s="24" t="s">
        <v>5</v>
      </c>
      <c r="E56" s="108">
        <v>108573</v>
      </c>
      <c r="F56" s="26">
        <v>1361</v>
      </c>
      <c r="G56" s="109">
        <v>147753223</v>
      </c>
      <c r="H56" s="27">
        <v>0.98260000000000003</v>
      </c>
      <c r="I56" s="27">
        <v>0.97399999999999998</v>
      </c>
      <c r="J56" s="25">
        <v>49.53</v>
      </c>
      <c r="K56" s="92">
        <v>27.27</v>
      </c>
      <c r="L56" s="92" t="s">
        <v>453</v>
      </c>
      <c r="M56" s="112"/>
    </row>
    <row r="57" spans="3:16" ht="22.5" x14ac:dyDescent="0.3">
      <c r="D57" s="24" t="s">
        <v>6</v>
      </c>
      <c r="E57" s="108">
        <v>121610</v>
      </c>
      <c r="F57" s="26">
        <v>1365</v>
      </c>
      <c r="G57" s="109">
        <v>166014565</v>
      </c>
      <c r="H57" s="27">
        <v>0.98460000000000003</v>
      </c>
      <c r="I57" s="27">
        <v>0.9768</v>
      </c>
      <c r="J57" s="25">
        <v>49.39</v>
      </c>
      <c r="K57" s="92">
        <v>27.72</v>
      </c>
      <c r="L57" s="92" t="s">
        <v>453</v>
      </c>
      <c r="M57" s="112"/>
    </row>
    <row r="58" spans="3:16" ht="23.25" thickBot="1" x14ac:dyDescent="0.35">
      <c r="C58" s="544">
        <f>G58+G45</f>
        <v>221696178</v>
      </c>
      <c r="D58" s="29" t="s">
        <v>7</v>
      </c>
      <c r="E58" s="110">
        <v>125823</v>
      </c>
      <c r="F58" s="31">
        <v>1445</v>
      </c>
      <c r="G58" s="111">
        <v>181850580</v>
      </c>
      <c r="H58" s="32">
        <v>0.98499999999999999</v>
      </c>
      <c r="I58" s="32">
        <v>0.97629999999999995</v>
      </c>
      <c r="J58" s="30">
        <v>49.66</v>
      </c>
      <c r="K58" s="94">
        <v>27.81</v>
      </c>
      <c r="L58" s="92" t="s">
        <v>453</v>
      </c>
      <c r="M58" s="112"/>
    </row>
    <row r="59" spans="3:16" ht="22.5" x14ac:dyDescent="0.3">
      <c r="D59" s="112"/>
      <c r="E59" s="599">
        <f>E55+E42</f>
        <v>145379</v>
      </c>
      <c r="F59" s="600">
        <f>F55*E55*2+F42*E42*2</f>
        <v>392535906</v>
      </c>
      <c r="G59" s="112"/>
      <c r="H59" s="112"/>
      <c r="I59" s="112"/>
      <c r="J59" s="112"/>
      <c r="K59" s="112"/>
      <c r="L59" s="112"/>
      <c r="M59" s="112"/>
    </row>
    <row r="60" spans="3:16" ht="22.5" x14ac:dyDescent="0.3">
      <c r="D60" s="112"/>
      <c r="E60" s="599">
        <f t="shared" ref="E60:E62" si="5">E56+E43</f>
        <v>134267</v>
      </c>
      <c r="F60" s="600">
        <f t="shared" ref="F60:F62" si="6">F56*E56*2+F43*E43*2</f>
        <v>353809698</v>
      </c>
      <c r="G60" s="112"/>
      <c r="H60" s="112"/>
      <c r="I60" s="112"/>
      <c r="J60" s="112"/>
      <c r="K60" s="112"/>
      <c r="L60" s="112"/>
      <c r="M60" s="112"/>
    </row>
    <row r="61" spans="3:16" ht="22.5" x14ac:dyDescent="0.3">
      <c r="D61" s="112"/>
      <c r="E61" s="599">
        <f t="shared" si="5"/>
        <v>149753</v>
      </c>
      <c r="F61" s="600">
        <f t="shared" si="6"/>
        <v>399257070</v>
      </c>
      <c r="G61" s="112"/>
      <c r="H61" s="112"/>
      <c r="I61" s="112"/>
      <c r="J61" s="112"/>
      <c r="K61" s="112"/>
      <c r="L61" s="112"/>
      <c r="M61" s="112"/>
    </row>
    <row r="62" spans="3:16" ht="22.5" x14ac:dyDescent="0.3">
      <c r="D62" s="112"/>
      <c r="E62" s="599">
        <f t="shared" si="5"/>
        <v>156537</v>
      </c>
      <c r="F62" s="600">
        <f t="shared" si="6"/>
        <v>443300586</v>
      </c>
      <c r="G62" s="112"/>
      <c r="H62" s="112"/>
      <c r="I62" s="112"/>
      <c r="J62" s="112"/>
      <c r="K62" s="112"/>
      <c r="L62" s="112"/>
      <c r="M62" s="112"/>
    </row>
    <row r="63" spans="3:16" ht="23.25" thickBot="1" x14ac:dyDescent="0.35">
      <c r="D63" s="674" t="s">
        <v>96</v>
      </c>
      <c r="E63" s="674"/>
      <c r="F63" s="674"/>
      <c r="G63" s="674"/>
      <c r="H63" s="674"/>
      <c r="I63" s="674"/>
      <c r="J63" s="674"/>
      <c r="K63" s="674"/>
      <c r="L63" s="112"/>
      <c r="M63" s="112"/>
    </row>
    <row r="64" spans="3:16" ht="22.5" x14ac:dyDescent="0.3">
      <c r="D64" s="42" t="s">
        <v>88</v>
      </c>
      <c r="E64" s="43" t="s">
        <v>97</v>
      </c>
      <c r="F64" s="43" t="s">
        <v>98</v>
      </c>
      <c r="G64" s="43" t="s">
        <v>99</v>
      </c>
      <c r="H64" s="43" t="s">
        <v>100</v>
      </c>
      <c r="I64" s="43" t="s">
        <v>12</v>
      </c>
      <c r="J64" s="43" t="s">
        <v>13</v>
      </c>
      <c r="K64" s="16" t="s">
        <v>14</v>
      </c>
      <c r="L64" s="112"/>
      <c r="M64" s="112"/>
    </row>
    <row r="65" spans="4:13" ht="22.5" x14ac:dyDescent="0.3">
      <c r="D65" s="85">
        <v>708</v>
      </c>
      <c r="E65" s="86">
        <v>7592096</v>
      </c>
      <c r="F65" s="113" t="s">
        <v>101</v>
      </c>
      <c r="G65" s="113" t="s">
        <v>101</v>
      </c>
      <c r="H65" s="113" t="s">
        <v>101</v>
      </c>
      <c r="I65" s="25" t="s">
        <v>101</v>
      </c>
      <c r="J65" s="25" t="s">
        <v>101</v>
      </c>
      <c r="K65" s="92" t="s">
        <v>101</v>
      </c>
      <c r="L65" s="112"/>
      <c r="M65" s="112"/>
    </row>
    <row r="66" spans="4:13" ht="22.5" x14ac:dyDescent="0.3">
      <c r="D66" s="85">
        <v>809</v>
      </c>
      <c r="E66" s="86">
        <v>8140742</v>
      </c>
      <c r="F66" s="113">
        <v>1.0277356</v>
      </c>
      <c r="G66" s="113">
        <v>1.019158</v>
      </c>
      <c r="H66" s="113">
        <v>1.0234468000000001</v>
      </c>
      <c r="I66" s="25">
        <v>1.0530999999999999</v>
      </c>
      <c r="J66" s="25">
        <v>1.0443</v>
      </c>
      <c r="K66" s="92">
        <v>1.0487</v>
      </c>
      <c r="L66" s="112"/>
      <c r="M66" s="112"/>
    </row>
    <row r="67" spans="4:13" ht="22.5" x14ac:dyDescent="0.3">
      <c r="D67" s="85">
        <v>910</v>
      </c>
      <c r="E67" s="86">
        <v>8465757</v>
      </c>
      <c r="F67" s="113">
        <v>1.0813896999999999</v>
      </c>
      <c r="G67" s="113">
        <v>1.0545282</v>
      </c>
      <c r="H67" s="113">
        <v>1.0679589</v>
      </c>
      <c r="I67" s="25">
        <v>0.98170000000000002</v>
      </c>
      <c r="J67" s="25">
        <v>0.95730000000000004</v>
      </c>
      <c r="K67" s="92">
        <v>0.96950000000000003</v>
      </c>
      <c r="L67" s="112"/>
      <c r="M67" s="112"/>
    </row>
    <row r="68" spans="4:13" ht="23.25" thickBot="1" x14ac:dyDescent="0.35">
      <c r="D68" s="88">
        <v>1011</v>
      </c>
      <c r="E68" s="89">
        <v>8755081</v>
      </c>
      <c r="F68" s="114">
        <v>1.0090849</v>
      </c>
      <c r="G68" s="114">
        <v>1.0081461</v>
      </c>
      <c r="H68" s="114">
        <v>1.0086155000000001</v>
      </c>
      <c r="I68" s="30">
        <v>1.044</v>
      </c>
      <c r="J68" s="30">
        <v>1.0429999999999999</v>
      </c>
      <c r="K68" s="94">
        <v>1.0435000000000001</v>
      </c>
      <c r="L68" s="112"/>
      <c r="M68" s="112"/>
    </row>
    <row r="69" spans="4:13" ht="22.5" x14ac:dyDescent="0.3">
      <c r="D69" s="112"/>
      <c r="E69" s="112"/>
      <c r="F69" s="112"/>
      <c r="G69" s="112"/>
      <c r="H69" s="112"/>
      <c r="I69" s="112"/>
      <c r="J69" s="112"/>
      <c r="K69" s="112"/>
      <c r="L69" s="112"/>
      <c r="M69" s="112"/>
    </row>
    <row r="70" spans="4:13" ht="22.5" x14ac:dyDescent="0.3">
      <c r="D70" s="112"/>
      <c r="E70" s="112"/>
      <c r="F70" s="112"/>
      <c r="G70" s="112"/>
      <c r="H70" s="112"/>
      <c r="I70" s="112"/>
      <c r="J70" s="112"/>
      <c r="K70" s="112"/>
      <c r="L70" s="112"/>
      <c r="M70" s="112"/>
    </row>
    <row r="71" spans="4:13" ht="22.5" x14ac:dyDescent="0.3">
      <c r="D71" s="112"/>
      <c r="E71" s="112"/>
      <c r="F71" s="112"/>
      <c r="G71" s="112"/>
      <c r="H71" s="112"/>
      <c r="I71" s="112"/>
      <c r="J71" s="112"/>
      <c r="K71" s="112"/>
      <c r="L71" s="112"/>
      <c r="M71" s="112"/>
    </row>
    <row r="72" spans="4:13" ht="22.5" x14ac:dyDescent="0.3">
      <c r="D72" s="112"/>
      <c r="E72" s="112"/>
      <c r="F72" s="112"/>
      <c r="G72" s="112"/>
      <c r="H72" s="112"/>
      <c r="I72" s="112"/>
      <c r="J72" s="112"/>
      <c r="K72" s="112"/>
      <c r="L72" s="112"/>
      <c r="M72" s="112"/>
    </row>
    <row r="73" spans="4:13" ht="23.25" thickBot="1" x14ac:dyDescent="0.35">
      <c r="D73" s="674" t="s">
        <v>102</v>
      </c>
      <c r="E73" s="674"/>
      <c r="F73" s="674"/>
      <c r="G73" s="674"/>
      <c r="H73" s="674"/>
      <c r="I73" s="674"/>
      <c r="J73" s="674"/>
      <c r="K73" s="674"/>
      <c r="L73" s="112"/>
      <c r="M73" s="112"/>
    </row>
    <row r="74" spans="4:13" ht="22.5" x14ac:dyDescent="0.3">
      <c r="D74" s="42" t="s">
        <v>88</v>
      </c>
      <c r="E74" s="43" t="s">
        <v>97</v>
      </c>
      <c r="F74" s="43" t="s">
        <v>98</v>
      </c>
      <c r="G74" s="43" t="s">
        <v>99</v>
      </c>
      <c r="H74" s="43" t="s">
        <v>100</v>
      </c>
      <c r="I74" s="43" t="s">
        <v>12</v>
      </c>
      <c r="J74" s="43" t="s">
        <v>13</v>
      </c>
      <c r="K74" s="16" t="s">
        <v>14</v>
      </c>
      <c r="L74" s="112"/>
      <c r="M74" s="112"/>
    </row>
    <row r="75" spans="4:13" ht="22.5" x14ac:dyDescent="0.3">
      <c r="D75" s="85">
        <v>708</v>
      </c>
      <c r="E75" s="86">
        <v>6550929</v>
      </c>
      <c r="F75" s="113" t="s">
        <v>101</v>
      </c>
      <c r="G75" s="113" t="s">
        <v>101</v>
      </c>
      <c r="H75" s="113" t="s">
        <v>101</v>
      </c>
      <c r="I75" s="25" t="s">
        <v>101</v>
      </c>
      <c r="J75" s="25" t="s">
        <v>101</v>
      </c>
      <c r="K75" s="92" t="s">
        <v>101</v>
      </c>
      <c r="L75" s="112"/>
      <c r="M75" s="112"/>
    </row>
    <row r="76" spans="4:13" ht="22.5" x14ac:dyDescent="0.3">
      <c r="D76" s="85">
        <v>809</v>
      </c>
      <c r="E76" s="86">
        <v>6782044</v>
      </c>
      <c r="F76" s="113">
        <v>1.0706081000000001</v>
      </c>
      <c r="G76" s="113">
        <v>1.0976075000000001</v>
      </c>
      <c r="H76" s="113">
        <v>1.0841078</v>
      </c>
      <c r="I76" s="25">
        <v>0.99</v>
      </c>
      <c r="J76" s="25">
        <v>1.0149999999999999</v>
      </c>
      <c r="K76" s="92">
        <v>1.0024999999999999</v>
      </c>
      <c r="L76" s="112"/>
      <c r="M76" s="112"/>
    </row>
    <row r="77" spans="4:13" ht="22.5" x14ac:dyDescent="0.3">
      <c r="D77" s="85">
        <v>910</v>
      </c>
      <c r="E77" s="86">
        <v>6951379</v>
      </c>
      <c r="F77" s="113">
        <v>1.0516683</v>
      </c>
      <c r="G77" s="113">
        <v>1.0639358000000001</v>
      </c>
      <c r="H77" s="113">
        <v>1.0578019999999999</v>
      </c>
      <c r="I77" s="25">
        <v>1.0054000000000001</v>
      </c>
      <c r="J77" s="25">
        <v>1.0170999999999999</v>
      </c>
      <c r="K77" s="92">
        <v>1.0112000000000001</v>
      </c>
      <c r="L77" s="112"/>
      <c r="M77" s="112"/>
    </row>
    <row r="78" spans="4:13" ht="23.25" thickBot="1" x14ac:dyDescent="0.35">
      <c r="D78" s="88">
        <v>1011</v>
      </c>
      <c r="E78" s="89">
        <v>7109358</v>
      </c>
      <c r="F78" s="114">
        <v>1.0112569</v>
      </c>
      <c r="G78" s="114">
        <v>1.0290861</v>
      </c>
      <c r="H78" s="114">
        <v>1.0201715</v>
      </c>
      <c r="I78" s="30">
        <v>1.0249999999999999</v>
      </c>
      <c r="J78" s="30">
        <v>1.0429999999999999</v>
      </c>
      <c r="K78" s="94">
        <v>1.034</v>
      </c>
      <c r="L78" s="112"/>
      <c r="M78" s="112"/>
    </row>
    <row r="79" spans="4:13" ht="22.5" x14ac:dyDescent="0.3">
      <c r="D79" s="112"/>
      <c r="E79" s="112"/>
      <c r="F79" s="112"/>
      <c r="G79" s="112"/>
      <c r="H79" s="112"/>
      <c r="I79" s="112"/>
      <c r="J79" s="112"/>
      <c r="K79" s="112"/>
      <c r="L79" s="112"/>
      <c r="M79" s="112"/>
    </row>
    <row r="80" spans="4:13" ht="22.5" x14ac:dyDescent="0.3">
      <c r="D80" s="112"/>
      <c r="E80" s="112"/>
      <c r="F80" s="112"/>
      <c r="G80" s="112"/>
      <c r="H80" s="112"/>
      <c r="I80" s="112"/>
      <c r="J80" s="112"/>
      <c r="K80" s="112"/>
      <c r="L80" s="112"/>
      <c r="M80" s="112"/>
    </row>
    <row r="81" spans="4:13" ht="22.5" x14ac:dyDescent="0.3">
      <c r="D81" s="112"/>
      <c r="E81" s="112"/>
      <c r="F81" s="112"/>
      <c r="G81" s="112"/>
      <c r="H81" s="112"/>
      <c r="I81" s="112"/>
      <c r="J81" s="112"/>
      <c r="K81" s="112"/>
      <c r="L81" s="112"/>
      <c r="M81" s="112"/>
    </row>
    <row r="82" spans="4:13" ht="22.5" x14ac:dyDescent="0.3">
      <c r="D82" s="112"/>
      <c r="E82" s="112"/>
      <c r="F82" s="112"/>
      <c r="G82" s="112"/>
      <c r="H82" s="112"/>
      <c r="I82" s="112"/>
      <c r="J82" s="112"/>
      <c r="K82" s="112"/>
      <c r="L82" s="112"/>
      <c r="M82" s="112"/>
    </row>
    <row r="83" spans="4:13" ht="23.25" thickBot="1" x14ac:dyDescent="0.35">
      <c r="D83" s="674" t="s">
        <v>103</v>
      </c>
      <c r="E83" s="674"/>
      <c r="F83" s="674"/>
      <c r="G83" s="674"/>
      <c r="H83" s="674"/>
      <c r="I83" s="674"/>
      <c r="J83" s="674"/>
      <c r="K83" s="674"/>
      <c r="L83" s="112"/>
      <c r="M83" s="112"/>
    </row>
    <row r="84" spans="4:13" ht="22.5" x14ac:dyDescent="0.3">
      <c r="D84" s="42" t="s">
        <v>88</v>
      </c>
      <c r="E84" s="43" t="s">
        <v>97</v>
      </c>
      <c r="F84" s="43" t="s">
        <v>98</v>
      </c>
      <c r="G84" s="43" t="s">
        <v>99</v>
      </c>
      <c r="H84" s="43" t="s">
        <v>100</v>
      </c>
      <c r="I84" s="43" t="s">
        <v>12</v>
      </c>
      <c r="J84" s="43" t="s">
        <v>13</v>
      </c>
      <c r="K84" s="16" t="s">
        <v>14</v>
      </c>
      <c r="L84" s="112"/>
      <c r="M84" s="112"/>
    </row>
    <row r="85" spans="4:13" ht="22.5" x14ac:dyDescent="0.3">
      <c r="D85" s="85">
        <v>708</v>
      </c>
      <c r="E85" s="86">
        <v>33864</v>
      </c>
      <c r="F85" s="113" t="s">
        <v>101</v>
      </c>
      <c r="G85" s="113" t="s">
        <v>101</v>
      </c>
      <c r="H85" s="113" t="s">
        <v>101</v>
      </c>
      <c r="I85" s="25" t="s">
        <v>101</v>
      </c>
      <c r="J85" s="25" t="s">
        <v>101</v>
      </c>
      <c r="K85" s="92" t="s">
        <v>101</v>
      </c>
      <c r="L85" s="112"/>
      <c r="M85" s="112"/>
    </row>
    <row r="86" spans="4:13" ht="22.5" x14ac:dyDescent="0.3">
      <c r="D86" s="85">
        <v>809</v>
      </c>
      <c r="E86" s="86">
        <v>25694</v>
      </c>
      <c r="F86" s="113">
        <v>0.91480139999999999</v>
      </c>
      <c r="G86" s="113">
        <v>0.94699979999999995</v>
      </c>
      <c r="H86" s="113">
        <v>0.93090059999999997</v>
      </c>
      <c r="I86" s="25">
        <v>0.75580000000000003</v>
      </c>
      <c r="J86" s="25">
        <v>0.78239999999999998</v>
      </c>
      <c r="K86" s="92">
        <v>0.76910000000000001</v>
      </c>
      <c r="L86" s="112"/>
      <c r="M86" s="112"/>
    </row>
    <row r="87" spans="4:13" ht="22.5" x14ac:dyDescent="0.3">
      <c r="D87" s="85">
        <v>910</v>
      </c>
      <c r="E87" s="86">
        <v>28143</v>
      </c>
      <c r="F87" s="113">
        <v>1.0557335999999999</v>
      </c>
      <c r="G87" s="113">
        <v>1.0560243</v>
      </c>
      <c r="H87" s="113">
        <v>1.055879</v>
      </c>
      <c r="I87" s="25">
        <v>1.0932999999999999</v>
      </c>
      <c r="J87" s="25">
        <v>1.0935999999999999</v>
      </c>
      <c r="K87" s="92">
        <v>1.0934999999999999</v>
      </c>
      <c r="L87" s="112"/>
      <c r="M87" s="112"/>
    </row>
    <row r="88" spans="4:13" ht="23.25" thickBot="1" x14ac:dyDescent="0.35">
      <c r="D88" s="88">
        <v>1011</v>
      </c>
      <c r="E88" s="89">
        <v>30714</v>
      </c>
      <c r="F88" s="114">
        <v>1.0875363</v>
      </c>
      <c r="G88" s="114">
        <v>1.0879146</v>
      </c>
      <c r="H88" s="114">
        <v>1.0877254999999999</v>
      </c>
      <c r="I88" s="30">
        <v>1.0887</v>
      </c>
      <c r="J88" s="30">
        <v>1.0891</v>
      </c>
      <c r="K88" s="94">
        <v>1.0889</v>
      </c>
      <c r="L88" s="112"/>
      <c r="M88" s="112"/>
    </row>
    <row r="89" spans="4:13" ht="22.5" x14ac:dyDescent="0.3">
      <c r="D89" s="112"/>
      <c r="E89" s="112"/>
      <c r="F89" s="112"/>
      <c r="G89" s="112"/>
      <c r="H89" s="112"/>
      <c r="I89" s="112"/>
      <c r="J89" s="112"/>
      <c r="K89" s="112"/>
      <c r="L89" s="112"/>
      <c r="M89" s="112"/>
    </row>
    <row r="90" spans="4:13" ht="22.5" x14ac:dyDescent="0.3">
      <c r="D90" s="112"/>
      <c r="E90" s="112"/>
      <c r="F90" s="112"/>
      <c r="G90" s="112"/>
      <c r="H90" s="112"/>
      <c r="I90" s="112"/>
      <c r="J90" s="112"/>
      <c r="K90" s="112"/>
      <c r="L90" s="112"/>
      <c r="M90" s="112"/>
    </row>
    <row r="91" spans="4:13" ht="22.5" x14ac:dyDescent="0.3">
      <c r="D91" s="112"/>
      <c r="E91" s="112"/>
      <c r="F91" s="112"/>
      <c r="G91" s="112"/>
      <c r="H91" s="112"/>
      <c r="I91" s="112"/>
      <c r="J91" s="112"/>
      <c r="K91" s="112"/>
      <c r="L91" s="112"/>
      <c r="M91" s="112"/>
    </row>
    <row r="92" spans="4:13" ht="22.5" x14ac:dyDescent="0.3">
      <c r="D92" s="112"/>
      <c r="E92" s="112"/>
      <c r="F92" s="112"/>
      <c r="G92" s="112"/>
      <c r="H92" s="112"/>
      <c r="I92" s="112"/>
      <c r="J92" s="112"/>
      <c r="K92" s="112"/>
      <c r="L92" s="112"/>
      <c r="M92" s="112"/>
    </row>
    <row r="93" spans="4:13" ht="23.25" thickBot="1" x14ac:dyDescent="0.35">
      <c r="D93" s="674" t="s">
        <v>104</v>
      </c>
      <c r="E93" s="674"/>
      <c r="F93" s="674"/>
      <c r="G93" s="674"/>
      <c r="H93" s="674"/>
      <c r="I93" s="674"/>
      <c r="J93" s="674"/>
      <c r="K93" s="674"/>
      <c r="L93" s="112"/>
      <c r="M93" s="112"/>
    </row>
    <row r="94" spans="4:13" ht="22.5" x14ac:dyDescent="0.3">
      <c r="D94" s="42" t="s">
        <v>88</v>
      </c>
      <c r="E94" s="43" t="s">
        <v>97</v>
      </c>
      <c r="F94" s="43" t="s">
        <v>98</v>
      </c>
      <c r="G94" s="43" t="s">
        <v>99</v>
      </c>
      <c r="H94" s="43" t="s">
        <v>100</v>
      </c>
      <c r="I94" s="43" t="s">
        <v>12</v>
      </c>
      <c r="J94" s="43" t="s">
        <v>13</v>
      </c>
      <c r="K94" s="16" t="s">
        <v>14</v>
      </c>
      <c r="L94" s="112"/>
      <c r="M94" s="112"/>
    </row>
    <row r="95" spans="4:13" ht="22.5" x14ac:dyDescent="0.3">
      <c r="D95" s="85">
        <v>708</v>
      </c>
      <c r="E95" s="86">
        <v>111515</v>
      </c>
      <c r="F95" s="113" t="s">
        <v>101</v>
      </c>
      <c r="G95" s="113" t="s">
        <v>101</v>
      </c>
      <c r="H95" s="113" t="s">
        <v>101</v>
      </c>
      <c r="I95" s="25" t="s">
        <v>101</v>
      </c>
      <c r="J95" s="25" t="s">
        <v>101</v>
      </c>
      <c r="K95" s="92" t="s">
        <v>101</v>
      </c>
      <c r="L95" s="112"/>
      <c r="M95" s="112"/>
    </row>
    <row r="96" spans="4:13" ht="22.5" x14ac:dyDescent="0.3">
      <c r="D96" s="85">
        <v>809</v>
      </c>
      <c r="E96" s="86">
        <v>108573</v>
      </c>
      <c r="F96" s="113">
        <v>0.96501700000000001</v>
      </c>
      <c r="G96" s="113">
        <v>0.98091799999999996</v>
      </c>
      <c r="H96" s="113">
        <v>0.97296749999999999</v>
      </c>
      <c r="I96" s="25">
        <v>0.96819999999999995</v>
      </c>
      <c r="J96" s="25">
        <v>0.98409999999999997</v>
      </c>
      <c r="K96" s="92">
        <v>0.97609999999999997</v>
      </c>
      <c r="L96" s="112"/>
      <c r="M96" s="112"/>
    </row>
    <row r="97" spans="4:13" ht="22.5" x14ac:dyDescent="0.3">
      <c r="D97" s="85">
        <v>910</v>
      </c>
      <c r="E97" s="86">
        <v>121610</v>
      </c>
      <c r="F97" s="113">
        <v>1.0036959000000001</v>
      </c>
      <c r="G97" s="113">
        <v>1.0036289</v>
      </c>
      <c r="H97" s="113">
        <v>1.0036624000000001</v>
      </c>
      <c r="I97" s="25">
        <v>1.1194999999999999</v>
      </c>
      <c r="J97" s="25">
        <v>1.1194999999999999</v>
      </c>
      <c r="K97" s="92">
        <v>1.1194999999999999</v>
      </c>
      <c r="L97" s="112"/>
      <c r="M97" s="112"/>
    </row>
    <row r="98" spans="4:13" ht="23.25" thickBot="1" x14ac:dyDescent="0.35">
      <c r="D98" s="88">
        <v>1011</v>
      </c>
      <c r="E98" s="89">
        <v>125823</v>
      </c>
      <c r="F98" s="114">
        <v>1.0582005000000001</v>
      </c>
      <c r="G98" s="114">
        <v>1.0580438000000001</v>
      </c>
      <c r="H98" s="114">
        <v>1.0581221999999999</v>
      </c>
      <c r="I98" s="30">
        <v>1.0353000000000001</v>
      </c>
      <c r="J98" s="30">
        <v>1.0350999999999999</v>
      </c>
      <c r="K98" s="94">
        <v>1.0351999999999999</v>
      </c>
      <c r="L98" s="112"/>
      <c r="M98" s="112"/>
    </row>
    <row r="99" spans="4:13" ht="22.5" x14ac:dyDescent="0.3">
      <c r="D99" s="112"/>
      <c r="E99" s="112"/>
      <c r="F99" s="112"/>
      <c r="G99" s="112"/>
      <c r="H99" s="112"/>
      <c r="I99" s="112"/>
      <c r="J99" s="112"/>
      <c r="K99" s="112"/>
      <c r="L99" s="112"/>
      <c r="M99" s="112"/>
    </row>
    <row r="103" spans="4:13" ht="22.5" x14ac:dyDescent="0.3">
      <c r="D103" s="112" t="s">
        <v>323</v>
      </c>
    </row>
    <row r="104" spans="4:13" ht="22.5" x14ac:dyDescent="0.3">
      <c r="D104" s="112" t="s">
        <v>324</v>
      </c>
    </row>
    <row r="105" spans="4:13" ht="22.5" x14ac:dyDescent="0.3">
      <c r="D105" s="112" t="s">
        <v>325</v>
      </c>
    </row>
    <row r="106" spans="4:13" ht="22.5" x14ac:dyDescent="0.3">
      <c r="D106" s="112" t="s">
        <v>326</v>
      </c>
    </row>
  </sheetData>
  <customSheetViews>
    <customSheetView guid="{9EA95E61-FCA5-4867-AEB4-B8C24058ACDD}" scale="60" showGridLines="0" showRowCol="0" state="hidden" topLeftCell="A24">
      <selection activeCell="H42" sqref="H42"/>
      <pageMargins left="0.7" right="0.7" top="0.75" bottom="0.75" header="0.3" footer="0.3"/>
      <pageSetup paperSize="9" orientation="portrait" r:id="rId1"/>
    </customSheetView>
  </customSheetViews>
  <mergeCells count="8">
    <mergeCell ref="D93:K93"/>
    <mergeCell ref="D50:K50"/>
    <mergeCell ref="D63:K63"/>
    <mergeCell ref="D37:M37"/>
    <mergeCell ref="D11:M11"/>
    <mergeCell ref="D24:K24"/>
    <mergeCell ref="D73:K73"/>
    <mergeCell ref="D83:K83"/>
  </mergeCells>
  <pageMargins left="0.7" right="0.7" top="0.75" bottom="0.75" header="0.3" footer="0.3"/>
  <pageSetup paperSize="9"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5"/>
  <sheetViews>
    <sheetView showGridLines="0" showRowColHeaders="0" zoomScaleNormal="100" workbookViewId="0">
      <selection activeCell="J9" sqref="J9"/>
    </sheetView>
  </sheetViews>
  <sheetFormatPr defaultRowHeight="15" x14ac:dyDescent="0.25"/>
  <cols>
    <col min="2" max="2" width="8.42578125" customWidth="1"/>
    <col min="3" max="3" width="10.7109375" customWidth="1"/>
    <col min="4" max="4" width="13.85546875" customWidth="1"/>
    <col min="5" max="5" width="12.7109375" customWidth="1"/>
    <col min="6" max="6" width="15.7109375" customWidth="1"/>
    <col min="7" max="7" width="21.5703125" customWidth="1"/>
    <col min="8" max="8" width="30" customWidth="1"/>
    <col min="9" max="9" width="3.5703125" customWidth="1"/>
    <col min="10" max="10" width="26.28515625" bestFit="1" customWidth="1"/>
    <col min="11" max="11" width="16.28515625" bestFit="1" customWidth="1"/>
    <col min="12" max="12" width="22.5703125" bestFit="1" customWidth="1"/>
    <col min="13" max="13" width="21.28515625" bestFit="1" customWidth="1"/>
    <col min="14" max="14" width="22.28515625" bestFit="1" customWidth="1"/>
  </cols>
  <sheetData>
    <row r="1" spans="1:18" x14ac:dyDescent="0.25">
      <c r="A1" s="657"/>
      <c r="B1" s="657"/>
      <c r="D1" s="231"/>
      <c r="E1" s="231"/>
    </row>
    <row r="2" spans="1:18" x14ac:dyDescent="0.25">
      <c r="D2" s="231"/>
      <c r="E2" s="231"/>
    </row>
    <row r="3" spans="1:18" x14ac:dyDescent="0.25">
      <c r="D3" s="231"/>
      <c r="E3" s="231"/>
    </row>
    <row r="4" spans="1:18" ht="30" x14ac:dyDescent="0.4">
      <c r="B4" s="2" t="s">
        <v>501</v>
      </c>
    </row>
    <row r="5" spans="1:18" ht="23.25" customHeight="1" x14ac:dyDescent="0.25">
      <c r="B5" s="280" t="s">
        <v>524</v>
      </c>
      <c r="C5" s="281"/>
      <c r="D5" s="281"/>
      <c r="E5" s="281"/>
      <c r="F5" s="281"/>
      <c r="G5" s="281"/>
    </row>
    <row r="6" spans="1:18" x14ac:dyDescent="0.25">
      <c r="B6" s="279"/>
      <c r="C6" s="279"/>
      <c r="D6" s="281"/>
      <c r="E6" s="281"/>
      <c r="F6" s="281"/>
      <c r="G6" s="281"/>
    </row>
    <row r="7" spans="1:18" x14ac:dyDescent="0.25">
      <c r="B7" s="280" t="s">
        <v>252</v>
      </c>
      <c r="C7" s="279"/>
      <c r="D7" s="281"/>
      <c r="E7" s="281"/>
      <c r="F7" s="281"/>
      <c r="G7" s="281"/>
      <c r="O7" s="8"/>
      <c r="P7" s="8"/>
      <c r="Q7" s="8"/>
      <c r="R7" s="8"/>
    </row>
    <row r="8" spans="1:18" x14ac:dyDescent="0.25">
      <c r="B8" s="274" t="s">
        <v>251</v>
      </c>
      <c r="C8" s="274"/>
      <c r="D8" s="467"/>
      <c r="E8" s="285"/>
      <c r="F8" s="279"/>
      <c r="G8" s="279"/>
      <c r="H8" s="8"/>
    </row>
    <row r="9" spans="1:18" x14ac:dyDescent="0.25">
      <c r="B9" s="666" t="s">
        <v>324</v>
      </c>
      <c r="C9" s="689"/>
      <c r="D9" s="679"/>
      <c r="E9" s="326"/>
      <c r="F9" s="279"/>
      <c r="G9" s="279"/>
      <c r="H9" s="8"/>
    </row>
    <row r="10" spans="1:18" ht="23.25" customHeight="1" x14ac:dyDescent="0.25">
      <c r="B10" s="281"/>
      <c r="C10" s="281"/>
      <c r="D10" s="281"/>
      <c r="E10" s="281"/>
      <c r="F10" s="279"/>
      <c r="G10" s="279"/>
      <c r="H10" s="8"/>
    </row>
    <row r="11" spans="1:18" ht="38.25" x14ac:dyDescent="0.3">
      <c r="B11" s="501" t="str">
        <f>IF($B$9="Elective and Day Case",'HES output (2)'!D12, IF($B$9="Non-elective",'HES output (2)'!D25,IF($B$9="Elective and Day Case Mental Health",'HES output (2)'!D38,'HES output (2)'!D51)))</f>
        <v>Year</v>
      </c>
      <c r="C11" s="501" t="str">
        <f>IF($B$9="Elective and Day Case",'HES output (2)'!E12, IF($B$9="Non-elective",'HES output (2)'!E25,IF($B$9="Elective and Day Case Mental Health",'HES output (2)'!E38,'HES output (2)'!E51)))</f>
        <v>Total CIPS</v>
      </c>
      <c r="D11" s="501" t="s">
        <v>92</v>
      </c>
      <c r="E11" s="501" t="s">
        <v>499</v>
      </c>
      <c r="F11" s="502" t="s">
        <v>502</v>
      </c>
      <c r="G11" s="232"/>
      <c r="H11" s="232"/>
      <c r="I11" s="231"/>
    </row>
    <row r="12" spans="1:18" ht="22.5" x14ac:dyDescent="0.3">
      <c r="B12" s="501" t="s">
        <v>74</v>
      </c>
      <c r="C12" s="542">
        <f>IF($B$9="Outpatient",'HES QA backend'!D86,IF($B$9="Elective and Day Case",'HES QA backend'!D25, IF($B$9="Mental health", 'HES QA backend'!D67,'HES QA backend'!D46)))</f>
        <v>6009802</v>
      </c>
      <c r="D12" s="642">
        <f>IF($B$9="Outpatient",'HES QA backend'!E86,IF($B$9="Elective and Day Case",'HES QA backend'!E25, IF($B$9="Mental health", 'HES QA backend'!E67,'HES QA backend'!E46)))</f>
        <v>7271860420</v>
      </c>
      <c r="E12" s="608">
        <v>1</v>
      </c>
      <c r="F12" s="608">
        <v>1</v>
      </c>
      <c r="G12" s="232"/>
      <c r="H12" s="232"/>
      <c r="I12" s="231"/>
    </row>
    <row r="13" spans="1:18" ht="22.5" x14ac:dyDescent="0.3">
      <c r="B13" s="501" t="s">
        <v>75</v>
      </c>
      <c r="C13" s="542">
        <f>IF($B$9="Outpatient",'HES QA backend'!D87,IF($B$9="Elective and Day Case",'HES QA backend'!D26, IF($B$9="Mental health", 'HES QA backend'!D68,'HES QA backend'!D47)))</f>
        <v>6291117</v>
      </c>
      <c r="D13" s="642">
        <f>IF($B$9="Outpatient",'HES QA backend'!E87,IF($B$9="Elective and Day Case",'HES QA backend'!E26, IF($B$9="Mental health", 'HES QA backend'!E68,'HES QA backend'!E47)))</f>
        <v>7807276197</v>
      </c>
      <c r="E13" s="543">
        <f>IF($B$9="Outpatient",'HES QA backend'!F87,IF($B$9="Elective and Day Case",'HES QA backend'!F26, IF($B$9="Mental health", 'HES QA backend'!F68,'HES QA backend'!F47)))</f>
        <v>4.6735176645254839E-2</v>
      </c>
      <c r="F13" s="543">
        <f>IF($B$9="Outpatient",'HES QA backend'!G87,IF($B$9="Elective and Day Case",'HES QA backend'!G26, IF($B$9="Mental health", 'HES QA backend'!G68,'HES QA backend'!G47)))</f>
        <v>4.6065860441381945E-2</v>
      </c>
      <c r="G13" s="232"/>
      <c r="H13" s="232"/>
      <c r="I13" s="231"/>
    </row>
    <row r="14" spans="1:18" ht="22.5" x14ac:dyDescent="0.3">
      <c r="B14" s="501" t="s">
        <v>76</v>
      </c>
      <c r="C14" s="542">
        <f>IF($B$9="Outpatient",'HES QA backend'!D88,IF($B$9="Elective and Day Case",'HES QA backend'!D27, IF($B$9="Mental health", 'HES QA backend'!D69,'HES QA backend'!D48)))</f>
        <v>6363388</v>
      </c>
      <c r="D14" s="642">
        <f>IF($B$9="Outpatient",'HES QA backend'!E88,IF($B$9="Elective and Day Case",'HES QA backend'!E27, IF($B$9="Mental health", 'HES QA backend'!E69,'HES QA backend'!E48)))</f>
        <v>7916054672</v>
      </c>
      <c r="E14" s="543">
        <f>IF($B$9="Outpatient",'HES QA backend'!F88,IF($B$9="Elective and Day Case",'HES QA backend'!F27, IF($B$9="Mental health", 'HES QA backend'!F69,'HES QA backend'!F48)))</f>
        <v>1.4380080660301164E-2</v>
      </c>
      <c r="F14" s="543">
        <f>IF($B$9="Outpatient",'HES QA backend'!G88,IF($B$9="Elective and Day Case",'HES QA backend'!G27, IF($B$9="Mental health", 'HES QA backend'!G69,'HES QA backend'!G48)))</f>
        <v>1.4380076912181794E-2</v>
      </c>
      <c r="G14" s="232"/>
      <c r="H14" s="232"/>
      <c r="I14" s="231"/>
    </row>
    <row r="15" spans="1:18" ht="18" customHeight="1" x14ac:dyDescent="0.3">
      <c r="B15" s="286" t="str">
        <f>IF($B$9="Elective and Day Case",'HES output (2)'!D16, IF($B$9="Non-elective",'HES output (2)'!D29,IF($B$9="Elective and Day Case Mental Health",'HES output (2)'!D42,'HES output (2)'!D55)))</f>
        <v>2007/08</v>
      </c>
      <c r="C15" s="542">
        <f>IF($B$9="Outpatient",'HES QA backend'!D89,IF($B$9="Elective and Day Case",'HES QA backend'!D28, IF($B$9="Mental health", 'HES QA backend'!D70,'HES QA backend'!D49)))</f>
        <v>6550929</v>
      </c>
      <c r="D15" s="642">
        <f>IF($B$9="Outpatient",'HES QA backend'!E89,IF($B$9="Elective and Day Case",'HES QA backend'!E28, IF($B$9="Mental health", 'HES QA backend'!E70,'HES QA backend'!E49)))</f>
        <v>8107229104.7700005</v>
      </c>
      <c r="E15" s="543">
        <f>IF($B$9="Outpatient",'HES QA backend'!F89,IF($B$9="Elective and Day Case",'HES QA backend'!F28, IF($B$9="Mental health", 'HES QA backend'!F70,'HES QA backend'!F49)))</f>
        <v>-1.5793066750017126E-2</v>
      </c>
      <c r="F15" s="543">
        <f>IF($B$9="Outpatient",'HES QA backend'!G89,IF($B$9="Elective and Day Case",'HES QA backend'!G28, IF($B$9="Mental health", 'HES QA backend'!G70,'HES QA backend'!G49)))</f>
        <v>-1.5793066750017126E-2</v>
      </c>
      <c r="G15" s="541">
        <f>IF($B$9="Outpatient",'HES QA backend'!I89,IF($B$9="Elective and Day Case",'HES QA backend'!I28, IF($B$9="Mental health", 'HES QA backend'!I70,'HES QA backend'!I49)))</f>
        <v>0</v>
      </c>
      <c r="H15" s="232"/>
      <c r="I15" s="231"/>
    </row>
    <row r="16" spans="1:18" ht="18" customHeight="1" x14ac:dyDescent="0.3">
      <c r="B16" s="286" t="str">
        <f>IF($B$9="Elective and Day Case",'HES output (2)'!D17, IF($B$9="Non-elective",'HES output (2)'!D30,IF($B$9="Elective and Day Case Mental Health",'HES output (2)'!D43,'HES output (2)'!D56)))</f>
        <v>2008/09</v>
      </c>
      <c r="C16" s="542">
        <f>IF($B$9="Outpatient",'HES QA backend'!D90,IF($B$9="Elective and Day Case",'HES QA backend'!D29, IF($B$9="Mental health", 'HES QA backend'!D71,'HES QA backend'!D50)))</f>
        <v>6782044</v>
      </c>
      <c r="D16" s="642">
        <f>IF($B$9="Outpatient",'HES QA backend'!E90,IF($B$9="Elective and Day Case",'HES QA backend'!E29, IF($B$9="Mental health", 'HES QA backend'!E71,'HES QA backend'!E50)))</f>
        <v>8821793808.3400002</v>
      </c>
      <c r="E16" s="543">
        <f>IF($B$9="Outpatient",'HES QA backend'!F90,IF($B$9="Elective and Day Case",'HES QA backend'!F29, IF($B$9="Mental health", 'HES QA backend'!F71,'HES QA backend'!F50)))</f>
        <v>1.1985438649171565E-2</v>
      </c>
      <c r="F16" s="543">
        <f>IF($B$9="Outpatient",'HES QA backend'!G90,IF($B$9="Elective and Day Case",'HES QA backend'!G29, IF($B$9="Mental health", 'HES QA backend'!G71,'HES QA backend'!G50)))</f>
        <v>4.1775224961970281E-2</v>
      </c>
      <c r="G16" s="541">
        <f>IF($B$9="Outpatient",'HES QA backend'!I90,IF($B$9="Elective and Day Case",'HES QA backend'!I29, IF($B$9="Mental health", 'HES QA backend'!I71,'HES QA backend'!I50)))</f>
        <v>4.1775224961970281E-2</v>
      </c>
      <c r="H16" s="232"/>
      <c r="I16" s="231"/>
    </row>
    <row r="17" spans="1:10" ht="18" customHeight="1" x14ac:dyDescent="0.3">
      <c r="B17" s="286" t="str">
        <f>IF($B$9="Elective and Day Case",'HES output (2)'!D18, IF($B$9="Non-elective",'HES output (2)'!D31,IF($B$9="Elective and Day Case Mental Health",'HES output (2)'!D44,'HES output (2)'!D57)))</f>
        <v>2009/10</v>
      </c>
      <c r="C17" s="542">
        <f>IF($B$9="Outpatient",'HES QA backend'!D91,IF($B$9="Elective and Day Case",'HES QA backend'!D30, IF($B$9="Mental health", 'HES QA backend'!D72,'HES QA backend'!D51)))</f>
        <v>6951379</v>
      </c>
      <c r="D17" s="642">
        <f>IF($B$9="Outpatient",'HES QA backend'!E91,IF($B$9="Elective and Day Case",'HES QA backend'!E30, IF($B$9="Mental health", 'HES QA backend'!E72,'HES QA backend'!E51)))</f>
        <v>9419309256.6399994</v>
      </c>
      <c r="E17" s="543">
        <f>IF($B$9="Outpatient",'HES QA backend'!F91,IF($B$9="Elective and Day Case",'HES QA backend'!F30, IF($B$9="Mental health", 'HES QA backend'!F72,'HES QA backend'!F51)))</f>
        <v>2.86575695808029E-2</v>
      </c>
      <c r="F17" s="543">
        <f>IF($B$9="Outpatient",'HES QA backend'!G91,IF($B$9="Elective and Day Case",'HES QA backend'!G30, IF($B$9="Mental health", 'HES QA backend'!G72,'HES QA backend'!G51)))</f>
        <v>4.021825709920579E-2</v>
      </c>
      <c r="G17" s="541">
        <f>IF($B$9="Outpatient",'HES QA backend'!I91,IF($B$9="Elective and Day Case",'HES QA backend'!I30, IF($B$9="Mental health", 'HES QA backend'!I72,'HES QA backend'!I51)))</f>
        <v>4.021825709920579E-2</v>
      </c>
      <c r="H17" s="232"/>
      <c r="I17" s="231"/>
    </row>
    <row r="18" spans="1:10" ht="18" customHeight="1" x14ac:dyDescent="0.3">
      <c r="B18" s="286" t="str">
        <f>IF($B$9="Elective and Day Case",'HES output (2)'!D19, IF($B$9="Non-elective",'HES output (2)'!D32,IF($B$9="Elective and Day Case Mental Health",'HES output (2)'!D45,'HES output (2)'!D58)))</f>
        <v>2010/11</v>
      </c>
      <c r="C18" s="542">
        <f>IF($B$9="Outpatient",'HES QA backend'!D92,IF($B$9="Elective and Day Case",'HES QA backend'!D31, IF($B$9="Mental health", 'HES QA backend'!D73,'HES QA backend'!D52)))</f>
        <v>7109358</v>
      </c>
      <c r="D18" s="642">
        <f>IF($B$9="Outpatient",'HES QA backend'!E92,IF($B$9="Elective and Day Case",'HES QA backend'!E31, IF($B$9="Mental health", 'HES QA backend'!E73,'HES QA backend'!E52)))</f>
        <v>9939390774.7299995</v>
      </c>
      <c r="E18" s="543">
        <f>IF($B$9="Outpatient",'HES QA backend'!F92,IF($B$9="Elective and Day Case",'HES QA backend'!F31, IF($B$9="Mental health", 'HES QA backend'!F73,'HES QA backend'!F52)))</f>
        <v>3.3484150741485141E-2</v>
      </c>
      <c r="F18" s="543">
        <f>IF($B$9="Outpatient",'HES QA backend'!G92,IF($B$9="Elective and Day Case",'HES QA backend'!G31, IF($B$9="Mental health", 'HES QA backend'!G73,'HES QA backend'!G52)))</f>
        <v>4.933212451989899E-2</v>
      </c>
      <c r="G18" s="541">
        <f>IF($B$9="Outpatient",'HES QA backend'!I92,IF($B$9="Elective and Day Case",'HES QA backend'!I31, IF($B$9="Mental health", 'HES QA backend'!I73,'HES QA backend'!I52)))</f>
        <v>4.933212451989899E-2</v>
      </c>
      <c r="H18" s="232"/>
      <c r="I18" s="231"/>
    </row>
    <row r="19" spans="1:10" x14ac:dyDescent="0.25">
      <c r="B19" s="288"/>
      <c r="C19" s="288"/>
      <c r="D19" s="288"/>
      <c r="E19" s="288"/>
      <c r="F19" s="537"/>
      <c r="G19" s="537"/>
      <c r="H19" s="8"/>
    </row>
    <row r="20" spans="1:10" x14ac:dyDescent="0.25">
      <c r="B20" s="279"/>
      <c r="C20" s="281"/>
      <c r="D20" s="281"/>
      <c r="E20" s="281"/>
      <c r="F20" s="538"/>
      <c r="G20" s="538"/>
      <c r="H20" s="263"/>
      <c r="I20" s="262"/>
      <c r="J20" s="262"/>
    </row>
    <row r="21" spans="1:10" x14ac:dyDescent="0.25">
      <c r="B21" s="281"/>
      <c r="C21" s="281"/>
      <c r="D21" s="281"/>
      <c r="E21" s="281"/>
      <c r="F21" s="538"/>
      <c r="G21" s="538"/>
      <c r="H21" s="263"/>
      <c r="I21" s="262"/>
      <c r="J21" s="262"/>
    </row>
    <row r="22" spans="1:10" ht="23.25" customHeight="1" x14ac:dyDescent="0.25">
      <c r="B22" s="281"/>
      <c r="C22" s="281"/>
      <c r="D22" s="281"/>
      <c r="E22" s="281"/>
      <c r="F22" s="538"/>
      <c r="G22" s="538"/>
      <c r="H22" s="263"/>
      <c r="I22" s="262"/>
      <c r="J22" s="262"/>
    </row>
    <row r="23" spans="1:10" x14ac:dyDescent="0.25">
      <c r="B23" s="281"/>
      <c r="C23" s="281"/>
      <c r="D23" s="281"/>
      <c r="E23" s="281"/>
      <c r="F23" s="538"/>
      <c r="G23" s="538"/>
      <c r="H23" s="263"/>
      <c r="I23" s="262"/>
      <c r="J23" s="262"/>
    </row>
    <row r="24" spans="1:10" x14ac:dyDescent="0.25">
      <c r="B24" s="281"/>
      <c r="C24" s="281"/>
      <c r="D24" s="281"/>
      <c r="E24" s="281"/>
      <c r="F24" s="538"/>
      <c r="G24" s="538"/>
      <c r="H24" s="263"/>
      <c r="I24" s="262"/>
      <c r="J24" s="262"/>
    </row>
    <row r="25" spans="1:10" x14ac:dyDescent="0.25">
      <c r="B25" s="281"/>
      <c r="C25" s="281"/>
      <c r="D25" s="281"/>
      <c r="E25" s="281"/>
      <c r="F25" s="539"/>
      <c r="G25" s="539"/>
      <c r="H25" s="263"/>
      <c r="I25" s="262"/>
      <c r="J25" s="262"/>
    </row>
    <row r="26" spans="1:10" x14ac:dyDescent="0.25">
      <c r="A26" s="6"/>
      <c r="B26" s="281"/>
      <c r="C26" s="281"/>
      <c r="D26" s="281"/>
      <c r="E26" s="470">
        <v>1</v>
      </c>
      <c r="F26" s="469">
        <v>1</v>
      </c>
      <c r="G26" s="469"/>
      <c r="H26" s="263"/>
      <c r="I26" s="262"/>
      <c r="J26" s="262"/>
    </row>
    <row r="27" spans="1:10" x14ac:dyDescent="0.25">
      <c r="A27" s="5"/>
      <c r="B27" s="281"/>
      <c r="C27" s="281"/>
      <c r="D27" s="281"/>
      <c r="E27" s="607">
        <f>E26*(1+E13)</f>
        <v>1.0467351766452548</v>
      </c>
      <c r="F27" s="607">
        <f>F26*(1+F13)</f>
        <v>1.0460658604413819</v>
      </c>
      <c r="G27" s="469"/>
      <c r="H27" s="263"/>
      <c r="I27" s="262"/>
      <c r="J27" s="262"/>
    </row>
    <row r="28" spans="1:10" x14ac:dyDescent="0.25">
      <c r="A28" s="5"/>
      <c r="B28" s="281"/>
      <c r="C28" s="281"/>
      <c r="D28" s="281"/>
      <c r="E28" s="607">
        <f t="shared" ref="E28:F32" si="0">E27*(1+E14)</f>
        <v>1.0617873129153881</v>
      </c>
      <c r="F28" s="607">
        <f t="shared" si="0"/>
        <v>1.0611083679697366</v>
      </c>
      <c r="G28" s="469"/>
      <c r="H28" s="263"/>
      <c r="I28" s="262"/>
      <c r="J28" s="262"/>
    </row>
    <row r="29" spans="1:10" x14ac:dyDescent="0.25">
      <c r="A29" s="5"/>
      <c r="B29" s="281"/>
      <c r="C29" s="281"/>
      <c r="D29" s="281"/>
      <c r="E29" s="607">
        <f t="shared" si="0"/>
        <v>1.0450184350081941</v>
      </c>
      <c r="F29" s="607">
        <f t="shared" si="0"/>
        <v>1.0443502126853887</v>
      </c>
      <c r="G29" s="470"/>
      <c r="H29" s="262"/>
      <c r="I29" s="262"/>
      <c r="J29" s="262"/>
    </row>
    <row r="30" spans="1:10" x14ac:dyDescent="0.25">
      <c r="A30" s="5"/>
      <c r="B30" s="281"/>
      <c r="C30" s="281"/>
      <c r="D30" s="281"/>
      <c r="E30" s="607">
        <f t="shared" si="0"/>
        <v>1.0575434393482381</v>
      </c>
      <c r="F30" s="607">
        <f t="shared" si="0"/>
        <v>1.0879781777594024</v>
      </c>
      <c r="G30" s="470"/>
    </row>
    <row r="31" spans="1:10" x14ac:dyDescent="0.25">
      <c r="A31" s="5"/>
      <c r="B31" s="281"/>
      <c r="C31" s="281"/>
      <c r="D31" s="281"/>
      <c r="E31" s="607">
        <f t="shared" si="0"/>
        <v>1.087850064046082</v>
      </c>
      <c r="F31" s="607">
        <f t="shared" si="0"/>
        <v>1.1317347638308555</v>
      </c>
      <c r="G31" s="470"/>
    </row>
    <row r="32" spans="1:10" x14ac:dyDescent="0.25">
      <c r="A32" s="5"/>
      <c r="B32" s="281"/>
      <c r="C32" s="281"/>
      <c r="D32" s="281"/>
      <c r="E32" s="607">
        <f t="shared" si="0"/>
        <v>1.1242757995747352</v>
      </c>
      <c r="F32" s="607">
        <f t="shared" si="0"/>
        <v>1.1875656441236577</v>
      </c>
      <c r="G32" s="470"/>
    </row>
    <row r="33" spans="1:7" ht="23.25" customHeight="1" x14ac:dyDescent="0.25">
      <c r="A33" s="5"/>
      <c r="B33" s="281"/>
      <c r="C33" s="281"/>
      <c r="D33" s="281"/>
      <c r="E33" s="606"/>
      <c r="F33" s="459"/>
      <c r="G33" s="459"/>
    </row>
    <row r="34" spans="1:7" x14ac:dyDescent="0.25">
      <c r="A34" s="5"/>
      <c r="B34" s="281"/>
      <c r="C34" s="281"/>
      <c r="D34" s="281"/>
      <c r="E34" s="606"/>
      <c r="F34" s="281"/>
      <c r="G34" s="281"/>
    </row>
    <row r="35" spans="1:7" x14ac:dyDescent="0.25">
      <c r="A35" s="5"/>
      <c r="B35" s="281"/>
      <c r="C35" s="281"/>
      <c r="D35" s="281"/>
      <c r="E35" s="606"/>
      <c r="F35" s="281"/>
      <c r="G35" s="281"/>
    </row>
    <row r="36" spans="1:7" x14ac:dyDescent="0.25">
      <c r="A36" s="5"/>
      <c r="B36" s="281"/>
      <c r="C36" s="281"/>
      <c r="D36" s="281"/>
      <c r="E36" s="606"/>
      <c r="F36" s="281"/>
      <c r="G36" s="281"/>
    </row>
    <row r="37" spans="1:7" x14ac:dyDescent="0.25">
      <c r="B37" s="281"/>
      <c r="C37" s="281"/>
      <c r="D37" s="281"/>
      <c r="E37" s="606"/>
      <c r="F37" s="281"/>
      <c r="G37" s="281"/>
    </row>
    <row r="38" spans="1:7" x14ac:dyDescent="0.25">
      <c r="B38" s="281"/>
      <c r="C38" s="281"/>
      <c r="D38" s="281"/>
      <c r="E38" s="606"/>
      <c r="F38" s="281"/>
      <c r="G38" s="281"/>
    </row>
    <row r="39" spans="1:7" x14ac:dyDescent="0.25">
      <c r="B39" s="281"/>
      <c r="C39" s="281"/>
      <c r="D39" s="281"/>
      <c r="E39" s="606"/>
      <c r="F39" s="281"/>
      <c r="G39" s="281"/>
    </row>
    <row r="40" spans="1:7" x14ac:dyDescent="0.25">
      <c r="B40" s="281"/>
      <c r="C40" s="281"/>
      <c r="D40" s="281"/>
      <c r="E40" s="606"/>
      <c r="F40" s="281"/>
      <c r="G40" s="281"/>
    </row>
    <row r="41" spans="1:7" x14ac:dyDescent="0.25">
      <c r="B41" s="281"/>
      <c r="C41" s="281"/>
      <c r="D41" s="281"/>
      <c r="E41" s="281"/>
      <c r="F41" s="281"/>
      <c r="G41" s="281"/>
    </row>
    <row r="42" spans="1:7" x14ac:dyDescent="0.25">
      <c r="B42" s="281"/>
      <c r="C42" s="281"/>
      <c r="D42" s="281"/>
      <c r="E42" s="281"/>
      <c r="F42" s="281"/>
      <c r="G42" s="281"/>
    </row>
    <row r="43" spans="1:7" x14ac:dyDescent="0.25">
      <c r="B43" s="281"/>
      <c r="C43" s="281"/>
      <c r="D43" s="281"/>
      <c r="E43" s="281"/>
      <c r="F43" s="281"/>
      <c r="G43" s="281"/>
    </row>
    <row r="44" spans="1:7" ht="23.25" customHeight="1" x14ac:dyDescent="0.25">
      <c r="B44" s="281"/>
      <c r="C44" s="281"/>
      <c r="D44" s="281"/>
      <c r="E44" s="281"/>
      <c r="F44" s="281"/>
      <c r="G44" s="281"/>
    </row>
    <row r="45" spans="1:7" x14ac:dyDescent="0.25">
      <c r="B45" s="281"/>
      <c r="C45" s="281"/>
      <c r="D45" s="281"/>
      <c r="E45" s="281"/>
      <c r="F45" s="281"/>
      <c r="G45" s="281"/>
    </row>
    <row r="46" spans="1:7" x14ac:dyDescent="0.25">
      <c r="B46" s="281"/>
      <c r="C46" s="281"/>
      <c r="D46" s="281"/>
      <c r="E46" s="281"/>
      <c r="F46" s="281"/>
      <c r="G46" s="281"/>
    </row>
    <row r="47" spans="1:7" x14ac:dyDescent="0.25">
      <c r="B47" s="281"/>
      <c r="C47" s="281"/>
      <c r="D47" s="281"/>
      <c r="E47" s="281"/>
      <c r="F47" s="281"/>
      <c r="G47" s="281"/>
    </row>
    <row r="48" spans="1:7" x14ac:dyDescent="0.25">
      <c r="B48" s="281"/>
      <c r="C48" s="281"/>
      <c r="D48" s="281"/>
      <c r="E48" s="281"/>
      <c r="F48" s="281"/>
      <c r="G48" s="281"/>
    </row>
    <row r="49" spans="2:7" x14ac:dyDescent="0.25">
      <c r="B49" s="281"/>
      <c r="C49" s="281"/>
      <c r="D49" s="281"/>
      <c r="E49" s="281"/>
      <c r="F49" s="281"/>
      <c r="G49" s="281"/>
    </row>
    <row r="50" spans="2:7" x14ac:dyDescent="0.25">
      <c r="B50" s="281"/>
      <c r="C50" s="281"/>
      <c r="D50" s="281"/>
      <c r="E50" s="281"/>
      <c r="F50" s="281"/>
      <c r="G50" s="281"/>
    </row>
    <row r="51" spans="2:7" x14ac:dyDescent="0.25">
      <c r="B51" s="281"/>
      <c r="C51" s="281"/>
      <c r="D51" s="281"/>
      <c r="E51" s="281"/>
      <c r="F51" s="281"/>
      <c r="G51" s="281"/>
    </row>
    <row r="52" spans="2:7" x14ac:dyDescent="0.25">
      <c r="B52" s="281"/>
      <c r="C52" s="281"/>
      <c r="D52" s="281"/>
      <c r="E52" s="281"/>
      <c r="F52" s="281"/>
      <c r="G52" s="281"/>
    </row>
    <row r="53" spans="2:7" x14ac:dyDescent="0.25">
      <c r="B53" s="281"/>
      <c r="C53" s="281"/>
      <c r="D53" s="281"/>
      <c r="E53" s="281"/>
      <c r="F53" s="281"/>
      <c r="G53" s="281"/>
    </row>
    <row r="54" spans="2:7" x14ac:dyDescent="0.25">
      <c r="B54" s="281"/>
      <c r="C54" s="281"/>
      <c r="D54" s="281"/>
      <c r="E54" s="281"/>
      <c r="F54" s="281"/>
      <c r="G54" s="281"/>
    </row>
    <row r="55" spans="2:7" ht="23.25" customHeight="1" x14ac:dyDescent="0.25">
      <c r="B55" s="281"/>
      <c r="C55" s="281"/>
      <c r="D55" s="281"/>
      <c r="E55" s="281"/>
      <c r="F55" s="281"/>
      <c r="G55" s="281"/>
    </row>
    <row r="56" spans="2:7" x14ac:dyDescent="0.25">
      <c r="B56" s="281"/>
      <c r="C56" s="281"/>
      <c r="D56" s="281"/>
      <c r="E56" s="281"/>
      <c r="F56" s="281"/>
      <c r="G56" s="281"/>
    </row>
    <row r="57" spans="2:7" x14ac:dyDescent="0.25">
      <c r="B57" s="281"/>
      <c r="C57" s="281"/>
      <c r="D57" s="281"/>
      <c r="E57" s="281"/>
      <c r="F57" s="281"/>
      <c r="G57" s="281"/>
    </row>
    <row r="58" spans="2:7" x14ac:dyDescent="0.25">
      <c r="B58" s="281"/>
      <c r="C58" s="281"/>
      <c r="D58" s="281"/>
      <c r="E58" s="281"/>
      <c r="F58" s="281"/>
      <c r="G58" s="281"/>
    </row>
    <row r="65" ht="23.25" customHeight="1" x14ac:dyDescent="0.25"/>
    <row r="75" ht="23.25" customHeight="1" x14ac:dyDescent="0.25"/>
    <row r="85" ht="23.25" customHeight="1" x14ac:dyDescent="0.25"/>
  </sheetData>
  <sheetProtection formatCells="0"/>
  <protectedRanges>
    <protectedRange sqref="B9" name="Range1"/>
  </protectedRanges>
  <mergeCells count="2">
    <mergeCell ref="A1:B1"/>
    <mergeCell ref="B9:D9"/>
  </mergeCells>
  <dataValidations count="1">
    <dataValidation type="list" allowBlank="1" showInputMessage="1" showErrorMessage="1" sqref="B9:C9">
      <formula1>QAnew</formula1>
    </dataValidation>
  </dataValidation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V95"/>
  <sheetViews>
    <sheetView showGridLines="0" showRowColHeaders="0" topLeftCell="A4" zoomScaleNormal="100" workbookViewId="0">
      <selection activeCell="B10" sqref="B10:F10"/>
    </sheetView>
  </sheetViews>
  <sheetFormatPr defaultRowHeight="15" x14ac:dyDescent="0.25"/>
  <cols>
    <col min="2" max="2" width="9.5703125" customWidth="1"/>
    <col min="3" max="3" width="13" customWidth="1"/>
    <col min="4" max="8" width="16.42578125" customWidth="1"/>
    <col min="9" max="9" width="17" customWidth="1"/>
    <col min="10" max="10" width="15.42578125" customWidth="1"/>
    <col min="11" max="11" width="28.28515625" customWidth="1"/>
    <col min="12" max="12" width="32.7109375" customWidth="1"/>
    <col min="13" max="13" width="16.28515625" customWidth="1"/>
    <col min="14" max="14" width="26.28515625" bestFit="1" customWidth="1"/>
    <col min="15" max="15" width="16.28515625" bestFit="1" customWidth="1"/>
    <col min="16" max="16" width="22.5703125" bestFit="1" customWidth="1"/>
    <col min="17" max="17" width="21.28515625" bestFit="1" customWidth="1"/>
    <col min="18" max="18" width="22.28515625" bestFit="1" customWidth="1"/>
  </cols>
  <sheetData>
    <row r="1" spans="2:22" x14ac:dyDescent="0.25">
      <c r="B1" s="231"/>
      <c r="C1" s="231"/>
      <c r="D1" s="231"/>
      <c r="E1" s="231"/>
    </row>
    <row r="2" spans="2:22" x14ac:dyDescent="0.25">
      <c r="B2" s="231"/>
      <c r="C2" s="231"/>
      <c r="D2" s="231"/>
      <c r="E2" s="231"/>
    </row>
    <row r="4" spans="2:22" ht="30" x14ac:dyDescent="0.4">
      <c r="B4" s="2" t="s">
        <v>158</v>
      </c>
    </row>
    <row r="5" spans="2:22" x14ac:dyDescent="0.25">
      <c r="B5" s="279"/>
      <c r="C5" s="281"/>
      <c r="D5" s="281"/>
      <c r="E5" s="281"/>
      <c r="F5" s="281"/>
    </row>
    <row r="6" spans="2:22" ht="23.25" customHeight="1" x14ac:dyDescent="0.25">
      <c r="B6" s="280" t="s">
        <v>253</v>
      </c>
      <c r="C6" s="281"/>
      <c r="D6" s="281"/>
      <c r="E6" s="281"/>
      <c r="F6" s="281"/>
      <c r="G6" s="236"/>
      <c r="H6" s="435"/>
      <c r="I6" s="435"/>
      <c r="J6" s="435"/>
    </row>
    <row r="7" spans="2:22" x14ac:dyDescent="0.25">
      <c r="B7" s="279"/>
      <c r="C7" s="279"/>
      <c r="D7" s="281"/>
      <c r="E7" s="281"/>
      <c r="F7" s="281"/>
      <c r="G7" s="236"/>
      <c r="H7" s="435"/>
      <c r="I7" s="435"/>
      <c r="J7" s="435"/>
    </row>
    <row r="8" spans="2:22" ht="23.25" customHeight="1" x14ac:dyDescent="0.25">
      <c r="B8" s="280" t="s">
        <v>252</v>
      </c>
      <c r="C8" s="279"/>
      <c r="D8" s="281"/>
      <c r="E8" s="281"/>
      <c r="F8" s="281"/>
      <c r="G8" s="262"/>
      <c r="H8" s="262"/>
      <c r="I8" s="262"/>
      <c r="J8" s="262"/>
      <c r="K8" s="262"/>
      <c r="S8" s="8"/>
      <c r="T8" s="8"/>
      <c r="U8" s="8"/>
      <c r="V8" s="8"/>
    </row>
    <row r="9" spans="2:22" x14ac:dyDescent="0.25">
      <c r="B9" s="279" t="s">
        <v>251</v>
      </c>
      <c r="C9" s="279"/>
      <c r="D9" s="281"/>
      <c r="E9" s="281"/>
      <c r="F9" s="281"/>
      <c r="G9" s="262"/>
      <c r="H9" s="262"/>
      <c r="I9" s="262"/>
      <c r="J9" s="262"/>
      <c r="K9" s="262"/>
      <c r="S9" s="8"/>
      <c r="T9" s="8"/>
      <c r="U9" s="8"/>
      <c r="V9" s="8"/>
    </row>
    <row r="10" spans="2:22" x14ac:dyDescent="0.25">
      <c r="B10" s="678" t="s">
        <v>546</v>
      </c>
      <c r="C10" s="678"/>
      <c r="D10" s="678"/>
      <c r="E10" s="678"/>
      <c r="F10" s="678"/>
      <c r="G10" s="262"/>
      <c r="H10" s="262"/>
      <c r="I10" s="262"/>
      <c r="J10" s="262"/>
      <c r="K10" s="262"/>
      <c r="S10" s="8"/>
      <c r="T10" s="8"/>
      <c r="U10" s="8"/>
      <c r="V10" s="8"/>
    </row>
    <row r="11" spans="2:22" x14ac:dyDescent="0.25">
      <c r="B11" s="315"/>
      <c r="C11" s="315"/>
      <c r="D11" s="316"/>
      <c r="E11" s="316"/>
      <c r="F11" s="316"/>
      <c r="G11" s="471"/>
      <c r="H11" s="471"/>
      <c r="I11" s="262"/>
      <c r="J11" s="262"/>
      <c r="K11" s="262"/>
      <c r="S11" s="8"/>
      <c r="T11" s="8"/>
      <c r="U11" s="8"/>
      <c r="V11" s="8"/>
    </row>
    <row r="12" spans="2:22" x14ac:dyDescent="0.25">
      <c r="B12" s="316"/>
      <c r="C12" s="316"/>
      <c r="D12" s="316"/>
      <c r="E12" s="316"/>
      <c r="F12" s="316"/>
      <c r="G12" s="471"/>
      <c r="H12" s="471"/>
      <c r="I12" s="262"/>
      <c r="J12" s="262"/>
      <c r="K12" s="262"/>
      <c r="S12" s="8"/>
      <c r="T12" s="8"/>
      <c r="U12" s="8"/>
      <c r="V12" s="8"/>
    </row>
    <row r="13" spans="2:22" x14ac:dyDescent="0.25">
      <c r="B13" s="654" t="s">
        <v>1</v>
      </c>
      <c r="C13" s="654" t="s">
        <v>413</v>
      </c>
      <c r="D13" s="654" t="s">
        <v>414</v>
      </c>
      <c r="E13" s="654" t="s">
        <v>89</v>
      </c>
      <c r="F13" s="654" t="s">
        <v>482</v>
      </c>
      <c r="G13" s="262"/>
      <c r="H13" s="262"/>
      <c r="I13" s="262"/>
      <c r="J13" s="262"/>
      <c r="K13" s="262"/>
      <c r="N13" s="8"/>
      <c r="O13" s="8"/>
      <c r="P13" s="8"/>
      <c r="Q13" s="8"/>
    </row>
    <row r="14" spans="2:22" x14ac:dyDescent="0.25">
      <c r="B14" s="655" t="s">
        <v>74</v>
      </c>
      <c r="C14" s="319">
        <f>IF($B$10="A&amp;E Services",'Reference Costs Output (2)'!E10,IF($B$10="Chemo/Radiotherapy &amp; High Cost Drugs ",'Reference Costs Output (2)'!E21,IF($B$10="Community Care",'Reference Costs Output (2)'!E31,IF($B$10="Diagnostic Tests",'Reference Costs Output (2)'!E41,IF($B$10="Hospital and Non-Admitted Mental Health",'Reference Costs Output (2)'!E51,IF($B$10="Hospital/Patient Transport Sheme",'Reference Costs Output (2)'!E61,IF($B$10="Reference Costs Activities",'Reference Costs Output (2)'!E71,IF($B$10="Outpatient",'Reference Costs Output (2)'!E81,IF($B$10="Radiology",'Reference Costs Output (2)'!E91,IF($B$10="Rehabilitation",'Reference Costs Output (2)'!E101,IF($B$10="Renal Dialysis",'Reference Costs Output (2)'!E111,IF($B$10="Specialist Services",'Reference Costs Output (2)'!E121,IF($B$10="Opth&amp;Dentistry",'Reference Costs Output (2)'!E131,'Reference Costs Output (2)'!E138)))))))))))))</f>
        <v>290850067</v>
      </c>
      <c r="D14" s="319">
        <f>IF($B$10="A&amp;E Services",'Reference Costs Output (2)'!F10,IF($B$10="Chemo/Radiotherapy &amp; High Cost Drugs ",'Reference Costs Output (2)'!F21,IF($B$10="Community Care",'Reference Costs Output (2)'!F31,IF($B$10="Diagnostic Tests",'Reference Costs Output (2)'!F41,IF($B$10="Hospital and Non-Admitted Mental Health",'Reference Costs Output (2)'!F51,IF($B$10="Hospital/Patient Transport Sheme",'Reference Costs Output (2)'!F61,IF($B$10="Reference Costs Activities",'Reference Costs Output (2)'!F71,IF($B$10="Outpatient",'Reference Costs Output (2)'!F81,IF($B$10="Radiology",'Reference Costs Output (2)'!F91,IF($B$10="Rehabilitation",'Reference Costs Output (2)'!F101,IF($B$10="Renal Dialysis",'Reference Costs Output (2)'!F111,IF($B$10="Specialist Services",'Reference Costs Output (2)'!F121,IF($B$10="Opth&amp;Dentistry",'Reference Costs Output (2)'!F131,'Reference Costs Output (2)'!F138)))))))))))))</f>
        <v>9236600997</v>
      </c>
      <c r="E14" s="339">
        <f>IF(C14="N/A","N/A",D14/C14)</f>
        <v>31.757259306390328</v>
      </c>
      <c r="F14" s="505"/>
      <c r="G14" s="648"/>
      <c r="H14" s="648"/>
      <c r="I14" s="506" t="str">
        <f>IF($B$10="A&amp;E Services",'Reference Costs Output (2)'!J10,IF($B$10="Chemo/Radiotherapy &amp; High Cost Drugs ",'Reference Costs Output (2)'!J21,IF($B$10="Community Care",'Reference Costs Output (2)'!G31,IF($B$10="Diagnostic Tests",'Reference Costs Output (2)'!J41,IF($B$10="Hospital and Non-Admitted Mental Health",'Reference Costs Output (2)'!K41,IF($B$10="Hospital/Patient Transport Sheme",'Reference Costs Output (2)'!J61,IF($B$10="Reference Costs Activities",'Reference Costs Output (2)'!J71,IF($B$10="Outpatient",'Reference Costs Output (2)'!J81,IF($B$10="Radiology",'Reference Costs Output (2)'!J91,IF($B$10="Rehabilitation",'Reference Costs Output (2)'!J101,IF($B$10="Renal Dialysis",'Reference Costs Output (2)'!J111,IF($B$10="Specialist Services",'Reference Costs Output (2)'!J121,IF($B$10="Opth&amp;Dentistry",'Reference Costs Output (2)'!J131,'Reference Costs Output (2)'!J138)))))))))))))</f>
        <v>N/A</v>
      </c>
      <c r="J14" s="262"/>
      <c r="K14" s="262"/>
      <c r="N14" s="8"/>
      <c r="O14" s="8"/>
      <c r="P14" s="8"/>
      <c r="Q14" s="8"/>
    </row>
    <row r="15" spans="2:22" x14ac:dyDescent="0.25">
      <c r="B15" s="655" t="s">
        <v>75</v>
      </c>
      <c r="C15" s="319">
        <f>IF($B$10="A&amp;E Services",'Reference Costs Output (2)'!E11,IF($B$10="Chemo/Radiotherapy &amp; High Cost Drugs ",'Reference Costs Output (2)'!E22,IF($B$10="Community Care",'Reference Costs Output (2)'!E32,IF($B$10="Diagnostic Tests",'Reference Costs Output (2)'!E42,IF($B$10="Hospital and Non-Admitted Mental Health",'Reference Costs Output (2)'!E52,IF($B$10="Hospital/Patient Transport Sheme",'Reference Costs Output (2)'!E62,IF($B$10="Reference Costs Activities",'Reference Costs Output (2)'!E72,IF($B$10="Outpatient",'Reference Costs Output (2)'!E82,IF($B$10="Radiology",'Reference Costs Output (2)'!E92,IF($B$10="Rehabilitation",'Reference Costs Output (2)'!E102,IF($B$10="Renal Dialysis",'Reference Costs Output (2)'!E112,IF($B$10="Specialist Services",'Reference Costs Output (2)'!E122,IF($B$10="Opth&amp;Dentistry",'Reference Costs Output (2)'!E132,'Reference Costs Output (2)'!E139)))))))))))))</f>
        <v>317944597</v>
      </c>
      <c r="D15" s="319">
        <f>IF($B$10="A&amp;E Services",'Reference Costs Output (2)'!F11,IF($B$10="Chemo/Radiotherapy &amp; High Cost Drugs ",'Reference Costs Output (2)'!F22,IF($B$10="Community Care",'Reference Costs Output (2)'!F32,IF($B$10="Diagnostic Tests",'Reference Costs Output (2)'!F42,IF($B$10="Hospital and Non-Admitted Mental Health",'Reference Costs Output (2)'!F52,IF($B$10="Hospital/Patient Transport Sheme",'Reference Costs Output (2)'!F62,IF($B$10="Reference Costs Activities",'Reference Costs Output (2)'!F72,IF($B$10="Outpatient",'Reference Costs Output (2)'!F82,IF($B$10="Radiology",'Reference Costs Output (2)'!F92,IF($B$10="Rehabilitation",'Reference Costs Output (2)'!F102,IF($B$10="Renal Dialysis",'Reference Costs Output (2)'!F112,IF($B$10="Specialist Services",'Reference Costs Output (2)'!F122,IF($B$10="Opth&amp;Dentistry",'Reference Costs Output (2)'!F132,'Reference Costs Output (2)'!F139)))))))))))))</f>
        <v>10239082145</v>
      </c>
      <c r="E15" s="339">
        <f>IF(C15="N/A","N/A",D15/C15)</f>
        <v>32.203982208258758</v>
      </c>
      <c r="F15" s="505">
        <f t="shared" ref="F15:F17" si="0">I15</f>
        <v>9.3156347803076134E-2</v>
      </c>
      <c r="G15" s="648"/>
      <c r="H15" s="648"/>
      <c r="I15" s="506">
        <f>IF($B$10="A&amp;E Services",'Reference Costs Output (2)'!J11,IF($B$10="Chemo/Radiotherapy &amp; High Cost Drugs ",'Reference Costs Output (2)'!J22,IF($B$10="Community Care",'Reference Costs Output (2)'!G32,IF($B$10="Diagnostic Tests",'Reference Costs Output (2)'!J42,IF($B$10="Hospital and Non-Admitted Mental Health",'Reference Costs Output (2)'!K42,IF($B$10="Hospital/Patient Transport Sheme",'Reference Costs Output (2)'!J62,IF($B$10="Reference Costs Activities",'Reference Costs Output (2)'!J72,IF($B$10="Outpatient",'Reference Costs Output (2)'!J82,IF($B$10="Radiology",'Reference Costs Output (2)'!J92,IF($B$10="Rehabilitation",'Reference Costs Output (2)'!J102,IF($B$10="Renal Dialysis",'Reference Costs Output (2)'!J112,IF($B$10="Specialist Services",'Reference Costs Output (2)'!J122,IF($B$10="Opth&amp;Dentistry",'Reference Costs Output (2)'!J132,'Reference Costs Output (2)'!J139)))))))))))))</f>
        <v>9.3156347803076134E-2</v>
      </c>
      <c r="J15" s="262"/>
      <c r="K15" s="262"/>
      <c r="N15" s="8"/>
      <c r="O15" s="8"/>
      <c r="P15" s="8"/>
      <c r="Q15" s="8"/>
    </row>
    <row r="16" spans="2:22" x14ac:dyDescent="0.25">
      <c r="B16" s="655" t="s">
        <v>76</v>
      </c>
      <c r="C16" s="319">
        <f>IF($B$10="A&amp;E Services",'Reference Costs Output (2)'!E12,IF($B$10="Chemo/Radiotherapy &amp; High Cost Drugs ",'Reference Costs Output (2)'!E23,IF($B$10="Community Care",'Reference Costs Output (2)'!E33,IF($B$10="Diagnostic Tests",'Reference Costs Output (2)'!E43,IF($B$10="Hospital and Non-Admitted Mental Health",'Reference Costs Output (2)'!E53,IF($B$10="Hospital/Patient Transport Sheme",'Reference Costs Output (2)'!E63,IF($B$10="Reference Costs Activities",'Reference Costs Output (2)'!E73,IF($B$10="Outpatient",'Reference Costs Output (2)'!E83,IF($B$10="Radiology",'Reference Costs Output (2)'!E93,IF($B$10="Rehabilitation",'Reference Costs Output (2)'!E103,IF($B$10="Renal Dialysis",'Reference Costs Output (2)'!E113,IF($B$10="Specialist Services",'Reference Costs Output (2)'!E123,IF($B$10="Opth&amp;Dentistry",'Reference Costs Output (2)'!E133,'Reference Costs Output (2)'!E140)))))))))))))</f>
        <v>359444019</v>
      </c>
      <c r="D16" s="319">
        <f>IF($B$10="A&amp;E Services",'Reference Costs Output (2)'!F12,IF($B$10="Chemo/Radiotherapy &amp; High Cost Drugs ",'Reference Costs Output (2)'!F23,IF($B$10="Community Care",'Reference Costs Output (2)'!F33,IF($B$10="Diagnostic Tests",'Reference Costs Output (2)'!F43,IF($B$10="Hospital and Non-Admitted Mental Health",'Reference Costs Output (2)'!F53,IF($B$10="Hospital/Patient Transport Sheme",'Reference Costs Output (2)'!F63,IF($B$10="Reference Costs Activities",'Reference Costs Output (2)'!F73,IF($B$10="Outpatient",'Reference Costs Output (2)'!F83,IF($B$10="Radiology",'Reference Costs Output (2)'!F93,IF($B$10="Rehabilitation",'Reference Costs Output (2)'!F103,IF($B$10="Renal Dialysis",'Reference Costs Output (2)'!F113,IF($B$10="Specialist Services",'Reference Costs Output (2)'!F123,IF($B$10="Opth&amp;Dentistry",'Reference Costs Output (2)'!F133,'Reference Costs Output (2)'!F140)))))))))))))</f>
        <v>12049482351</v>
      </c>
      <c r="E16" s="339">
        <f t="shared" ref="E16:E20" si="1">IF(C16="N/A","N/A",D16/C16)</f>
        <v>33.522556264874169</v>
      </c>
      <c r="F16" s="505">
        <f t="shared" si="0"/>
        <v>0.13052406737391431</v>
      </c>
      <c r="G16" s="648"/>
      <c r="H16" s="648"/>
      <c r="I16" s="506">
        <f>IF($B$10="A&amp;E Services",'Reference Costs Output (2)'!J12,IF($B$10="Chemo/Radiotherapy &amp; High Cost Drugs ",'Reference Costs Output (2)'!J23,IF($B$10="Community Care",'Reference Costs Output (2)'!G33,IF($B$10="Diagnostic Tests",'Reference Costs Output (2)'!J43,IF($B$10="Hospital and Non-Admitted Mental Health",'Reference Costs Output (2)'!K43,IF($B$10="Hospital/Patient Transport Sheme",'Reference Costs Output (2)'!J63,IF($B$10="Reference Costs Activities",'Reference Costs Output (2)'!J73,IF($B$10="Outpatient",'Reference Costs Output (2)'!J83,IF($B$10="Radiology",'Reference Costs Output (2)'!J93,IF($B$10="Rehabilitation",'Reference Costs Output (2)'!J103,IF($B$10="Renal Dialysis",'Reference Costs Output (2)'!J113,IF($B$10="Specialist Services",'Reference Costs Output (2)'!J123,IF($B$10="Opth&amp;Dentistry",'Reference Costs Output (2)'!J133,'Reference Costs Output (2)'!J140)))))))))))))</f>
        <v>0.13052406737391431</v>
      </c>
      <c r="J16" s="262"/>
      <c r="K16" s="262"/>
      <c r="N16" s="8"/>
      <c r="O16" s="8"/>
      <c r="P16" s="8"/>
      <c r="Q16" s="8"/>
    </row>
    <row r="17" spans="1:22" x14ac:dyDescent="0.25">
      <c r="B17" s="655" t="s">
        <v>4</v>
      </c>
      <c r="C17" s="319">
        <f>IF($B$10="A&amp;E Services",'Reference Costs Output (2)'!E13,IF($B$10="Chemo/Radiotherapy &amp; High Cost Drugs ",'Reference Costs Output (2)'!E24,IF($B$10="Community Care",'Reference Costs Output (2)'!E34,IF($B$10="Diagnostic Tests",'Reference Costs Output (2)'!E44,IF($B$10="Hospital and Non-Admitted Mental Health",'Reference Costs Output (2)'!E54,IF($B$10="Hospital/Patient Transport Sheme",'Reference Costs Output (2)'!E64,IF($B$10="Reference Costs Activities",'Reference Costs Output (2)'!E74,IF($B$10="Outpatient",'Reference Costs Output (2)'!E84,IF($B$10="Radiology",'Reference Costs Output (2)'!E94,IF($B$10="Rehabilitation",'Reference Costs Output (2)'!E104,IF($B$10="Renal Dialysis",'Reference Costs Output (2)'!E114,IF($B$10="Specialist Services",'Reference Costs Output (2)'!E124,IF($B$10="Opth&amp;Dentistry",'Reference Costs Output (2)'!E134,'Reference Costs Output (2)'!E141)))))))))))))</f>
        <v>369458611</v>
      </c>
      <c r="D17" s="319">
        <f>IF($B$10="A&amp;E Services",'Reference Costs Output (2)'!F13,IF($B$10="Chemo/Radiotherapy &amp; High Cost Drugs ",'Reference Costs Output (2)'!F24,IF($B$10="Community Care",'Reference Costs Output (2)'!F34,IF($B$10="Diagnostic Tests",'Reference Costs Output (2)'!F44,IF($B$10="Hospital and Non-Admitted Mental Health",'Reference Costs Output (2)'!F54,IF($B$10="Hospital/Patient Transport Sheme",'Reference Costs Output (2)'!F64,IF($B$10="Reference Costs Activities",'Reference Costs Output (2)'!F74,IF($B$10="Outpatient",'Reference Costs Output (2)'!F84,IF($B$10="Radiology",'Reference Costs Output (2)'!F94,IF($B$10="Rehabilitation",'Reference Costs Output (2)'!F104,IF($B$10="Renal Dialysis",'Reference Costs Output (2)'!F114,IF($B$10="Specialist Services",'Reference Costs Output (2)'!F124,IF($B$10="Opth&amp;Dentistry",'Reference Costs Output (2)'!F134,'Reference Costs Output (2)'!F141)))))))))))))</f>
        <v>10623346440</v>
      </c>
      <c r="E17" s="339">
        <f t="shared" si="1"/>
        <v>28.753820113290036</v>
      </c>
      <c r="F17" s="505">
        <f t="shared" si="0"/>
        <v>-4.6611667177004379E-2</v>
      </c>
      <c r="G17" s="648"/>
      <c r="H17" s="648"/>
      <c r="I17" s="506">
        <f>IF($B$10="A&amp;E Services",'Reference Costs Output (2)'!J13,IF($B$10="Chemo/Radiotherapy &amp; High Cost Drugs ",'Reference Costs Output (2)'!J24,IF($B$10="Community Care",'Reference Costs Output (2)'!G34,IF($B$10="Diagnostic Tests",'Reference Costs Output (2)'!J44,IF($B$10="Hospital and Non-Admitted Mental Health",'Reference Costs Output (2)'!K44,IF($B$10="Hospital/Patient Transport Sheme",'Reference Costs Output (2)'!J64,IF($B$10="Reference Costs Activities",'Reference Costs Output (2)'!J74,IF($B$10="Outpatient",'Reference Costs Output (2)'!J84,IF($B$10="Radiology",'Reference Costs Output (2)'!J94,IF($B$10="Rehabilitation",'Reference Costs Output (2)'!J104,IF($B$10="Renal Dialysis",'Reference Costs Output (2)'!J114,IF($B$10="Specialist Services",'Reference Costs Output (2)'!J124,IF($B$10="Opth&amp;Dentistry",'Reference Costs Output (2)'!J134,'Reference Costs Output (2)'!J141)))))))))))))</f>
        <v>-4.6611667177004379E-2</v>
      </c>
      <c r="J17" s="262"/>
      <c r="K17" s="262"/>
      <c r="N17" s="8"/>
      <c r="O17" s="8"/>
      <c r="P17" s="8"/>
      <c r="Q17" s="8"/>
    </row>
    <row r="18" spans="1:22" x14ac:dyDescent="0.25">
      <c r="B18" s="655" t="s">
        <v>5</v>
      </c>
      <c r="C18" s="319">
        <f>IF($B$10="A&amp;E Services",'Reference Costs Output (2)'!E14,IF($B$10="Chemo/Radiotherapy &amp; High Cost Drugs ",'Reference Costs Output (2)'!E25,IF($B$10="Community Care",'Reference Costs Output (2)'!E35,IF($B$10="Diagnostic Tests",'Reference Costs Output (2)'!E45,IF($B$10="Hospital and Non-Admitted Mental Health",'Reference Costs Output (2)'!E55,IF($B$10="Hospital/Patient Transport Sheme",'Reference Costs Output (2)'!E65,IF($B$10="Reference Costs Activities",'Reference Costs Output (2)'!E75,IF($B$10="Outpatient",'Reference Costs Output (2)'!E85,IF($B$10="Radiology",'Reference Costs Output (2)'!E95,IF($B$10="Rehabilitation",'Reference Costs Output (2)'!E105,IF($B$10="Renal Dialysis",'Reference Costs Output (2)'!E115,IF($B$10="Specialist Services",'Reference Costs Output (2)'!E125,IF($B$10="Opth&amp;Dentistry",'Reference Costs Output (2)'!E135,'Reference Costs Output (2)'!E142)))))))))))))</f>
        <v>401864132</v>
      </c>
      <c r="D18" s="319">
        <f>IF($B$10="A&amp;E Services",'Reference Costs Output (2)'!F14,IF($B$10="Chemo/Radiotherapy &amp; High Cost Drugs ",'Reference Costs Output (2)'!F25,IF($B$10="Community Care",'Reference Costs Output (2)'!F35,IF($B$10="Diagnostic Tests",'Reference Costs Output (2)'!F45,IF($B$10="Hospital and Non-Admitted Mental Health",'Reference Costs Output (2)'!F55,IF($B$10="Hospital/Patient Transport Sheme",'Reference Costs Output (2)'!F65,IF($B$10="Reference Costs Activities",'Reference Costs Output (2)'!F75,IF($B$10="Outpatient",'Reference Costs Output (2)'!F85,IF($B$10="Radiology",'Reference Costs Output (2)'!F95,IF($B$10="Rehabilitation",'Reference Costs Output (2)'!F105,IF($B$10="Renal Dialysis",'Reference Costs Output (2)'!F115,IF($B$10="Specialist Services",'Reference Costs Output (2)'!F125,IF($B$10="Opth&amp;Dentistry",'Reference Costs Output (2)'!F135,'Reference Costs Output (2)'!F142)))))))))))))</f>
        <v>12162031638.5</v>
      </c>
      <c r="E18" s="339">
        <f t="shared" si="1"/>
        <v>30.264038688827299</v>
      </c>
      <c r="F18" s="505">
        <f t="shared" ref="F18:F20" si="2">I18</f>
        <v>0.11896587226682453</v>
      </c>
      <c r="G18" s="648"/>
      <c r="H18" s="648"/>
      <c r="I18" s="506">
        <f>IF($B$10="A&amp;E Services",'Reference Costs Output (2)'!J14,IF($B$10="Chemo/Radiotherapy &amp; High Cost Drugs ",'Reference Costs Output (2)'!J25,IF($B$10="Community Care",'Reference Costs Output (2)'!G35,IF($B$10="Diagnostic Tests",'Reference Costs Output (2)'!J45,IF($B$10="Hospital and Non-Admitted Mental Health",'Reference Costs Output (2)'!K45,IF($B$10="Hospital/Patient Transport Sheme",'Reference Costs Output (2)'!J65,IF($B$10="Reference Costs Activities",'Reference Costs Output (2)'!J75,IF($B$10="Outpatient",'Reference Costs Output (2)'!J85,IF($B$10="Radiology",'Reference Costs Output (2)'!J95,IF($B$10="Rehabilitation",'Reference Costs Output (2)'!J105,IF($B$10="Renal Dialysis",'Reference Costs Output (2)'!J115,IF($B$10="Specialist Services",'Reference Costs Output (2)'!J125,IF($B$10="Opth&amp;Dentistry",'Reference Costs Output (2)'!J135,'Reference Costs Output (2)'!J142)))))))))))))</f>
        <v>0.11896587226682453</v>
      </c>
      <c r="J18" s="262"/>
      <c r="K18" s="262"/>
      <c r="N18" s="8"/>
      <c r="O18" s="8"/>
      <c r="P18" s="8"/>
      <c r="Q18" s="8"/>
    </row>
    <row r="19" spans="1:22" x14ac:dyDescent="0.25">
      <c r="B19" s="655" t="s">
        <v>6</v>
      </c>
      <c r="C19" s="319">
        <f>IF($B$10="A&amp;E Services",'Reference Costs Output (2)'!E15,IF($B$10="Chemo/Radiotherapy &amp; High Cost Drugs ",'Reference Costs Output (2)'!E26,IF($B$10="Community Care",'Reference Costs Output (2)'!E36,IF($B$10="Diagnostic Tests",'Reference Costs Output (2)'!E46,IF($B$10="Hospital and Non-Admitted Mental Health",'Reference Costs Output (2)'!E56,IF($B$10="Hospital/Patient Transport Sheme",'Reference Costs Output (2)'!E66,IF($B$10="Reference Costs Activities",'Reference Costs Output (2)'!E76,IF($B$10="Outpatient",'Reference Costs Output (2)'!E86,IF($B$10="Radiology",'Reference Costs Output (2)'!E96,IF($B$10="Rehabilitation",'Reference Costs Output (2)'!E106,IF($B$10="Renal Dialysis",'Reference Costs Output (2)'!E116,IF($B$10="Specialist Services",'Reference Costs Output (2)'!E126,IF($B$10="Opth&amp;Dentistry",'Reference Costs Output (2)'!E136,'Reference Costs Output (2)'!E143)))))))))))))</f>
        <v>414123933</v>
      </c>
      <c r="D19" s="319">
        <f>IF($B$10="A&amp;E Services",'Reference Costs Output (2)'!F15,IF($B$10="Chemo/Radiotherapy &amp; High Cost Drugs ",'Reference Costs Output (2)'!F26,IF($B$10="Community Care",'Reference Costs Output (2)'!F36,IF($B$10="Diagnostic Tests",'Reference Costs Output (2)'!F46,IF($B$10="Hospital and Non-Admitted Mental Health",'Reference Costs Output (2)'!F56,IF($B$10="Hospital/Patient Transport Sheme",'Reference Costs Output (2)'!F66,IF($B$10="Reference Costs Activities",'Reference Costs Output (2)'!F76,IF($B$10="Outpatient",'Reference Costs Output (2)'!F86,IF($B$10="Radiology",'Reference Costs Output (2)'!F96,IF($B$10="Rehabilitation",'Reference Costs Output (2)'!F106,IF($B$10="Renal Dialysis",'Reference Costs Output (2)'!F116,IF($B$10="Specialist Services",'Reference Costs Output (2)'!F126,IF($B$10="Opth&amp;Dentistry",'Reference Costs Output (2)'!F136,'Reference Costs Output (2)'!F143)))))))))))))</f>
        <v>13307869308</v>
      </c>
      <c r="E19" s="339">
        <f t="shared" si="1"/>
        <v>32.134992082189079</v>
      </c>
      <c r="F19" s="505">
        <f t="shared" si="2"/>
        <v>5.630057268160793E-2</v>
      </c>
      <c r="G19" s="648"/>
      <c r="H19" s="648"/>
      <c r="I19" s="506">
        <f>IF($B$10="A&amp;E Services",'Reference Costs Output (2)'!J15,IF($B$10="Chemo/Radiotherapy &amp; High Cost Drugs ",'Reference Costs Output (2)'!J26,IF($B$10="Community Care",'Reference Costs Output (2)'!G36,IF($B$10="Diagnostic Tests",'Reference Costs Output (2)'!J46,IF($B$10="Hospital and Non-Admitted Mental Health",'Reference Costs Output (2)'!K46,IF($B$10="Hospital/Patient Transport Sheme",'Reference Costs Output (2)'!J66,IF($B$10="Reference Costs Activities",'Reference Costs Output (2)'!J76,IF($B$10="Outpatient",'Reference Costs Output (2)'!J86,IF($B$10="Radiology",'Reference Costs Output (2)'!J96,IF($B$10="Rehabilitation",'Reference Costs Output (2)'!J106,IF($B$10="Renal Dialysis",'Reference Costs Output (2)'!J116,IF($B$10="Specialist Services",'Reference Costs Output (2)'!J126,IF($B$10="Opth&amp;Dentistry",'Reference Costs Output (2)'!J136,'Reference Costs Output (2)'!J143)))))))))))))</f>
        <v>5.630057268160793E-2</v>
      </c>
      <c r="J19" s="262"/>
      <c r="K19" s="262"/>
      <c r="N19" s="8"/>
      <c r="O19" s="8"/>
      <c r="P19" s="8"/>
      <c r="Q19" s="8"/>
    </row>
    <row r="20" spans="1:22" x14ac:dyDescent="0.25">
      <c r="B20" s="655" t="s">
        <v>7</v>
      </c>
      <c r="C20" s="319">
        <f>IF($B$10="A&amp;E Services",'Reference Costs Output (2)'!E16,IF($B$10="Chemo/Radiotherapy &amp; High Cost Drugs ",'Reference Costs Output (2)'!E27,IF($B$10="Community Care",'Reference Costs Output (2)'!E37,IF($B$10="Diagnostic Tests",'Reference Costs Output (2)'!E47,IF($B$10="Hospital and Non-Admitted Mental Health",'Reference Costs Output (2)'!E57,IF($B$10="Hospital/Patient Transport Sheme",'Reference Costs Output (2)'!E67,IF($B$10="Reference Costs Activities",'Reference Costs Output (2)'!E77,IF($B$10="Outpatient",'Reference Costs Output (2)'!E87,IF($B$10="Radiology",'Reference Costs Output (2)'!E97,IF($B$10="Rehabilitation",'Reference Costs Output (2)'!E107,IF($B$10="Renal Dialysis",'Reference Costs Output (2)'!E117,IF($B$10="Specialist Services",'Reference Costs Output (2)'!E127,IF($B$10="Opth&amp;Dentistry",'Reference Costs Output (2)'!E137,'Reference Costs Output (2)'!E144)))))))))))))</f>
        <v>428746070</v>
      </c>
      <c r="D20" s="319">
        <f>IF($B$10="A&amp;E Services",'Reference Costs Output (2)'!F16,IF($B$10="Chemo/Radiotherapy &amp; High Cost Drugs ",'Reference Costs Output (2)'!F27,IF($B$10="Community Care",'Reference Costs Output (2)'!F37,IF($B$10="Diagnostic Tests",'Reference Costs Output (2)'!F47,IF($B$10="Hospital and Non-Admitted Mental Health",'Reference Costs Output (2)'!F57,IF($B$10="Hospital/Patient Transport Sheme",'Reference Costs Output (2)'!F67,IF($B$10="Reference Costs Activities",'Reference Costs Output (2)'!F77,IF($B$10="Outpatient",'Reference Costs Output (2)'!F87,IF($B$10="Radiology",'Reference Costs Output (2)'!F97,IF($B$10="Rehabilitation",'Reference Costs Output (2)'!F107,IF($B$10="Renal Dialysis",'Reference Costs Output (2)'!F117,IF($B$10="Specialist Services",'Reference Costs Output (2)'!F127,IF($B$10="Opth&amp;Dentistry",'Reference Costs Output (2)'!F137,'Reference Costs Output (2)'!F144)))))))))))))</f>
        <v>13629397236.9</v>
      </c>
      <c r="E20" s="339">
        <f t="shared" si="1"/>
        <v>31.788972985571622</v>
      </c>
      <c r="F20" s="505">
        <f t="shared" si="2"/>
        <v>3.5992815327669181E-2</v>
      </c>
      <c r="G20" s="648"/>
      <c r="H20" s="648"/>
      <c r="I20" s="506">
        <f>IF($B$10="A&amp;E Services",'Reference Costs Output (2)'!J16,IF($B$10="Chemo/Radiotherapy &amp; High Cost Drugs ",'Reference Costs Output (2)'!J27,IF($B$10="Community Care",'Reference Costs Output (2)'!G37,IF($B$10="Diagnostic Tests",'Reference Costs Output (2)'!J47,IF($B$10="Hospital and Non-Admitted Mental Health",'Reference Costs Output (2)'!K47,IF($B$10="Hospital/Patient Transport Sheme",'Reference Costs Output (2)'!J67,IF($B$10="Reference Costs Activities",'Reference Costs Output (2)'!J77,IF($B$10="Outpatient",'Reference Costs Output (2)'!J87,IF($B$10="Radiology",'Reference Costs Output (2)'!J97,IF($B$10="Rehabilitation",'Reference Costs Output (2)'!J107,IF($B$10="Renal Dialysis",'Reference Costs Output (2)'!J117,IF($B$10="Specialist Services",'Reference Costs Output (2)'!J127,IF($B$10="Opth&amp;Dentistry",'Reference Costs Output (2)'!J137,'Reference Costs Output (2)'!J144)))))))))))))</f>
        <v>3.5992815327669181E-2</v>
      </c>
      <c r="J20" s="262"/>
      <c r="K20" s="262"/>
    </row>
    <row r="21" spans="1:22" x14ac:dyDescent="0.25">
      <c r="B21" s="281"/>
      <c r="C21" s="651"/>
      <c r="D21" s="281"/>
      <c r="E21" s="281"/>
      <c r="F21" s="606"/>
      <c r="G21" s="262"/>
      <c r="H21" s="262"/>
      <c r="I21" s="470"/>
      <c r="J21" s="469"/>
      <c r="K21" s="263"/>
      <c r="L21" s="8"/>
    </row>
    <row r="22" spans="1:22" x14ac:dyDescent="0.25">
      <c r="B22" s="236"/>
      <c r="C22" s="236"/>
      <c r="D22" s="236"/>
      <c r="E22" s="236"/>
      <c r="F22" s="236"/>
      <c r="G22" s="262"/>
      <c r="H22" s="262"/>
      <c r="I22" s="264"/>
      <c r="J22" s="265"/>
      <c r="K22" s="265"/>
      <c r="L22" s="263"/>
    </row>
    <row r="23" spans="1:22" x14ac:dyDescent="0.25">
      <c r="B23" s="279" t="s">
        <v>545</v>
      </c>
      <c r="C23" s="236"/>
      <c r="D23" s="236"/>
      <c r="E23" s="236"/>
      <c r="F23" s="236"/>
      <c r="G23" s="262"/>
      <c r="H23" s="262"/>
      <c r="I23" s="264"/>
      <c r="J23" s="265"/>
      <c r="K23" s="265"/>
      <c r="L23" s="263"/>
    </row>
    <row r="24" spans="1:22" ht="23.25" customHeight="1" x14ac:dyDescent="0.25">
      <c r="B24" s="236"/>
      <c r="C24" s="236"/>
      <c r="D24" s="236"/>
      <c r="E24" s="236"/>
      <c r="F24" s="236"/>
      <c r="G24" s="262"/>
      <c r="H24" s="262"/>
      <c r="I24" s="266"/>
      <c r="J24" s="265">
        <f>C14/C$14</f>
        <v>1</v>
      </c>
      <c r="K24" s="265">
        <f>D14/D$14</f>
        <v>1</v>
      </c>
      <c r="L24" s="263"/>
    </row>
    <row r="25" spans="1:22" ht="22.5" x14ac:dyDescent="0.25">
      <c r="B25" s="236"/>
      <c r="C25" s="236"/>
      <c r="D25" s="236"/>
      <c r="E25" s="236"/>
      <c r="F25" s="236"/>
      <c r="G25" s="262"/>
      <c r="H25" s="262"/>
      <c r="I25" s="266"/>
      <c r="J25" s="265">
        <f t="shared" ref="J25:K30" si="3">C15/C$14</f>
        <v>1.0931563478030761</v>
      </c>
      <c r="K25" s="265">
        <f t="shared" si="3"/>
        <v>1.1085335556148415</v>
      </c>
      <c r="L25" s="262"/>
      <c r="S25" s="8"/>
      <c r="T25" s="8"/>
      <c r="U25" s="8"/>
      <c r="V25" s="8"/>
    </row>
    <row r="26" spans="1:22" ht="22.5" x14ac:dyDescent="0.25">
      <c r="G26" s="262"/>
      <c r="H26" s="262"/>
      <c r="I26" s="266"/>
      <c r="J26" s="265">
        <f t="shared" si="3"/>
        <v>1.235839560593947</v>
      </c>
      <c r="K26" s="265">
        <f t="shared" si="3"/>
        <v>1.3045364149554159</v>
      </c>
      <c r="L26" s="262"/>
      <c r="S26" s="8"/>
      <c r="T26" s="8"/>
      <c r="U26" s="8"/>
      <c r="V26" s="8"/>
    </row>
    <row r="27" spans="1:22" ht="22.5" x14ac:dyDescent="0.25">
      <c r="G27" s="262"/>
      <c r="H27" s="262"/>
      <c r="I27" s="266" t="s">
        <v>7</v>
      </c>
      <c r="J27" s="265">
        <f t="shared" si="3"/>
        <v>1.2702717066934697</v>
      </c>
      <c r="K27" s="265">
        <f t="shared" si="3"/>
        <v>1.1501359042628785</v>
      </c>
      <c r="L27" s="262"/>
      <c r="S27" s="8"/>
      <c r="T27" s="8"/>
      <c r="U27" s="8"/>
      <c r="V27" s="8"/>
    </row>
    <row r="28" spans="1:22" x14ac:dyDescent="0.25">
      <c r="A28" s="6"/>
      <c r="G28" s="262"/>
      <c r="H28" s="262"/>
      <c r="I28" s="264"/>
      <c r="J28" s="265">
        <f t="shared" si="3"/>
        <v>1.3816882909640176</v>
      </c>
      <c r="K28" s="265">
        <f t="shared" si="3"/>
        <v>1.3167215561709513</v>
      </c>
      <c r="L28" s="262"/>
      <c r="S28" s="8"/>
      <c r="T28" s="8"/>
      <c r="U28" s="8"/>
      <c r="V28" s="8"/>
    </row>
    <row r="29" spans="1:22" x14ac:dyDescent="0.25">
      <c r="A29" s="5"/>
      <c r="G29" s="262"/>
      <c r="H29" s="262"/>
      <c r="I29" s="264"/>
      <c r="J29" s="265">
        <f t="shared" si="3"/>
        <v>1.4238399092409355</v>
      </c>
      <c r="K29" s="265">
        <f t="shared" si="3"/>
        <v>1.4407755961659843</v>
      </c>
      <c r="L29" s="262"/>
      <c r="S29" s="8"/>
      <c r="T29" s="8"/>
      <c r="U29" s="8"/>
      <c r="V29" s="8"/>
    </row>
    <row r="30" spans="1:22" x14ac:dyDescent="0.25">
      <c r="A30" s="5"/>
      <c r="G30" s="262"/>
      <c r="H30" s="262"/>
      <c r="I30" s="262"/>
      <c r="J30" s="265">
        <f t="shared" si="3"/>
        <v>1.4741137054646096</v>
      </c>
      <c r="K30" s="265">
        <f t="shared" si="3"/>
        <v>1.4755857962606327</v>
      </c>
      <c r="L30" s="262"/>
    </row>
    <row r="31" spans="1:22" ht="23.25" customHeight="1" x14ac:dyDescent="0.25">
      <c r="A31" s="5"/>
      <c r="G31" s="262"/>
      <c r="H31" s="262"/>
      <c r="I31" s="262"/>
      <c r="J31" s="262"/>
      <c r="K31" s="262"/>
      <c r="L31" s="262"/>
    </row>
    <row r="32" spans="1:22" x14ac:dyDescent="0.25">
      <c r="A32" s="5"/>
      <c r="G32" s="262"/>
      <c r="H32" s="262"/>
      <c r="I32" s="262"/>
      <c r="J32" s="262"/>
      <c r="K32" s="262"/>
      <c r="L32" s="262"/>
    </row>
    <row r="33" spans="1:11" x14ac:dyDescent="0.25">
      <c r="A33" s="5"/>
      <c r="G33" s="262"/>
      <c r="H33" s="262"/>
      <c r="I33" s="262"/>
      <c r="J33" s="262"/>
      <c r="K33" s="262"/>
    </row>
    <row r="34" spans="1:11" x14ac:dyDescent="0.25">
      <c r="A34" s="5"/>
      <c r="G34" s="262"/>
      <c r="H34" s="262"/>
      <c r="I34" s="262"/>
      <c r="J34" s="262"/>
      <c r="K34" s="262"/>
    </row>
    <row r="35" spans="1:11" x14ac:dyDescent="0.25">
      <c r="A35" s="5"/>
      <c r="G35" s="262"/>
      <c r="H35" s="262"/>
      <c r="I35" s="262"/>
      <c r="J35" s="262"/>
      <c r="K35" s="262"/>
    </row>
    <row r="36" spans="1:11" x14ac:dyDescent="0.25">
      <c r="A36" s="5"/>
      <c r="G36" s="262"/>
      <c r="H36" s="262"/>
      <c r="I36" s="262"/>
      <c r="J36" s="262"/>
      <c r="K36" s="262"/>
    </row>
    <row r="37" spans="1:11" x14ac:dyDescent="0.25">
      <c r="A37" s="5"/>
      <c r="G37" s="262"/>
      <c r="H37" s="262"/>
      <c r="I37" s="262"/>
      <c r="J37" s="262"/>
      <c r="K37" s="262"/>
    </row>
    <row r="38" spans="1:11" ht="23.25" customHeight="1" x14ac:dyDescent="0.25">
      <c r="A38" s="5"/>
    </row>
    <row r="45" spans="1:11" ht="23.25" customHeight="1" x14ac:dyDescent="0.25"/>
    <row r="59" ht="23.25" customHeight="1" x14ac:dyDescent="0.25"/>
    <row r="66" ht="23.25" customHeight="1" x14ac:dyDescent="0.25"/>
    <row r="73" ht="23.25" customHeight="1" x14ac:dyDescent="0.25"/>
    <row r="80" ht="23.25" customHeight="1" x14ac:dyDescent="0.25"/>
    <row r="87" ht="23.25" customHeight="1" x14ac:dyDescent="0.25"/>
    <row r="95" ht="23.25" customHeight="1" x14ac:dyDescent="0.25"/>
  </sheetData>
  <dataConsolidate/>
  <customSheetViews>
    <customSheetView guid="{9EA95E61-FCA5-4867-AEB4-B8C24058ACDD}" showGridLines="0" showRowCol="0">
      <selection activeCell="H21" sqref="H21"/>
      <pageMargins left="0.7" right="0.7" top="0.75" bottom="0.75" header="0.3" footer="0.3"/>
      <pageSetup paperSize="9" orientation="portrait" r:id="rId1"/>
    </customSheetView>
  </customSheetViews>
  <mergeCells count="1">
    <mergeCell ref="B10:F10"/>
  </mergeCells>
  <dataValidations count="3">
    <dataValidation allowBlank="1" showInputMessage="1" showErrorMessage="1" promptTitle="Qt" prompt="Quantity_x000a_" sqref="C13"/>
    <dataValidation allowBlank="1" showInputMessage="1" showErrorMessage="1" promptTitle="QtPt" prompt="Total cost=quantity multiplied by unit cost" sqref="D13:F13"/>
    <dataValidation type="list" allowBlank="1" showInputMessage="1" showErrorMessage="1" sqref="B10:F10">
      <formula1>new_ref_cetegories</formula1>
    </dataValidation>
  </dataValidations>
  <pageMargins left="0.7" right="0.7" top="0.75" bottom="0.75" header="0.3" footer="0.3"/>
  <pageSetup paperSize="9"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4:T66"/>
  <sheetViews>
    <sheetView showGridLines="0" showRowColHeaders="0" zoomScaleNormal="100" workbookViewId="0">
      <selection activeCell="N24" sqref="N24"/>
    </sheetView>
  </sheetViews>
  <sheetFormatPr defaultRowHeight="15" x14ac:dyDescent="0.25"/>
  <cols>
    <col min="2" max="2" width="12.85546875" customWidth="1"/>
    <col min="3" max="8" width="6.7109375" customWidth="1"/>
    <col min="9" max="10" width="7.42578125" customWidth="1"/>
    <col min="11" max="11" width="4.5703125" customWidth="1"/>
    <col min="12" max="12" width="9.5703125" customWidth="1"/>
    <col min="13" max="13" width="5.7109375" customWidth="1"/>
    <col min="14" max="14" width="9.5703125" customWidth="1"/>
    <col min="15" max="15" width="5.7109375" customWidth="1"/>
    <col min="16" max="16" width="8.85546875" customWidth="1"/>
    <col min="17" max="17" width="4.5703125" customWidth="1"/>
    <col min="18" max="18" width="8.85546875" customWidth="1"/>
    <col min="19" max="19" width="4.5703125" customWidth="1"/>
  </cols>
  <sheetData>
    <row r="4" spans="2:18" ht="30" x14ac:dyDescent="0.4">
      <c r="B4" s="2" t="s">
        <v>222</v>
      </c>
    </row>
    <row r="5" spans="2:18" x14ac:dyDescent="0.25">
      <c r="B5" s="279"/>
      <c r="C5" s="281"/>
      <c r="D5" s="281"/>
      <c r="E5" s="281"/>
      <c r="F5" s="281"/>
      <c r="G5" s="281"/>
      <c r="H5" s="281"/>
    </row>
    <row r="6" spans="2:18" ht="23.25" customHeight="1" x14ac:dyDescent="0.25">
      <c r="B6" s="279"/>
    </row>
    <row r="7" spans="2:18" x14ac:dyDescent="0.25">
      <c r="C7" s="690" t="s">
        <v>74</v>
      </c>
      <c r="D7" s="690"/>
      <c r="E7" s="690" t="s">
        <v>75</v>
      </c>
      <c r="F7" s="690"/>
      <c r="G7" s="690" t="s">
        <v>76</v>
      </c>
      <c r="H7" s="690"/>
      <c r="I7" s="690" t="s">
        <v>4</v>
      </c>
      <c r="J7" s="690"/>
      <c r="K7" s="690" t="s">
        <v>5</v>
      </c>
      <c r="L7" s="690"/>
      <c r="M7" s="690" t="s">
        <v>6</v>
      </c>
      <c r="N7" s="690"/>
      <c r="O7" s="690" t="s">
        <v>358</v>
      </c>
      <c r="P7" s="690"/>
      <c r="Q7" s="690" t="s">
        <v>359</v>
      </c>
      <c r="R7" s="690"/>
    </row>
    <row r="8" spans="2:18" ht="30.75" thickBot="1" x14ac:dyDescent="0.3">
      <c r="C8" s="346" t="s">
        <v>360</v>
      </c>
      <c r="D8" s="346" t="s">
        <v>361</v>
      </c>
      <c r="E8" s="346" t="s">
        <v>360</v>
      </c>
      <c r="F8" s="346" t="s">
        <v>361</v>
      </c>
      <c r="G8" s="346" t="s">
        <v>360</v>
      </c>
      <c r="H8" s="346" t="s">
        <v>361</v>
      </c>
      <c r="I8" s="346" t="s">
        <v>360</v>
      </c>
      <c r="J8" s="346" t="s">
        <v>361</v>
      </c>
      <c r="K8" s="346" t="s">
        <v>360</v>
      </c>
      <c r="L8" s="346" t="s">
        <v>361</v>
      </c>
      <c r="M8" s="346" t="s">
        <v>360</v>
      </c>
      <c r="N8" s="346" t="s">
        <v>361</v>
      </c>
      <c r="O8" s="346" t="s">
        <v>360</v>
      </c>
      <c r="P8" s="346" t="s">
        <v>361</v>
      </c>
    </row>
    <row r="9" spans="2:18" x14ac:dyDescent="0.25">
      <c r="B9" s="347" t="s">
        <v>362</v>
      </c>
      <c r="C9" s="348">
        <v>5800</v>
      </c>
      <c r="D9" s="349">
        <v>6000</v>
      </c>
      <c r="E9" s="349">
        <v>5900</v>
      </c>
      <c r="F9" s="350">
        <v>5900</v>
      </c>
      <c r="G9" s="351">
        <v>6000</v>
      </c>
      <c r="H9" s="349">
        <v>6000</v>
      </c>
      <c r="I9" s="349">
        <v>120</v>
      </c>
      <c r="J9" s="349" t="e">
        <f>H9/#REF!*$I$11</f>
        <v>#REF!</v>
      </c>
      <c r="K9" s="349">
        <v>120</v>
      </c>
      <c r="L9" s="349" t="e">
        <f>H9/#REF!*$K$11</f>
        <v>#REF!</v>
      </c>
      <c r="M9" s="352">
        <v>121</v>
      </c>
    </row>
    <row r="10" spans="2:18" x14ac:dyDescent="0.25">
      <c r="B10" s="353" t="s">
        <v>363</v>
      </c>
      <c r="C10" s="354">
        <v>12500</v>
      </c>
      <c r="D10" s="355">
        <v>14000</v>
      </c>
      <c r="E10" s="355">
        <v>15100</v>
      </c>
      <c r="F10" s="356">
        <v>16200</v>
      </c>
      <c r="G10" s="357">
        <v>18700</v>
      </c>
      <c r="H10" s="355">
        <v>18700</v>
      </c>
      <c r="I10" s="355">
        <v>22</v>
      </c>
      <c r="J10" s="355" t="e">
        <f>H10/#REF!*$I$11</f>
        <v>#REF!</v>
      </c>
      <c r="K10" s="355">
        <v>22</v>
      </c>
      <c r="L10" s="355" t="e">
        <f>H10/#REF!*$K$11</f>
        <v>#REF!</v>
      </c>
      <c r="M10" s="358">
        <v>22</v>
      </c>
    </row>
    <row r="11" spans="2:18" x14ac:dyDescent="0.25">
      <c r="B11" s="353" t="s">
        <v>364</v>
      </c>
      <c r="C11" s="354">
        <v>148300</v>
      </c>
      <c r="D11" s="355">
        <v>153900</v>
      </c>
      <c r="E11" s="355">
        <v>156600</v>
      </c>
      <c r="F11" s="356">
        <v>155800</v>
      </c>
      <c r="G11" s="357">
        <v>158800</v>
      </c>
      <c r="H11" s="355">
        <v>158800</v>
      </c>
      <c r="I11" s="355">
        <v>36</v>
      </c>
      <c r="J11" s="355" t="e">
        <f>H11/#REF!*$I$11</f>
        <v>#REF!</v>
      </c>
      <c r="K11" s="355">
        <v>36</v>
      </c>
      <c r="L11" s="355" t="e">
        <f>H11/#REF!*$K$11</f>
        <v>#REF!</v>
      </c>
      <c r="M11" s="358">
        <v>36</v>
      </c>
    </row>
    <row r="12" spans="2:18" x14ac:dyDescent="0.25">
      <c r="B12" s="353" t="s">
        <v>365</v>
      </c>
      <c r="C12" s="354">
        <v>4200</v>
      </c>
      <c r="D12" s="355">
        <v>4800</v>
      </c>
      <c r="E12" s="355">
        <v>5000</v>
      </c>
      <c r="F12" s="356">
        <v>4800</v>
      </c>
      <c r="G12" s="357">
        <v>5500</v>
      </c>
      <c r="H12" s="355">
        <v>5500</v>
      </c>
      <c r="I12" s="355">
        <v>36</v>
      </c>
      <c r="J12" s="355" t="e">
        <f>H12/#REF!*$I$11</f>
        <v>#REF!</v>
      </c>
      <c r="K12" s="355">
        <v>36</v>
      </c>
      <c r="L12" s="355" t="e">
        <f>H12/#REF!*$K$11</f>
        <v>#REF!</v>
      </c>
      <c r="M12" s="358">
        <v>36</v>
      </c>
    </row>
    <row r="13" spans="2:18" x14ac:dyDescent="0.25">
      <c r="B13" s="353" t="s">
        <v>366</v>
      </c>
      <c r="C13" s="354">
        <v>84600</v>
      </c>
      <c r="D13" s="355">
        <v>93700</v>
      </c>
      <c r="E13" s="355">
        <v>99000</v>
      </c>
      <c r="F13" s="356">
        <v>98500</v>
      </c>
      <c r="G13" s="357">
        <v>100600</v>
      </c>
      <c r="H13" s="355">
        <v>100600</v>
      </c>
      <c r="I13" s="355">
        <v>12</v>
      </c>
      <c r="J13" s="355" t="e">
        <f>H13/#REF!*$I$11</f>
        <v>#REF!</v>
      </c>
      <c r="K13" s="355">
        <v>12</v>
      </c>
      <c r="L13" s="355" t="e">
        <f>H13/#REF!*$K$11</f>
        <v>#REF!</v>
      </c>
      <c r="M13" s="358">
        <v>13</v>
      </c>
    </row>
    <row r="14" spans="2:18" ht="15.75" thickBot="1" x14ac:dyDescent="0.3">
      <c r="B14" s="353" t="s">
        <v>367</v>
      </c>
      <c r="C14" s="354">
        <v>10200</v>
      </c>
      <c r="D14" s="355">
        <v>10700</v>
      </c>
      <c r="E14" s="355">
        <v>11400</v>
      </c>
      <c r="F14" s="356">
        <v>11300</v>
      </c>
      <c r="G14" s="357">
        <v>10800</v>
      </c>
      <c r="H14" s="355">
        <v>10800</v>
      </c>
      <c r="I14" s="355">
        <v>17</v>
      </c>
      <c r="J14" s="355" t="e">
        <f>H14/#REF!*$I$11</f>
        <v>#REF!</v>
      </c>
      <c r="K14" s="355">
        <v>17</v>
      </c>
      <c r="L14" s="355" t="e">
        <f>H14/#REF!*$K$11</f>
        <v>#REF!</v>
      </c>
      <c r="M14" s="358">
        <v>35</v>
      </c>
    </row>
    <row r="15" spans="2:18" ht="15.75" thickBot="1" x14ac:dyDescent="0.3">
      <c r="B15" s="359" t="s">
        <v>48</v>
      </c>
      <c r="C15" s="360">
        <f>SUM(C9:C14)</f>
        <v>265600</v>
      </c>
      <c r="D15" s="362">
        <f t="shared" ref="D15:E15" si="0">SUM(D9:D14)</f>
        <v>283100</v>
      </c>
      <c r="E15" s="362">
        <f t="shared" si="0"/>
        <v>293000</v>
      </c>
      <c r="F15" s="361"/>
      <c r="G15" s="362"/>
      <c r="H15" s="361" t="e">
        <f>SUMPRODUCT(#REF!,F9:F14)/G15</f>
        <v>#REF!</v>
      </c>
      <c r="I15" s="362" t="e">
        <f>SUM(#REF!)</f>
        <v>#REF!</v>
      </c>
      <c r="J15" s="361" t="e">
        <f>SUMPRODUCT(#REF!,#REF!)/I15</f>
        <v>#REF!</v>
      </c>
      <c r="K15" s="362">
        <f>SUM(G9:G14)</f>
        <v>300400</v>
      </c>
      <c r="L15" s="361" t="e">
        <f>SUMPRODUCT(G9:G14,#REF!)/K15</f>
        <v>#REF!</v>
      </c>
      <c r="M15" s="362">
        <f>SUM(H9:H14)</f>
        <v>300400</v>
      </c>
      <c r="N15" s="361">
        <f>SUMPRODUCT(H9:H14,I9:I14)/M15</f>
        <v>28.085885486018643</v>
      </c>
      <c r="O15" s="362">
        <v>272963.76417304215</v>
      </c>
      <c r="P15" s="361" t="e">
        <f>SUMPRODUCT(J9:J14,K9:K14)/O15</f>
        <v>#REF!</v>
      </c>
      <c r="Q15" s="362">
        <v>292567.30253754038</v>
      </c>
      <c r="R15" s="363" t="e">
        <f>SUMPRODUCT(L9:L14,M9:M14)/Q15</f>
        <v>#REF!</v>
      </c>
    </row>
    <row r="16" spans="2:18" x14ac:dyDescent="0.25">
      <c r="B16" s="279"/>
      <c r="L16" s="8"/>
      <c r="M16" s="8"/>
      <c r="N16" s="8"/>
      <c r="O16" s="8"/>
    </row>
    <row r="17" spans="1:20" x14ac:dyDescent="0.25">
      <c r="B17" s="279"/>
      <c r="C17" s="369" t="s">
        <v>74</v>
      </c>
      <c r="D17" s="369" t="s">
        <v>75</v>
      </c>
      <c r="E17" s="367" t="s">
        <v>76</v>
      </c>
      <c r="F17" s="367" t="s">
        <v>4</v>
      </c>
      <c r="G17" s="367" t="s">
        <v>5</v>
      </c>
      <c r="H17" s="367" t="s">
        <v>6</v>
      </c>
      <c r="I17" s="367" t="s">
        <v>358</v>
      </c>
      <c r="J17" s="367" t="s">
        <v>359</v>
      </c>
      <c r="K17" s="8"/>
      <c r="L17" s="8"/>
      <c r="M17" s="8"/>
    </row>
    <row r="18" spans="1:20" x14ac:dyDescent="0.25">
      <c r="B18" s="279"/>
      <c r="C18" s="368">
        <v>69</v>
      </c>
      <c r="D18" s="368">
        <v>69</v>
      </c>
      <c r="E18" s="368">
        <v>55</v>
      </c>
      <c r="F18" s="368">
        <v>58</v>
      </c>
      <c r="G18" s="368">
        <v>117</v>
      </c>
      <c r="H18" s="368">
        <v>120</v>
      </c>
      <c r="I18" s="368">
        <v>120</v>
      </c>
      <c r="J18" s="368">
        <v>121</v>
      </c>
      <c r="L18" s="8"/>
      <c r="M18" s="8"/>
      <c r="N18" s="8"/>
      <c r="O18" s="8"/>
      <c r="P18" t="s">
        <v>368</v>
      </c>
    </row>
    <row r="19" spans="1:20" x14ac:dyDescent="0.25">
      <c r="B19" s="279"/>
      <c r="C19" s="368">
        <v>30</v>
      </c>
      <c r="D19" s="368">
        <v>27</v>
      </c>
      <c r="E19" s="368">
        <v>21</v>
      </c>
      <c r="F19" s="368">
        <v>22</v>
      </c>
      <c r="G19" s="368">
        <v>21</v>
      </c>
      <c r="H19" s="368">
        <v>22</v>
      </c>
      <c r="I19" s="368">
        <v>22</v>
      </c>
      <c r="J19" s="368">
        <v>22</v>
      </c>
      <c r="L19" s="8"/>
      <c r="M19" s="8"/>
      <c r="N19" s="8"/>
      <c r="O19" s="8"/>
      <c r="P19" t="s">
        <v>527</v>
      </c>
    </row>
    <row r="20" spans="1:20" x14ac:dyDescent="0.25">
      <c r="B20" s="279"/>
      <c r="C20" s="368">
        <v>24</v>
      </c>
      <c r="D20" s="368">
        <v>24</v>
      </c>
      <c r="E20" s="368">
        <v>34</v>
      </c>
      <c r="F20" s="368">
        <v>36</v>
      </c>
      <c r="G20" s="368">
        <v>35</v>
      </c>
      <c r="H20" s="368">
        <v>36</v>
      </c>
      <c r="I20" s="368">
        <v>36</v>
      </c>
      <c r="J20" s="368">
        <v>36</v>
      </c>
      <c r="L20" s="8"/>
      <c r="M20" s="8"/>
      <c r="N20" s="8"/>
      <c r="O20" s="8"/>
    </row>
    <row r="21" spans="1:20" x14ac:dyDescent="0.25">
      <c r="B21" s="279"/>
      <c r="C21" s="368">
        <v>24</v>
      </c>
      <c r="D21" s="368">
        <v>24</v>
      </c>
      <c r="E21" s="368">
        <v>34</v>
      </c>
      <c r="F21" s="368">
        <v>36</v>
      </c>
      <c r="G21" s="368">
        <v>35</v>
      </c>
      <c r="H21" s="368">
        <v>36</v>
      </c>
      <c r="I21" s="368">
        <v>36</v>
      </c>
      <c r="J21" s="368">
        <v>36</v>
      </c>
      <c r="L21" s="8"/>
      <c r="M21" s="8"/>
      <c r="N21" s="8"/>
      <c r="O21" s="8"/>
    </row>
    <row r="22" spans="1:20" x14ac:dyDescent="0.25">
      <c r="B22" s="279"/>
      <c r="C22" s="368">
        <v>10</v>
      </c>
      <c r="D22" s="368">
        <v>10</v>
      </c>
      <c r="E22" s="368">
        <v>9</v>
      </c>
      <c r="F22" s="368">
        <v>11</v>
      </c>
      <c r="G22" s="368">
        <v>11</v>
      </c>
      <c r="H22" s="368">
        <v>12</v>
      </c>
      <c r="I22" s="368">
        <v>12</v>
      </c>
      <c r="J22" s="368">
        <v>13</v>
      </c>
      <c r="L22" s="8"/>
      <c r="M22" s="8"/>
      <c r="N22" s="8"/>
      <c r="O22" s="8"/>
    </row>
    <row r="23" spans="1:20" x14ac:dyDescent="0.25">
      <c r="B23" s="281"/>
      <c r="C23" s="368">
        <v>15</v>
      </c>
      <c r="D23" s="368">
        <v>15</v>
      </c>
      <c r="E23" s="368">
        <v>14</v>
      </c>
      <c r="F23" s="368">
        <v>15</v>
      </c>
      <c r="G23" s="368">
        <v>14</v>
      </c>
      <c r="H23" s="368">
        <v>17</v>
      </c>
      <c r="I23" s="368">
        <v>17</v>
      </c>
      <c r="J23" s="368">
        <v>35</v>
      </c>
      <c r="L23" s="8"/>
      <c r="M23" s="8"/>
      <c r="N23" s="8"/>
      <c r="O23" s="8"/>
    </row>
    <row r="24" spans="1:20" x14ac:dyDescent="0.25">
      <c r="A24" s="6"/>
      <c r="B24" s="281"/>
      <c r="C24" s="368">
        <v>20.460090361445783</v>
      </c>
      <c r="D24" s="368">
        <v>20.128223242670433</v>
      </c>
      <c r="E24" s="368">
        <v>24.52764505119454</v>
      </c>
      <c r="F24" s="368">
        <v>26.4382905982906</v>
      </c>
      <c r="G24" s="368">
        <v>26.974034620505993</v>
      </c>
      <c r="H24" s="368">
        <v>28.085885486018643</v>
      </c>
      <c r="I24" s="368">
        <v>28.08588548601864</v>
      </c>
      <c r="J24" s="368">
        <v>29.087882822902792</v>
      </c>
      <c r="L24" s="8"/>
      <c r="M24" s="8"/>
      <c r="N24" s="8"/>
      <c r="O24" s="8"/>
    </row>
    <row r="25" spans="1:20" x14ac:dyDescent="0.25">
      <c r="A25" s="6"/>
      <c r="B25" s="281"/>
      <c r="C25" s="368"/>
      <c r="D25" s="368"/>
      <c r="E25" s="368"/>
      <c r="F25" s="368"/>
      <c r="G25" s="368"/>
      <c r="H25" s="368"/>
      <c r="I25" s="368"/>
      <c r="J25" s="368"/>
      <c r="L25" s="8"/>
      <c r="M25" s="8"/>
      <c r="N25" s="8"/>
      <c r="O25" s="8"/>
    </row>
    <row r="26" spans="1:20" ht="23.25" x14ac:dyDescent="0.3">
      <c r="A26" s="235"/>
      <c r="B26" s="281"/>
      <c r="C26" s="369" t="s">
        <v>74</v>
      </c>
      <c r="D26" s="369" t="s">
        <v>75</v>
      </c>
      <c r="E26" s="367" t="s">
        <v>76</v>
      </c>
      <c r="F26" s="367" t="s">
        <v>4</v>
      </c>
      <c r="G26" s="367" t="s">
        <v>5</v>
      </c>
      <c r="H26" s="367" t="s">
        <v>6</v>
      </c>
      <c r="I26" s="367" t="s">
        <v>358</v>
      </c>
      <c r="J26" s="367" t="s">
        <v>359</v>
      </c>
      <c r="K26" s="365"/>
      <c r="L26" s="365"/>
      <c r="M26" s="365"/>
      <c r="N26" s="365"/>
      <c r="O26" s="365"/>
      <c r="P26" s="365"/>
      <c r="Q26" s="365"/>
      <c r="R26" s="365"/>
      <c r="S26" s="365"/>
      <c r="T26" s="365"/>
    </row>
    <row r="27" spans="1:20" ht="23.25" x14ac:dyDescent="0.3">
      <c r="A27" s="235"/>
      <c r="B27" s="281"/>
      <c r="C27">
        <v>5800</v>
      </c>
      <c r="D27" s="365">
        <v>6000</v>
      </c>
      <c r="E27" s="365">
        <v>5900</v>
      </c>
      <c r="F27" s="365">
        <v>5900</v>
      </c>
      <c r="G27" s="365">
        <v>6000</v>
      </c>
      <c r="H27" s="365">
        <v>6000</v>
      </c>
      <c r="I27" s="365">
        <v>5452.0059422045697</v>
      </c>
      <c r="J27" s="365">
        <v>5843.554644558063</v>
      </c>
    </row>
    <row r="28" spans="1:20" ht="15" customHeight="1" x14ac:dyDescent="0.3">
      <c r="A28" s="235"/>
      <c r="B28" s="281"/>
      <c r="C28">
        <v>12500</v>
      </c>
      <c r="D28" s="365">
        <v>14000</v>
      </c>
      <c r="E28" s="365">
        <v>15100</v>
      </c>
      <c r="F28" s="365">
        <v>16200</v>
      </c>
      <c r="G28" s="365">
        <v>18700</v>
      </c>
      <c r="H28" s="365">
        <v>18700</v>
      </c>
      <c r="I28" s="365">
        <v>16992.085186537577</v>
      </c>
      <c r="J28" s="365">
        <v>18212.411975539297</v>
      </c>
    </row>
    <row r="29" spans="1:20" ht="23.25" x14ac:dyDescent="0.3">
      <c r="A29" s="235"/>
      <c r="B29" s="281"/>
      <c r="C29">
        <v>148300</v>
      </c>
      <c r="D29" s="365">
        <v>153900</v>
      </c>
      <c r="E29" s="365">
        <v>156600</v>
      </c>
      <c r="F29" s="365">
        <v>155800</v>
      </c>
      <c r="G29" s="365">
        <v>158800</v>
      </c>
      <c r="H29" s="365">
        <v>158800</v>
      </c>
      <c r="I29" s="365">
        <v>144296.42393701427</v>
      </c>
      <c r="J29" s="365">
        <v>154659.41292597007</v>
      </c>
    </row>
    <row r="30" spans="1:20" ht="23.25" x14ac:dyDescent="0.3">
      <c r="A30" s="235"/>
      <c r="B30" s="281"/>
      <c r="C30">
        <v>4200</v>
      </c>
      <c r="D30" s="365">
        <v>4800</v>
      </c>
      <c r="E30" s="365">
        <v>5000</v>
      </c>
      <c r="F30" s="365">
        <v>4800</v>
      </c>
      <c r="G30" s="365">
        <v>5500</v>
      </c>
      <c r="H30" s="365">
        <v>5500</v>
      </c>
      <c r="I30" s="365">
        <v>4997.6721136875221</v>
      </c>
      <c r="J30" s="365">
        <v>5356.5917575115582</v>
      </c>
    </row>
    <row r="31" spans="1:20" ht="23.25" x14ac:dyDescent="0.3">
      <c r="A31" s="235"/>
      <c r="B31" s="281"/>
      <c r="C31">
        <v>84600</v>
      </c>
      <c r="D31" s="365">
        <v>93700</v>
      </c>
      <c r="E31" s="365">
        <v>99000</v>
      </c>
      <c r="F31" s="365">
        <v>98500</v>
      </c>
      <c r="G31" s="365">
        <v>100600</v>
      </c>
      <c r="H31" s="365">
        <v>100600</v>
      </c>
      <c r="I31" s="365">
        <v>91411.966297629959</v>
      </c>
      <c r="J31" s="365">
        <v>97976.932873756858</v>
      </c>
    </row>
    <row r="32" spans="1:20" ht="23.25" x14ac:dyDescent="0.3">
      <c r="A32" s="235"/>
      <c r="B32" s="281"/>
      <c r="C32">
        <v>10200</v>
      </c>
      <c r="D32" s="365">
        <v>10700</v>
      </c>
      <c r="E32" s="365">
        <v>11400</v>
      </c>
      <c r="F32" s="365">
        <v>11300</v>
      </c>
      <c r="G32" s="365">
        <v>10800</v>
      </c>
      <c r="H32" s="365">
        <v>10800</v>
      </c>
      <c r="I32" s="365">
        <v>9813.6106959682256</v>
      </c>
      <c r="J32" s="365">
        <v>10518.398360204514</v>
      </c>
    </row>
    <row r="33" spans="1:10" ht="23.25" x14ac:dyDescent="0.3">
      <c r="A33" s="235"/>
      <c r="B33" s="281"/>
      <c r="C33">
        <v>265600</v>
      </c>
      <c r="D33" s="365">
        <v>283100</v>
      </c>
      <c r="E33" s="365">
        <v>293000</v>
      </c>
      <c r="F33" s="365">
        <v>292500</v>
      </c>
      <c r="G33" s="365">
        <v>300400</v>
      </c>
      <c r="H33" s="365">
        <v>300400</v>
      </c>
      <c r="I33" s="365">
        <v>272963.76417304215</v>
      </c>
      <c r="J33" s="365">
        <v>292567.30253754038</v>
      </c>
    </row>
    <row r="34" spans="1:10" ht="23.25" x14ac:dyDescent="0.3">
      <c r="A34" s="235"/>
      <c r="B34" s="281"/>
    </row>
    <row r="35" spans="1:10" ht="23.25" x14ac:dyDescent="0.3">
      <c r="A35" s="235"/>
      <c r="B35" s="281"/>
    </row>
    <row r="36" spans="1:10" ht="23.25" x14ac:dyDescent="0.3">
      <c r="A36" s="235"/>
      <c r="B36" s="281"/>
    </row>
    <row r="37" spans="1:10" ht="23.25" x14ac:dyDescent="0.3">
      <c r="A37" s="235"/>
      <c r="B37" s="281"/>
    </row>
    <row r="38" spans="1:10" ht="23.25" x14ac:dyDescent="0.3">
      <c r="A38" s="235"/>
      <c r="B38" s="281"/>
    </row>
    <row r="39" spans="1:10" x14ac:dyDescent="0.25">
      <c r="B39" s="281"/>
    </row>
    <row r="40" spans="1:10" x14ac:dyDescent="0.25">
      <c r="B40" s="281"/>
    </row>
    <row r="41" spans="1:10" x14ac:dyDescent="0.25">
      <c r="B41" s="281"/>
    </row>
    <row r="42" spans="1:10" x14ac:dyDescent="0.25">
      <c r="B42" s="281"/>
    </row>
    <row r="43" spans="1:10" x14ac:dyDescent="0.25">
      <c r="B43" s="281"/>
    </row>
    <row r="44" spans="1:10" x14ac:dyDescent="0.25">
      <c r="B44" s="281"/>
    </row>
    <row r="45" spans="1:10" x14ac:dyDescent="0.25">
      <c r="B45" s="281"/>
    </row>
    <row r="46" spans="1:10" x14ac:dyDescent="0.25">
      <c r="B46" s="281"/>
    </row>
    <row r="47" spans="1:10" x14ac:dyDescent="0.25">
      <c r="B47" s="281"/>
      <c r="C47" s="281"/>
      <c r="D47" s="281"/>
      <c r="E47" s="281"/>
      <c r="F47" s="281"/>
      <c r="G47" s="281"/>
      <c r="H47" s="281"/>
    </row>
    <row r="48" spans="1:10" x14ac:dyDescent="0.25">
      <c r="B48" s="281"/>
      <c r="C48" s="281"/>
      <c r="D48" s="281"/>
      <c r="E48" s="281"/>
      <c r="F48" s="281"/>
      <c r="G48" s="281"/>
      <c r="H48" s="281"/>
    </row>
    <row r="49" spans="2:8" x14ac:dyDescent="0.25">
      <c r="B49" s="281"/>
      <c r="C49" s="281"/>
      <c r="D49" s="281"/>
      <c r="E49" s="281"/>
      <c r="F49" s="281"/>
      <c r="G49" s="281"/>
      <c r="H49" s="281"/>
    </row>
    <row r="50" spans="2:8" x14ac:dyDescent="0.25">
      <c r="B50" s="281"/>
      <c r="C50" s="281"/>
      <c r="D50" s="281"/>
      <c r="E50" s="281"/>
      <c r="F50" s="281"/>
      <c r="G50" s="281"/>
      <c r="H50" s="281"/>
    </row>
    <row r="51" spans="2:8" x14ac:dyDescent="0.25">
      <c r="B51" s="281"/>
      <c r="C51" s="281"/>
      <c r="D51" s="281"/>
      <c r="E51" s="281"/>
      <c r="F51" s="281"/>
      <c r="G51" s="281"/>
      <c r="H51" s="281"/>
    </row>
    <row r="52" spans="2:8" x14ac:dyDescent="0.25">
      <c r="B52" s="281"/>
      <c r="C52" s="281"/>
      <c r="D52" s="281"/>
      <c r="E52" s="281"/>
      <c r="F52" s="281"/>
      <c r="G52" s="281"/>
      <c r="H52" s="281"/>
    </row>
    <row r="53" spans="2:8" x14ac:dyDescent="0.25">
      <c r="B53" s="281"/>
      <c r="C53" s="281"/>
      <c r="D53" s="281"/>
      <c r="E53" s="281"/>
      <c r="F53" s="281"/>
      <c r="G53" s="281"/>
      <c r="H53" s="281"/>
    </row>
    <row r="54" spans="2:8" x14ac:dyDescent="0.25">
      <c r="B54" s="281"/>
      <c r="C54" s="281"/>
      <c r="D54" s="281"/>
      <c r="E54" s="281"/>
      <c r="F54" s="281"/>
      <c r="G54" s="281"/>
      <c r="H54" s="281"/>
    </row>
    <row r="66" ht="23.25" customHeight="1" x14ac:dyDescent="0.25"/>
  </sheetData>
  <mergeCells count="8">
    <mergeCell ref="O7:P7"/>
    <mergeCell ref="Q7:R7"/>
    <mergeCell ref="C7:D7"/>
    <mergeCell ref="E7:F7"/>
    <mergeCell ref="G7:H7"/>
    <mergeCell ref="I7:J7"/>
    <mergeCell ref="K7:L7"/>
    <mergeCell ref="M7:N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4:G38"/>
  <sheetViews>
    <sheetView showGridLines="0" showRowColHeaders="0" zoomScaleNormal="100" workbookViewId="0">
      <selection activeCell="B17" sqref="B17"/>
    </sheetView>
  </sheetViews>
  <sheetFormatPr defaultRowHeight="15" x14ac:dyDescent="0.25"/>
  <sheetData>
    <row r="4" spans="1:7" ht="34.5" x14ac:dyDescent="0.45">
      <c r="B4" s="270" t="s">
        <v>113</v>
      </c>
    </row>
    <row r="5" spans="1:7" ht="18" customHeight="1" x14ac:dyDescent="0.4">
      <c r="B5" s="2"/>
    </row>
    <row r="6" spans="1:7" ht="18" customHeight="1" x14ac:dyDescent="0.25">
      <c r="B6" s="8"/>
      <c r="C6" s="8"/>
    </row>
    <row r="7" spans="1:7" ht="18" customHeight="1" x14ac:dyDescent="0.4">
      <c r="B7" s="233" t="s">
        <v>412</v>
      </c>
      <c r="C7" s="8"/>
      <c r="D7" s="1"/>
      <c r="E7" s="1"/>
    </row>
    <row r="8" spans="1:7" ht="18" customHeight="1" x14ac:dyDescent="0.35">
      <c r="B8" s="657" t="s">
        <v>548</v>
      </c>
      <c r="C8" s="657"/>
      <c r="D8" s="657"/>
      <c r="E8" s="11"/>
      <c r="F8" s="10"/>
      <c r="G8" s="10"/>
    </row>
    <row r="9" spans="1:7" ht="18" customHeight="1" x14ac:dyDescent="0.35">
      <c r="A9" s="10"/>
      <c r="B9" s="652" t="s">
        <v>549</v>
      </c>
      <c r="F9" s="10"/>
      <c r="G9" s="10"/>
    </row>
    <row r="10" spans="1:7" ht="18" customHeight="1" x14ac:dyDescent="0.35">
      <c r="A10" s="10"/>
      <c r="B10" s="503" t="s">
        <v>503</v>
      </c>
      <c r="C10" s="503"/>
      <c r="D10" s="503"/>
      <c r="E10" s="503"/>
      <c r="F10" s="10"/>
      <c r="G10" s="10"/>
    </row>
    <row r="11" spans="1:7" ht="18" customHeight="1" x14ac:dyDescent="0.35">
      <c r="A11" s="10"/>
      <c r="B11" s="503" t="s">
        <v>504</v>
      </c>
      <c r="C11" s="340"/>
      <c r="D11" s="340"/>
      <c r="E11" s="11"/>
      <c r="F11" s="10"/>
      <c r="G11" s="10"/>
    </row>
    <row r="12" spans="1:7" ht="18" customHeight="1" x14ac:dyDescent="0.35">
      <c r="A12" s="10"/>
      <c r="B12" s="503" t="s">
        <v>505</v>
      </c>
      <c r="C12" s="340"/>
      <c r="D12" s="11"/>
      <c r="E12" s="11"/>
      <c r="F12" s="10"/>
      <c r="G12" s="10"/>
    </row>
    <row r="13" spans="1:7" ht="18" customHeight="1" x14ac:dyDescent="0.35">
      <c r="A13" s="10"/>
      <c r="B13" s="273"/>
      <c r="C13" s="8"/>
      <c r="D13" s="11"/>
      <c r="E13" s="11"/>
      <c r="F13" s="10"/>
      <c r="G13" s="10"/>
    </row>
    <row r="14" spans="1:7" ht="18" customHeight="1" x14ac:dyDescent="0.4">
      <c r="A14" s="10"/>
      <c r="B14" s="233" t="s">
        <v>426</v>
      </c>
      <c r="C14" s="8"/>
      <c r="D14" s="1"/>
      <c r="E14" s="1"/>
    </row>
    <row r="15" spans="1:7" ht="18" customHeight="1" x14ac:dyDescent="0.25">
      <c r="B15" s="340" t="s">
        <v>427</v>
      </c>
      <c r="C15" s="340"/>
      <c r="D15" s="340"/>
      <c r="E15" s="340"/>
    </row>
    <row r="16" spans="1:7" ht="18" customHeight="1" x14ac:dyDescent="0.35">
      <c r="A16" s="10"/>
      <c r="B16" s="503" t="s">
        <v>506</v>
      </c>
      <c r="C16" s="340"/>
      <c r="D16" s="11"/>
      <c r="E16" s="11"/>
    </row>
    <row r="17" spans="1:5" ht="18" customHeight="1" x14ac:dyDescent="0.35">
      <c r="A17" s="10"/>
      <c r="B17" s="503" t="s">
        <v>507</v>
      </c>
      <c r="C17" s="503"/>
      <c r="D17" s="11"/>
      <c r="E17" s="11"/>
    </row>
    <row r="18" spans="1:5" ht="18" customHeight="1" x14ac:dyDescent="0.4">
      <c r="A18" s="10"/>
      <c r="B18" s="340" t="s">
        <v>428</v>
      </c>
      <c r="C18" s="340"/>
      <c r="D18" s="1"/>
      <c r="E18" s="1"/>
    </row>
    <row r="19" spans="1:5" ht="18" customHeight="1" x14ac:dyDescent="0.4">
      <c r="A19" s="10"/>
      <c r="B19" s="340" t="s">
        <v>429</v>
      </c>
      <c r="C19" s="340"/>
      <c r="D19" s="340"/>
      <c r="E19" s="1"/>
    </row>
    <row r="20" spans="1:5" ht="18" customHeight="1" x14ac:dyDescent="0.35">
      <c r="A20" s="10"/>
      <c r="B20" s="340" t="s">
        <v>430</v>
      </c>
      <c r="C20" s="340"/>
      <c r="D20" s="340"/>
      <c r="E20" s="340"/>
    </row>
    <row r="21" spans="1:5" ht="18" customHeight="1" x14ac:dyDescent="0.4">
      <c r="A21" s="10"/>
      <c r="B21" s="8"/>
      <c r="C21" s="8"/>
      <c r="D21" s="1"/>
      <c r="E21" s="1"/>
    </row>
    <row r="22" spans="1:5" ht="18" customHeight="1" x14ac:dyDescent="0.4">
      <c r="A22" s="10"/>
      <c r="B22" s="233" t="s">
        <v>114</v>
      </c>
      <c r="C22" s="8"/>
      <c r="D22" s="1"/>
      <c r="E22" s="1"/>
    </row>
    <row r="23" spans="1:5" ht="18" customHeight="1" x14ac:dyDescent="0.4">
      <c r="B23" s="340" t="s">
        <v>521</v>
      </c>
      <c r="C23" s="8"/>
      <c r="D23" s="1"/>
      <c r="E23" s="1"/>
    </row>
    <row r="24" spans="1:5" ht="18" customHeight="1" x14ac:dyDescent="0.4">
      <c r="B24" s="1"/>
      <c r="C24" s="1"/>
      <c r="D24" s="1"/>
      <c r="E24" s="1"/>
    </row>
    <row r="25" spans="1:5" ht="32.25" x14ac:dyDescent="0.4">
      <c r="B25" s="233" t="s">
        <v>431</v>
      </c>
      <c r="C25" s="1"/>
      <c r="D25" s="1"/>
      <c r="E25" s="1"/>
    </row>
    <row r="26" spans="1:5" x14ac:dyDescent="0.25">
      <c r="B26" s="340" t="s">
        <v>432</v>
      </c>
    </row>
    <row r="38" spans="2:2" ht="44.25" x14ac:dyDescent="0.55000000000000004">
      <c r="B38" s="3"/>
    </row>
  </sheetData>
  <customSheetViews>
    <customSheetView guid="{9EA95E61-FCA5-4867-AEB4-B8C24058ACDD}" showGridLines="0" showRowCol="0">
      <selection activeCell="P10" sqref="P10"/>
      <pageMargins left="0.7" right="0.7" top="0.75" bottom="0.75" header="0.3" footer="0.3"/>
      <pageSetup paperSize="9" orientation="portrait" r:id="rId1"/>
    </customSheetView>
  </customSheetViews>
  <mergeCells count="1">
    <mergeCell ref="B8:D8"/>
  </mergeCells>
  <hyperlinks>
    <hyperlink ref="B9" location="'Indirect labour inputs'!A1" display="1.2 Indirect labour inputs"/>
    <hyperlink ref="B8:D8" location="'Direct labour Inputs'!A1" display="1.1 Direct Labour"/>
    <hyperlink ref="B11:D11" location="'Direct intermediates'!A1" display="1.4 Intermediates"/>
    <hyperlink ref="B12:C12" location="'Inputs index'!A1" display="1.5 Total Inputs"/>
    <hyperlink ref="B15:E15" location="'Reference Costs Output'!A1" display="1.1 Reference costs output"/>
    <hyperlink ref="B16:C16" location="'HES output'!A1" display="1.3 HES output"/>
    <hyperlink ref="B18:C18" location="Prescribing!A1" display="1.4 Prescribing"/>
    <hyperlink ref="B19:D19" location="'Primary care'!A1" display="1.5 Primary care output"/>
    <hyperlink ref="B20:E20" location="'QA Primary Care'!A1" display="1.6 Primary care - quality adjusted"/>
    <hyperlink ref="B23" location="Productivity!A1" display="3.1 Productity"/>
    <hyperlink ref="B26" location="Publications!A1" display="4.1 Publications"/>
    <hyperlink ref="B17" location="'HES output'!A1" display="1.3 HES output"/>
    <hyperlink ref="B10" location="'Capital inputs'!A1" display="1.3 Capital inputs"/>
    <hyperlink ref="B11" location="'Indirect intermediates'!A1" display="1.3 Intermediates"/>
    <hyperlink ref="B12" location="'Total indirect inputs'!A1" display="1.4 Total Indirect Inputs"/>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4:Y147"/>
  <sheetViews>
    <sheetView showRowColHeaders="0" topLeftCell="K6" zoomScale="60" zoomScaleNormal="60" workbookViewId="0">
      <selection activeCell="O29" sqref="O29"/>
    </sheetView>
  </sheetViews>
  <sheetFormatPr defaultRowHeight="15" x14ac:dyDescent="0.25"/>
  <cols>
    <col min="4" max="4" width="14.7109375" customWidth="1"/>
    <col min="5" max="5" width="22.28515625" customWidth="1"/>
    <col min="6" max="9" width="27.5703125" customWidth="1"/>
    <col min="10" max="10" width="43.42578125" customWidth="1"/>
    <col min="11" max="11" width="43.7109375" customWidth="1"/>
    <col min="12" max="12" width="28.28515625" customWidth="1"/>
    <col min="13" max="13" width="32.7109375" customWidth="1"/>
    <col min="14" max="14" width="16.28515625" customWidth="1"/>
    <col min="15" max="15" width="26.28515625" bestFit="1" customWidth="1"/>
    <col min="16" max="16" width="16.28515625" bestFit="1" customWidth="1"/>
    <col min="17" max="17" width="22.5703125" bestFit="1" customWidth="1"/>
    <col min="18" max="18" width="21.28515625" bestFit="1" customWidth="1"/>
    <col min="19" max="19" width="22.28515625" bestFit="1" customWidth="1"/>
  </cols>
  <sheetData>
    <row r="4" spans="2:23" ht="59.25" x14ac:dyDescent="0.75">
      <c r="D4" s="4" t="s">
        <v>158</v>
      </c>
    </row>
    <row r="5" spans="2:23" ht="59.25" x14ac:dyDescent="0.75">
      <c r="D5" s="4"/>
    </row>
    <row r="6" spans="2:23" ht="23.25" customHeight="1" x14ac:dyDescent="0.25"/>
    <row r="8" spans="2:23" ht="15" customHeight="1" thickBot="1" x14ac:dyDescent="0.3">
      <c r="B8" s="8"/>
      <c r="D8" s="674" t="s">
        <v>147</v>
      </c>
      <c r="E8" s="674"/>
      <c r="F8" s="674"/>
      <c r="G8" s="674"/>
      <c r="H8" s="674"/>
      <c r="I8" s="674"/>
      <c r="T8" s="8"/>
      <c r="U8" s="8"/>
      <c r="V8" s="8"/>
      <c r="W8" s="8"/>
    </row>
    <row r="9" spans="2:23" ht="22.5" x14ac:dyDescent="0.25">
      <c r="B9" s="8"/>
      <c r="D9" s="42" t="s">
        <v>1</v>
      </c>
      <c r="E9" s="43" t="s">
        <v>143</v>
      </c>
      <c r="F9" s="43" t="s">
        <v>92</v>
      </c>
      <c r="G9" s="43" t="s">
        <v>144</v>
      </c>
      <c r="H9" s="43" t="s">
        <v>145</v>
      </c>
      <c r="I9" s="16" t="s">
        <v>146</v>
      </c>
      <c r="T9" s="8"/>
      <c r="U9" s="8"/>
      <c r="V9" s="8"/>
      <c r="W9" s="8"/>
    </row>
    <row r="10" spans="2:23" ht="22.5" x14ac:dyDescent="0.25">
      <c r="B10" s="8"/>
      <c r="D10" s="85" t="s">
        <v>74</v>
      </c>
      <c r="E10" s="86">
        <v>16964603</v>
      </c>
      <c r="F10" s="109">
        <v>1364145494</v>
      </c>
      <c r="G10" s="113">
        <v>1272132638</v>
      </c>
      <c r="H10" s="113"/>
      <c r="I10" s="115"/>
      <c r="J10" t="s">
        <v>517</v>
      </c>
      <c r="T10" s="8"/>
      <c r="U10" s="8"/>
      <c r="V10" s="8"/>
      <c r="W10" s="8"/>
    </row>
    <row r="11" spans="2:23" ht="22.5" x14ac:dyDescent="0.25">
      <c r="B11" s="8"/>
      <c r="D11" s="85" t="s">
        <v>75</v>
      </c>
      <c r="E11" s="86">
        <v>18748725</v>
      </c>
      <c r="F11" s="109">
        <v>1707089624</v>
      </c>
      <c r="G11" s="113">
        <v>1662051463</v>
      </c>
      <c r="H11" s="113"/>
      <c r="I11" s="109">
        <v>1364145494</v>
      </c>
      <c r="J11" s="504">
        <f t="shared" ref="J11:J13" si="0">G11/I11-1</f>
        <v>0.21838284135401764</v>
      </c>
      <c r="T11" s="8"/>
      <c r="U11" s="8"/>
      <c r="V11" s="8"/>
      <c r="W11" s="8"/>
    </row>
    <row r="12" spans="2:23" ht="22.5" x14ac:dyDescent="0.25">
      <c r="B12" s="8"/>
      <c r="D12" s="85" t="s">
        <v>76</v>
      </c>
      <c r="E12" s="86">
        <v>19597216</v>
      </c>
      <c r="F12" s="109">
        <v>1818744438</v>
      </c>
      <c r="G12" s="650">
        <f>E12*F11/E11</f>
        <v>1784345553.7849526</v>
      </c>
      <c r="H12" s="113"/>
      <c r="I12" s="109">
        <v>1707089624</v>
      </c>
      <c r="J12" s="504">
        <f t="shared" si="0"/>
        <v>4.5255930736623595E-2</v>
      </c>
      <c r="T12" s="8"/>
      <c r="U12" s="8"/>
      <c r="V12" s="8"/>
      <c r="W12" s="8"/>
    </row>
    <row r="13" spans="2:23" ht="22.5" x14ac:dyDescent="0.25">
      <c r="B13" s="8"/>
      <c r="D13" s="85" t="s">
        <v>4</v>
      </c>
      <c r="E13" s="86">
        <v>23189303</v>
      </c>
      <c r="F13" s="109">
        <v>2653789144</v>
      </c>
      <c r="G13" s="113">
        <v>1360767225</v>
      </c>
      <c r="H13" s="113" t="s">
        <v>101</v>
      </c>
      <c r="I13" s="109">
        <v>1818744438</v>
      </c>
      <c r="J13" s="504">
        <f t="shared" si="0"/>
        <v>-0.25180954697715485</v>
      </c>
      <c r="T13" s="8"/>
      <c r="U13" s="8"/>
      <c r="V13" s="8"/>
      <c r="W13" s="8"/>
    </row>
    <row r="14" spans="2:23" ht="22.5" x14ac:dyDescent="0.25">
      <c r="B14" s="8"/>
      <c r="D14" s="85" t="s">
        <v>5</v>
      </c>
      <c r="E14" s="86">
        <v>24815831</v>
      </c>
      <c r="F14" s="109">
        <v>3021863889</v>
      </c>
      <c r="G14" s="109">
        <v>2865237623</v>
      </c>
      <c r="H14" s="109">
        <v>2838116295</v>
      </c>
      <c r="I14" s="87">
        <v>2653770345</v>
      </c>
      <c r="J14" s="504">
        <f>G14/I14-1</f>
        <v>7.9685598416015191E-2</v>
      </c>
      <c r="T14" s="8"/>
      <c r="U14" s="8"/>
      <c r="V14" s="8"/>
      <c r="W14" s="8"/>
    </row>
    <row r="15" spans="2:23" ht="22.5" x14ac:dyDescent="0.25">
      <c r="B15" s="8"/>
      <c r="D15" s="85" t="s">
        <v>6</v>
      </c>
      <c r="E15" s="86">
        <v>25574685</v>
      </c>
      <c r="F15" s="109">
        <v>3296888378</v>
      </c>
      <c r="G15" s="109">
        <v>3170202617</v>
      </c>
      <c r="H15" s="109">
        <v>3177147109</v>
      </c>
      <c r="I15" s="87">
        <v>3021863889</v>
      </c>
      <c r="J15" s="504">
        <f t="shared" ref="J15:J105" si="1">G15/I15-1</f>
        <v>4.9088487585418283E-2</v>
      </c>
      <c r="T15" s="8"/>
      <c r="U15" s="8"/>
      <c r="V15" s="8"/>
      <c r="W15" s="8"/>
    </row>
    <row r="16" spans="2:23" ht="26.25" thickBot="1" x14ac:dyDescent="0.4">
      <c r="B16" s="8"/>
      <c r="D16" s="88" t="s">
        <v>7</v>
      </c>
      <c r="E16" s="89">
        <v>25758593</v>
      </c>
      <c r="F16" s="111">
        <v>3431897220</v>
      </c>
      <c r="G16" s="111">
        <v>3373826177</v>
      </c>
      <c r="H16" s="111">
        <v>3358363066</v>
      </c>
      <c r="I16" s="90">
        <v>3296720381</v>
      </c>
      <c r="J16" s="504">
        <f t="shared" si="1"/>
        <v>2.3388636914548178E-2</v>
      </c>
      <c r="K16" s="267" t="s">
        <v>243</v>
      </c>
      <c r="L16" s="227"/>
      <c r="M16" s="227"/>
      <c r="N16" s="227"/>
      <c r="O16" s="227"/>
      <c r="P16" s="227"/>
      <c r="T16" s="8"/>
      <c r="U16" s="8"/>
      <c r="V16" s="8"/>
      <c r="W16" s="8"/>
    </row>
    <row r="17" spans="2:25" ht="23.25" customHeight="1" x14ac:dyDescent="0.35">
      <c r="B17" s="8"/>
      <c r="D17" s="112"/>
      <c r="E17" s="112"/>
      <c r="F17" s="112"/>
      <c r="G17" s="112"/>
      <c r="H17" s="112"/>
      <c r="I17" s="112"/>
      <c r="J17" s="504" t="e">
        <f t="shared" si="1"/>
        <v>#DIV/0!</v>
      </c>
      <c r="K17" s="267" t="s">
        <v>258</v>
      </c>
      <c r="L17" s="227"/>
      <c r="M17" s="227"/>
      <c r="N17" s="227"/>
      <c r="O17" s="227"/>
      <c r="P17" s="227"/>
      <c r="T17" s="8"/>
      <c r="U17" s="8"/>
      <c r="V17" s="8"/>
      <c r="W17" s="8"/>
    </row>
    <row r="18" spans="2:25" ht="25.5" x14ac:dyDescent="0.35">
      <c r="B18" s="8"/>
      <c r="D18" s="112"/>
      <c r="E18" s="112"/>
      <c r="F18" s="112"/>
      <c r="G18" s="112"/>
      <c r="H18" s="112"/>
      <c r="I18" s="112"/>
      <c r="J18" s="504" t="e">
        <f t="shared" si="1"/>
        <v>#DIV/0!</v>
      </c>
      <c r="K18" s="267" t="s">
        <v>244</v>
      </c>
      <c r="L18" s="227"/>
      <c r="M18" s="227"/>
      <c r="N18" s="227"/>
      <c r="O18" s="227"/>
      <c r="P18" s="227"/>
      <c r="T18" s="8"/>
      <c r="U18" s="8"/>
      <c r="V18" s="8"/>
      <c r="W18" s="8"/>
    </row>
    <row r="19" spans="2:25" ht="26.25" thickBot="1" x14ac:dyDescent="0.4">
      <c r="B19" s="8"/>
      <c r="D19" s="674" t="s">
        <v>148</v>
      </c>
      <c r="E19" s="674"/>
      <c r="F19" s="674"/>
      <c r="G19" s="674"/>
      <c r="H19" s="674"/>
      <c r="I19" s="674"/>
      <c r="J19" s="504" t="e">
        <f t="shared" si="1"/>
        <v>#DIV/0!</v>
      </c>
      <c r="K19" s="267" t="s">
        <v>245</v>
      </c>
      <c r="L19" s="227"/>
      <c r="M19" s="227"/>
      <c r="N19" s="227"/>
      <c r="O19" s="227"/>
      <c r="P19" s="227"/>
      <c r="T19" s="8"/>
      <c r="U19" s="8"/>
      <c r="V19" s="8"/>
      <c r="W19" s="8"/>
    </row>
    <row r="20" spans="2:25" ht="51" x14ac:dyDescent="0.25">
      <c r="B20" s="8"/>
      <c r="D20" s="42" t="s">
        <v>1</v>
      </c>
      <c r="E20" s="43" t="s">
        <v>143</v>
      </c>
      <c r="F20" s="43" t="s">
        <v>92</v>
      </c>
      <c r="G20" s="43" t="s">
        <v>144</v>
      </c>
      <c r="H20" s="43" t="s">
        <v>145</v>
      </c>
      <c r="I20" s="16" t="s">
        <v>146</v>
      </c>
      <c r="J20" s="504" t="e">
        <f t="shared" si="1"/>
        <v>#VALUE!</v>
      </c>
      <c r="K20" s="268" t="s">
        <v>246</v>
      </c>
      <c r="L20" s="227"/>
      <c r="M20" s="227"/>
      <c r="N20" s="227"/>
      <c r="O20" s="227"/>
      <c r="P20" s="227"/>
      <c r="T20" s="8"/>
      <c r="U20" s="8"/>
      <c r="V20" s="8"/>
      <c r="W20" s="8"/>
    </row>
    <row r="21" spans="2:25" ht="25.5" x14ac:dyDescent="0.25">
      <c r="B21" s="8"/>
      <c r="D21" s="85" t="s">
        <v>74</v>
      </c>
      <c r="E21" s="86">
        <v>1622278</v>
      </c>
      <c r="F21" s="109">
        <v>159086654</v>
      </c>
      <c r="G21" s="113"/>
      <c r="H21" s="113"/>
      <c r="I21" s="115"/>
      <c r="J21" s="504" t="s">
        <v>517</v>
      </c>
      <c r="K21" s="269" t="s">
        <v>247</v>
      </c>
      <c r="L21" s="227"/>
      <c r="M21" s="227"/>
      <c r="N21" s="227"/>
      <c r="O21" s="227"/>
      <c r="P21" s="227"/>
      <c r="T21" s="8"/>
      <c r="U21" s="8"/>
      <c r="V21" s="8"/>
      <c r="W21" s="8"/>
    </row>
    <row r="22" spans="2:25" ht="25.5" x14ac:dyDescent="0.35">
      <c r="B22" s="8"/>
      <c r="D22" s="85" t="s">
        <v>75</v>
      </c>
      <c r="E22" s="86">
        <v>1634156</v>
      </c>
      <c r="F22" s="109">
        <v>182991643</v>
      </c>
      <c r="G22" s="113">
        <v>183163352</v>
      </c>
      <c r="H22" s="113"/>
      <c r="I22" s="109">
        <v>159086654</v>
      </c>
      <c r="J22" s="504">
        <f t="shared" si="1"/>
        <v>0.15134329244236921</v>
      </c>
      <c r="K22" s="267" t="s">
        <v>112</v>
      </c>
      <c r="L22" s="227"/>
      <c r="M22" s="227"/>
      <c r="N22" s="227"/>
      <c r="O22" s="227"/>
      <c r="P22" s="227"/>
      <c r="T22" s="8"/>
      <c r="U22" s="8"/>
      <c r="V22" s="8"/>
      <c r="W22" s="8"/>
    </row>
    <row r="23" spans="2:25" ht="25.5" x14ac:dyDescent="0.35">
      <c r="B23" s="8"/>
      <c r="D23" s="85" t="s">
        <v>76</v>
      </c>
      <c r="E23" s="86">
        <v>28135809</v>
      </c>
      <c r="F23" s="109">
        <v>1220417056</v>
      </c>
      <c r="G23" s="653">
        <f>E23*F22/E22</f>
        <v>3150628162.8217788</v>
      </c>
      <c r="H23" s="113"/>
      <c r="I23" s="109">
        <v>182991643</v>
      </c>
      <c r="J23" s="504">
        <f t="shared" si="1"/>
        <v>16.217333596058147</v>
      </c>
      <c r="K23" s="267" t="s">
        <v>153</v>
      </c>
      <c r="L23" s="227"/>
      <c r="M23" s="227"/>
      <c r="N23" s="227"/>
      <c r="O23" s="227"/>
      <c r="P23" s="227"/>
      <c r="T23" s="8"/>
      <c r="U23" s="8"/>
      <c r="V23" s="8"/>
      <c r="W23" s="8"/>
    </row>
    <row r="24" spans="2:25" ht="25.5" x14ac:dyDescent="0.35">
      <c r="B24" s="8"/>
      <c r="D24" s="85" t="s">
        <v>4</v>
      </c>
      <c r="E24" s="86">
        <v>11851877</v>
      </c>
      <c r="F24" s="109">
        <v>976800940</v>
      </c>
      <c r="G24" s="650">
        <f>E24*F23/E23</f>
        <v>514086260.55195755</v>
      </c>
      <c r="H24" s="113" t="s">
        <v>101</v>
      </c>
      <c r="I24" s="109">
        <v>1220417056</v>
      </c>
      <c r="J24" s="504">
        <f t="shared" si="1"/>
        <v>-0.57876181914655445</v>
      </c>
      <c r="K24" s="267" t="s">
        <v>154</v>
      </c>
      <c r="L24" s="227"/>
      <c r="M24" s="227"/>
      <c r="N24" s="227" t="s">
        <v>246</v>
      </c>
      <c r="O24" s="227"/>
      <c r="P24" s="227"/>
      <c r="T24" s="8"/>
      <c r="U24" s="8"/>
      <c r="V24" s="8"/>
      <c r="W24" s="8"/>
    </row>
    <row r="25" spans="2:25" ht="25.5" x14ac:dyDescent="0.35">
      <c r="B25" s="8"/>
      <c r="D25" s="85" t="s">
        <v>5</v>
      </c>
      <c r="E25" s="86">
        <v>16598539</v>
      </c>
      <c r="F25" s="109">
        <v>1530911288</v>
      </c>
      <c r="G25" s="109">
        <v>1512169327</v>
      </c>
      <c r="H25" s="109">
        <v>1072585519</v>
      </c>
      <c r="I25" s="87">
        <v>976220878</v>
      </c>
      <c r="J25" s="504">
        <f t="shared" si="1"/>
        <v>0.54900326460750004</v>
      </c>
      <c r="K25" s="267" t="s">
        <v>155</v>
      </c>
      <c r="L25" s="227"/>
      <c r="M25" s="227"/>
      <c r="N25" s="227" t="s">
        <v>153</v>
      </c>
      <c r="O25" s="227"/>
      <c r="P25" s="227"/>
      <c r="T25" s="8"/>
      <c r="U25" s="8"/>
      <c r="V25" s="8"/>
      <c r="W25" s="8"/>
    </row>
    <row r="26" spans="2:25" ht="25.5" x14ac:dyDescent="0.35">
      <c r="B26" s="8"/>
      <c r="D26" s="85" t="s">
        <v>6</v>
      </c>
      <c r="E26" s="86">
        <v>6150933</v>
      </c>
      <c r="F26" s="109">
        <v>1970519534</v>
      </c>
      <c r="G26" s="109">
        <v>1802207058</v>
      </c>
      <c r="H26" s="109">
        <v>1758368425</v>
      </c>
      <c r="I26" s="87">
        <v>1540624303</v>
      </c>
      <c r="J26" s="504">
        <f t="shared" si="1"/>
        <v>0.16979010034479503</v>
      </c>
      <c r="K26" s="267" t="s">
        <v>248</v>
      </c>
      <c r="L26" s="227"/>
      <c r="M26" s="227"/>
      <c r="N26" s="267" t="s">
        <v>244</v>
      </c>
      <c r="O26" s="227"/>
      <c r="P26" s="227"/>
      <c r="T26" s="8"/>
      <c r="U26" s="8"/>
      <c r="V26" s="8"/>
      <c r="W26" s="8"/>
    </row>
    <row r="27" spans="2:25" ht="26.25" thickBot="1" x14ac:dyDescent="0.3">
      <c r="B27" s="8"/>
      <c r="D27" s="88" t="s">
        <v>7</v>
      </c>
      <c r="E27" s="89">
        <v>5342811</v>
      </c>
      <c r="F27" s="111">
        <v>2183136937</v>
      </c>
      <c r="G27" s="111">
        <v>2382181361</v>
      </c>
      <c r="H27" s="111">
        <v>1895277301</v>
      </c>
      <c r="I27" s="90">
        <v>1985272951</v>
      </c>
      <c r="J27" s="504">
        <f t="shared" si="1"/>
        <v>0.19992636770680505</v>
      </c>
      <c r="K27" s="268" t="s">
        <v>249</v>
      </c>
      <c r="L27" s="227"/>
      <c r="M27" s="227"/>
      <c r="N27" s="227" t="s">
        <v>546</v>
      </c>
      <c r="O27" s="227"/>
      <c r="P27" s="227"/>
      <c r="T27" s="8"/>
      <c r="U27" s="8"/>
      <c r="V27" s="8"/>
      <c r="W27" s="8"/>
    </row>
    <row r="28" spans="2:25" ht="22.5" x14ac:dyDescent="0.3">
      <c r="B28" s="8"/>
      <c r="D28" s="112"/>
      <c r="E28" s="112"/>
      <c r="F28" s="112"/>
      <c r="G28" s="112"/>
      <c r="H28" s="112"/>
      <c r="I28" s="112"/>
      <c r="J28" s="504"/>
      <c r="K28" s="113"/>
      <c r="L28" s="227"/>
      <c r="M28" s="227"/>
      <c r="N28" s="227"/>
      <c r="O28" s="227"/>
      <c r="P28" s="227"/>
      <c r="T28" s="8"/>
      <c r="U28" s="8"/>
      <c r="V28" s="8"/>
      <c r="W28" s="8"/>
    </row>
    <row r="29" spans="2:25" ht="23.25" thickBot="1" x14ac:dyDescent="0.3">
      <c r="B29" s="8"/>
      <c r="D29" s="674" t="s">
        <v>149</v>
      </c>
      <c r="E29" s="674"/>
      <c r="F29" s="674"/>
      <c r="G29" s="674"/>
      <c r="H29" s="674"/>
      <c r="I29" s="674"/>
      <c r="J29" s="504"/>
      <c r="K29" s="113"/>
      <c r="L29" s="227"/>
      <c r="M29" s="227"/>
      <c r="N29" s="227"/>
      <c r="O29" s="227"/>
      <c r="P29" s="227"/>
      <c r="T29" s="8"/>
      <c r="U29" s="8"/>
      <c r="V29" s="8"/>
      <c r="W29" s="8"/>
    </row>
    <row r="30" spans="2:25" ht="25.5" x14ac:dyDescent="0.25">
      <c r="B30" s="8"/>
      <c r="D30" s="42" t="s">
        <v>1</v>
      </c>
      <c r="E30" s="43" t="s">
        <v>143</v>
      </c>
      <c r="F30" s="43" t="s">
        <v>92</v>
      </c>
      <c r="G30" s="43"/>
      <c r="H30" s="43" t="s">
        <v>144</v>
      </c>
      <c r="I30" s="43" t="s">
        <v>145</v>
      </c>
      <c r="J30" s="16" t="s">
        <v>146</v>
      </c>
      <c r="K30" s="113"/>
      <c r="L30" s="268"/>
      <c r="M30" s="227"/>
      <c r="N30" s="227"/>
      <c r="O30" s="227"/>
      <c r="P30" s="227"/>
      <c r="Q30" s="227"/>
      <c r="U30" s="8"/>
      <c r="V30" s="8"/>
      <c r="W30" s="8"/>
      <c r="X30" s="8"/>
    </row>
    <row r="31" spans="2:25" ht="25.5" x14ac:dyDescent="0.25">
      <c r="B31" s="8"/>
      <c r="D31" s="85" t="s">
        <v>74</v>
      </c>
      <c r="E31">
        <v>75673792</v>
      </c>
      <c r="F31" s="113">
        <v>2951338037.4964309</v>
      </c>
      <c r="G31" s="113">
        <f>H31/J31-1</f>
        <v>0.17123263323525184</v>
      </c>
      <c r="H31" s="113">
        <v>3253936930.4852624</v>
      </c>
      <c r="I31" s="113"/>
      <c r="J31" s="113">
        <v>2778215734.5608063</v>
      </c>
      <c r="K31" s="113"/>
      <c r="M31" s="269"/>
      <c r="N31" s="227" t="e">
        <f t="shared" ref="N31:N37" si="2">I31/K28-1</f>
        <v>#DIV/0!</v>
      </c>
      <c r="O31" s="227"/>
      <c r="P31" s="227"/>
      <c r="Q31" s="227"/>
      <c r="R31" s="227"/>
      <c r="V31" s="8"/>
      <c r="W31" s="8"/>
      <c r="X31" s="8"/>
      <c r="Y31" s="8"/>
    </row>
    <row r="32" spans="2:25" ht="25.5" x14ac:dyDescent="0.25">
      <c r="B32" s="8"/>
      <c r="D32" s="85" t="s">
        <v>75</v>
      </c>
      <c r="E32">
        <v>85092838</v>
      </c>
      <c r="F32" s="113">
        <v>3223698366.3180714</v>
      </c>
      <c r="G32" s="113">
        <f t="shared" ref="G32:G37" si="3">H32/J32-1</f>
        <v>8.5222768007913396E-2</v>
      </c>
      <c r="H32">
        <v>3202859234.3789196</v>
      </c>
      <c r="I32" s="113"/>
      <c r="J32" s="113">
        <v>2951338037.4964309</v>
      </c>
      <c r="K32" s="113"/>
      <c r="M32" s="269"/>
      <c r="N32" s="227" t="e">
        <f t="shared" si="2"/>
        <v>#DIV/0!</v>
      </c>
      <c r="O32" s="227"/>
      <c r="P32" s="227"/>
      <c r="Q32" s="227"/>
      <c r="R32" s="227"/>
      <c r="V32" s="8"/>
      <c r="W32" s="8"/>
      <c r="X32" s="8"/>
      <c r="Y32" s="8"/>
    </row>
    <row r="33" spans="1:25" ht="25.5" x14ac:dyDescent="0.25">
      <c r="B33" s="8"/>
      <c r="D33" s="85" t="s">
        <v>76</v>
      </c>
      <c r="E33" s="86">
        <v>83895139</v>
      </c>
      <c r="F33">
        <v>3166879712.3785648</v>
      </c>
      <c r="G33" s="113">
        <f>H33/J33-1</f>
        <v>6.4045105094727273E-2</v>
      </c>
      <c r="H33">
        <v>3430160466.9826126</v>
      </c>
      <c r="I33" s="113"/>
      <c r="J33" s="113">
        <v>3223698366.3180714</v>
      </c>
      <c r="K33" s="113"/>
      <c r="M33" s="269"/>
      <c r="N33" s="227" t="e">
        <f t="shared" si="2"/>
        <v>#DIV/0!</v>
      </c>
      <c r="O33" s="227"/>
      <c r="P33" s="227"/>
      <c r="Q33" s="227"/>
      <c r="R33" s="227"/>
      <c r="V33" s="8"/>
      <c r="W33" s="8"/>
      <c r="X33" s="8"/>
      <c r="Y33" s="8"/>
    </row>
    <row r="34" spans="1:25" ht="25.5" x14ac:dyDescent="0.25">
      <c r="B34" s="8"/>
      <c r="D34" s="85" t="s">
        <v>4</v>
      </c>
      <c r="E34" s="86">
        <v>85519767</v>
      </c>
      <c r="F34" s="87">
        <v>3630325787</v>
      </c>
      <c r="G34" s="113">
        <f t="shared" si="3"/>
        <v>1.936498370900841E-2</v>
      </c>
      <c r="H34">
        <f>E34*(F33/E33)</f>
        <v>3228206286.4171653</v>
      </c>
      <c r="I34" s="113"/>
      <c r="J34">
        <v>3166879712.3785648</v>
      </c>
      <c r="K34" s="113"/>
      <c r="M34" s="269" t="s">
        <v>250</v>
      </c>
      <c r="N34" s="227" t="e">
        <f t="shared" si="2"/>
        <v>#DIV/0!</v>
      </c>
      <c r="O34" s="227"/>
      <c r="P34" s="227"/>
      <c r="Q34" s="227"/>
      <c r="R34" s="227"/>
      <c r="V34" s="8"/>
      <c r="W34" s="8"/>
      <c r="X34" s="8"/>
      <c r="Y34" s="8"/>
    </row>
    <row r="35" spans="1:25" ht="22.5" x14ac:dyDescent="0.25">
      <c r="A35" s="5"/>
      <c r="B35" s="52"/>
      <c r="C35" s="6"/>
      <c r="D35" s="85" t="s">
        <v>5</v>
      </c>
      <c r="E35" s="86">
        <v>88513663</v>
      </c>
      <c r="F35" s="109">
        <v>3945710493</v>
      </c>
      <c r="G35" s="113">
        <f t="shared" si="3"/>
        <v>3.8200583676706756E-2</v>
      </c>
      <c r="H35" s="109">
        <v>3769006351</v>
      </c>
      <c r="I35" s="109">
        <v>3769006351</v>
      </c>
      <c r="J35" s="87">
        <v>3630325787</v>
      </c>
      <c r="N35" s="227" t="e">
        <f t="shared" si="2"/>
        <v>#DIV/0!</v>
      </c>
      <c r="V35" s="8"/>
      <c r="W35" s="8"/>
      <c r="X35" s="8"/>
      <c r="Y35" s="8"/>
    </row>
    <row r="36" spans="1:25" ht="22.5" x14ac:dyDescent="0.25">
      <c r="A36" s="5"/>
      <c r="B36" s="52"/>
      <c r="C36" s="5"/>
      <c r="D36" s="85" t="s">
        <v>6</v>
      </c>
      <c r="E36" s="86">
        <v>92412727</v>
      </c>
      <c r="F36" s="109">
        <v>4208381075</v>
      </c>
      <c r="G36" s="113">
        <f t="shared" si="3"/>
        <v>6.3652717931528713E-2</v>
      </c>
      <c r="H36" s="109">
        <v>4197202384</v>
      </c>
      <c r="I36" s="109">
        <v>4197202384</v>
      </c>
      <c r="J36" s="87">
        <v>3946027038</v>
      </c>
      <c r="N36" s="227" t="e">
        <f t="shared" si="2"/>
        <v>#DIV/0!</v>
      </c>
      <c r="V36" s="8"/>
      <c r="W36" s="8"/>
      <c r="X36" s="8"/>
      <c r="Y36" s="8"/>
    </row>
    <row r="37" spans="1:25" ht="23.25" thickBot="1" x14ac:dyDescent="0.3">
      <c r="B37" s="8"/>
      <c r="C37" s="5"/>
      <c r="D37" s="88" t="s">
        <v>7</v>
      </c>
      <c r="E37" s="89">
        <v>90724524</v>
      </c>
      <c r="F37" s="111">
        <v>4234047152</v>
      </c>
      <c r="G37" s="113">
        <f t="shared" si="3"/>
        <v>-1.2626246939035246E-2</v>
      </c>
      <c r="H37" s="111">
        <v>4158732063</v>
      </c>
      <c r="I37" s="111">
        <v>4158732063</v>
      </c>
      <c r="J37" s="90">
        <v>4211912713</v>
      </c>
      <c r="N37" s="649" t="e">
        <f t="shared" si="2"/>
        <v>#DIV/0!</v>
      </c>
      <c r="V37" s="8"/>
      <c r="W37" s="8"/>
      <c r="X37" s="8"/>
      <c r="Y37" s="8"/>
    </row>
    <row r="38" spans="1:25" ht="22.5" x14ac:dyDescent="0.3">
      <c r="C38" s="5"/>
      <c r="D38" s="112"/>
      <c r="E38" s="112"/>
      <c r="F38" s="112"/>
      <c r="G38" s="112"/>
      <c r="H38" s="112"/>
      <c r="I38" s="112"/>
      <c r="J38" s="504"/>
      <c r="K38" s="504"/>
    </row>
    <row r="39" spans="1:25" ht="23.25" thickBot="1" x14ac:dyDescent="0.3">
      <c r="C39" s="5"/>
      <c r="D39" s="674" t="s">
        <v>150</v>
      </c>
      <c r="E39" s="674"/>
      <c r="F39" s="674"/>
      <c r="G39" s="674"/>
      <c r="H39" s="674"/>
      <c r="I39" s="674"/>
      <c r="J39" s="504"/>
      <c r="K39" s="504"/>
    </row>
    <row r="40" spans="1:25" ht="22.5" x14ac:dyDescent="0.25">
      <c r="C40" s="5"/>
      <c r="D40" s="42" t="s">
        <v>1</v>
      </c>
      <c r="E40" s="43" t="s">
        <v>143</v>
      </c>
      <c r="F40" s="43" t="s">
        <v>92</v>
      </c>
      <c r="G40" s="43" t="s">
        <v>144</v>
      </c>
      <c r="H40" s="43" t="s">
        <v>145</v>
      </c>
      <c r="I40" s="16" t="s">
        <v>146</v>
      </c>
      <c r="J40" s="504"/>
      <c r="K40" s="504"/>
    </row>
    <row r="41" spans="1:25" ht="22.5" x14ac:dyDescent="0.25">
      <c r="C41" s="5"/>
      <c r="D41" s="85" t="s">
        <v>74</v>
      </c>
      <c r="E41" s="86" t="s">
        <v>517</v>
      </c>
      <c r="F41" s="86" t="s">
        <v>517</v>
      </c>
      <c r="G41" s="113"/>
      <c r="H41" s="113"/>
      <c r="I41" s="115"/>
      <c r="J41" s="86" t="s">
        <v>517</v>
      </c>
      <c r="K41" s="504">
        <v>0.12085078383044756</v>
      </c>
    </row>
    <row r="42" spans="1:25" ht="22.5" x14ac:dyDescent="0.25">
      <c r="C42" s="5"/>
      <c r="D42" s="85" t="s">
        <v>75</v>
      </c>
      <c r="E42" s="86" t="s">
        <v>517</v>
      </c>
      <c r="F42" s="86" t="s">
        <v>517</v>
      </c>
      <c r="G42" s="113"/>
      <c r="H42" s="113"/>
      <c r="I42" s="115"/>
      <c r="J42" s="86" t="s">
        <v>517</v>
      </c>
      <c r="K42" s="504">
        <v>0.10298501254586756</v>
      </c>
    </row>
    <row r="43" spans="1:25" ht="22.5" x14ac:dyDescent="0.25">
      <c r="C43" s="5"/>
      <c r="D43" s="85" t="s">
        <v>76</v>
      </c>
      <c r="E43" s="86" t="s">
        <v>517</v>
      </c>
      <c r="F43" s="86" t="s">
        <v>517</v>
      </c>
      <c r="G43" s="113"/>
      <c r="H43" s="113"/>
      <c r="I43" s="115"/>
      <c r="J43" s="86" t="s">
        <v>517</v>
      </c>
      <c r="K43" s="504">
        <v>5.2963851653517358E-2</v>
      </c>
    </row>
    <row r="44" spans="1:25" ht="22.5" x14ac:dyDescent="0.25">
      <c r="C44" s="5"/>
      <c r="D44" s="85" t="s">
        <v>4</v>
      </c>
      <c r="E44" s="86">
        <v>258217386</v>
      </c>
      <c r="F44" s="109">
        <v>714025656</v>
      </c>
      <c r="G44" s="113">
        <v>0</v>
      </c>
      <c r="H44" s="113" t="s">
        <v>101</v>
      </c>
      <c r="I44" s="115" t="s">
        <v>101</v>
      </c>
      <c r="J44" s="86" t="s">
        <v>517</v>
      </c>
      <c r="K44" s="504">
        <v>0.22439940300482353</v>
      </c>
    </row>
    <row r="45" spans="1:25" ht="22.5" x14ac:dyDescent="0.25">
      <c r="C45" s="5"/>
      <c r="D45" s="85" t="s">
        <v>5</v>
      </c>
      <c r="E45" s="86">
        <v>279722459</v>
      </c>
      <c r="F45" s="109">
        <v>686042927</v>
      </c>
      <c r="G45" s="109">
        <v>697181685</v>
      </c>
      <c r="H45" s="109">
        <v>711516461</v>
      </c>
      <c r="I45" s="87">
        <v>714025656</v>
      </c>
      <c r="J45" s="504">
        <f t="shared" si="1"/>
        <v>-2.3590148138878608E-2</v>
      </c>
      <c r="K45" s="504">
        <v>4.8981315076582099E-2</v>
      </c>
    </row>
    <row r="46" spans="1:25" ht="23.25" customHeight="1" x14ac:dyDescent="0.25">
      <c r="A46" s="5"/>
      <c r="B46" s="5"/>
      <c r="C46" s="5"/>
      <c r="D46" s="85" t="s">
        <v>6</v>
      </c>
      <c r="E46" s="86">
        <v>301073413</v>
      </c>
      <c r="F46" s="109">
        <v>758266445</v>
      </c>
      <c r="G46" s="109">
        <v>725952384</v>
      </c>
      <c r="H46" s="109">
        <v>725683415</v>
      </c>
      <c r="I46" s="87">
        <v>686042927</v>
      </c>
      <c r="J46" s="504">
        <f t="shared" si="1"/>
        <v>5.8173410772588641E-2</v>
      </c>
      <c r="K46" s="504">
        <v>3.4600052487566035E-2</v>
      </c>
    </row>
    <row r="47" spans="1:25" ht="23.25" thickBot="1" x14ac:dyDescent="0.3">
      <c r="C47" s="5"/>
      <c r="D47" s="88" t="s">
        <v>7</v>
      </c>
      <c r="E47" s="89">
        <v>321876384</v>
      </c>
      <c r="F47" s="111">
        <v>805583529</v>
      </c>
      <c r="G47" s="111">
        <v>802164885</v>
      </c>
      <c r="H47" s="111">
        <v>772606582</v>
      </c>
      <c r="I47" s="90">
        <v>758265178</v>
      </c>
      <c r="J47" s="504">
        <f t="shared" si="1"/>
        <v>5.7894926832575688E-2</v>
      </c>
      <c r="K47" s="504">
        <v>2.8052654467090932E-2</v>
      </c>
    </row>
    <row r="48" spans="1:25" ht="22.5" x14ac:dyDescent="0.3">
      <c r="C48" s="5"/>
      <c r="D48" s="112"/>
      <c r="E48" s="112"/>
      <c r="F48" s="112"/>
      <c r="G48" s="112"/>
      <c r="H48" s="112"/>
      <c r="I48" s="112"/>
      <c r="J48" s="504"/>
    </row>
    <row r="49" spans="4:12" ht="23.25" thickBot="1" x14ac:dyDescent="0.3">
      <c r="D49" s="674" t="s">
        <v>151</v>
      </c>
      <c r="E49" s="674"/>
      <c r="F49" s="674"/>
      <c r="G49" s="674"/>
      <c r="H49" s="674"/>
      <c r="I49" s="674"/>
      <c r="J49" s="504"/>
    </row>
    <row r="50" spans="4:12" ht="22.5" x14ac:dyDescent="0.25">
      <c r="D50" s="42" t="s">
        <v>1</v>
      </c>
      <c r="E50" s="43" t="s">
        <v>143</v>
      </c>
      <c r="F50" s="43" t="s">
        <v>92</v>
      </c>
      <c r="G50" s="43" t="s">
        <v>144</v>
      </c>
      <c r="H50" s="43" t="s">
        <v>145</v>
      </c>
      <c r="I50" s="16" t="s">
        <v>146</v>
      </c>
      <c r="J50" s="504"/>
    </row>
    <row r="51" spans="4:12" ht="22.5" x14ac:dyDescent="0.25">
      <c r="D51" s="85" t="s">
        <v>74</v>
      </c>
      <c r="E51" s="225">
        <v>16389891</v>
      </c>
      <c r="F51" s="113">
        <v>2693881413.4218006</v>
      </c>
      <c r="G51" s="504">
        <v>0.12085078383044756</v>
      </c>
      <c r="H51" s="113">
        <v>2573818533.0490503</v>
      </c>
      <c r="I51" s="113"/>
      <c r="J51" s="113">
        <v>2296307920.8930588</v>
      </c>
      <c r="L51" s="504"/>
    </row>
    <row r="52" spans="4:12" ht="22.5" x14ac:dyDescent="0.25">
      <c r="D52" s="85" t="s">
        <v>75</v>
      </c>
      <c r="E52" s="225">
        <v>17738894</v>
      </c>
      <c r="F52" s="113">
        <v>3007586354.8453903</v>
      </c>
      <c r="G52" s="504">
        <v>0.10298501254586756</v>
      </c>
      <c r="H52" s="113">
        <v>2971310824.5801244</v>
      </c>
      <c r="I52" s="113"/>
      <c r="J52" s="113">
        <v>2693881413.4218006</v>
      </c>
      <c r="L52" s="504"/>
    </row>
    <row r="53" spans="4:12" ht="22.5" x14ac:dyDescent="0.25">
      <c r="D53" s="85" t="s">
        <v>76</v>
      </c>
      <c r="E53" s="225">
        <v>19259205</v>
      </c>
      <c r="F53" s="113">
        <v>3212743040.872818</v>
      </c>
      <c r="G53" s="504">
        <v>5.2963851653517358E-2</v>
      </c>
      <c r="H53" s="113">
        <v>3166879712.3785648</v>
      </c>
      <c r="I53" s="113"/>
      <c r="J53" s="113">
        <v>3007586354.8453903</v>
      </c>
      <c r="L53" s="504"/>
    </row>
    <row r="54" spans="4:12" ht="22.5" x14ac:dyDescent="0.25">
      <c r="D54" s="85" t="s">
        <v>4</v>
      </c>
      <c r="E54" s="86">
        <v>21751043</v>
      </c>
      <c r="F54" s="109">
        <v>3333571276</v>
      </c>
      <c r="G54" s="504">
        <v>0.22439940300482353</v>
      </c>
      <c r="H54" s="113">
        <v>3933680661.2525797</v>
      </c>
      <c r="I54" s="113"/>
      <c r="J54" s="113">
        <v>3212743040.872818</v>
      </c>
      <c r="L54" s="504"/>
    </row>
    <row r="55" spans="4:12" ht="22.5" x14ac:dyDescent="0.25">
      <c r="D55" s="85" t="s">
        <v>5</v>
      </c>
      <c r="E55" s="86">
        <v>22674811</v>
      </c>
      <c r="F55" s="109">
        <v>3570652030</v>
      </c>
      <c r="G55" s="504">
        <v>4.8981315076582099E-2</v>
      </c>
      <c r="H55" s="109">
        <v>3496853981</v>
      </c>
      <c r="I55" s="109">
        <v>3424096327</v>
      </c>
      <c r="J55" s="87">
        <v>3333571276</v>
      </c>
      <c r="L55" s="504"/>
    </row>
    <row r="56" spans="4:12" ht="22.5" x14ac:dyDescent="0.25">
      <c r="D56" s="85" t="s">
        <v>6</v>
      </c>
      <c r="E56" s="86">
        <v>23440616</v>
      </c>
      <c r="F56" s="109">
        <v>3762869183</v>
      </c>
      <c r="G56" s="504">
        <v>3.4600052487566035E-2</v>
      </c>
      <c r="H56" s="109">
        <v>3694369560</v>
      </c>
      <c r="I56" s="109">
        <v>3663502661</v>
      </c>
      <c r="J56" s="87">
        <v>3570819034</v>
      </c>
      <c r="L56" s="504"/>
    </row>
    <row r="57" spans="4:12" ht="23.25" thickBot="1" x14ac:dyDescent="0.3">
      <c r="D57" s="88" t="s">
        <v>7</v>
      </c>
      <c r="E57" s="89">
        <v>24341950</v>
      </c>
      <c r="F57" s="111">
        <v>3863586450</v>
      </c>
      <c r="G57" s="504">
        <v>2.8052654467090932E-2</v>
      </c>
      <c r="H57" s="111">
        <v>3868161190</v>
      </c>
      <c r="I57" s="111">
        <v>3771793975</v>
      </c>
      <c r="J57" s="90">
        <v>3762609992</v>
      </c>
      <c r="L57" s="504"/>
    </row>
    <row r="58" spans="4:12" ht="22.5" x14ac:dyDescent="0.3">
      <c r="D58" s="112"/>
      <c r="E58" s="112"/>
      <c r="F58" s="112"/>
      <c r="G58" s="112"/>
      <c r="H58" s="112"/>
      <c r="I58" s="112"/>
      <c r="J58" s="504"/>
    </row>
    <row r="59" spans="4:12" ht="23.25" thickBot="1" x14ac:dyDescent="0.3">
      <c r="D59" s="674" t="s">
        <v>152</v>
      </c>
      <c r="E59" s="674"/>
      <c r="F59" s="674"/>
      <c r="G59" s="674"/>
      <c r="H59" s="674"/>
      <c r="I59" s="674"/>
      <c r="J59" s="504"/>
    </row>
    <row r="60" spans="4:12" ht="22.5" x14ac:dyDescent="0.25">
      <c r="D60" s="42" t="s">
        <v>1</v>
      </c>
      <c r="E60" s="43" t="s">
        <v>143</v>
      </c>
      <c r="F60" s="43" t="s">
        <v>92</v>
      </c>
      <c r="G60" s="43" t="s">
        <v>144</v>
      </c>
      <c r="H60" s="43" t="s">
        <v>145</v>
      </c>
      <c r="I60" s="16" t="s">
        <v>146</v>
      </c>
      <c r="J60" s="504"/>
    </row>
    <row r="61" spans="4:12" ht="22.5" x14ac:dyDescent="0.25">
      <c r="D61" s="85" t="s">
        <v>74</v>
      </c>
      <c r="E61" s="86" t="s">
        <v>517</v>
      </c>
      <c r="F61" s="109" t="s">
        <v>517</v>
      </c>
      <c r="G61" s="113"/>
      <c r="H61" s="113"/>
      <c r="I61" s="115"/>
      <c r="J61" s="504" t="s">
        <v>517</v>
      </c>
    </row>
    <row r="62" spans="4:12" ht="22.5" x14ac:dyDescent="0.25">
      <c r="D62" s="85" t="s">
        <v>75</v>
      </c>
      <c r="E62" s="86" t="s">
        <v>517</v>
      </c>
      <c r="F62" s="109" t="s">
        <v>517</v>
      </c>
      <c r="G62" s="113"/>
      <c r="H62" s="113"/>
      <c r="I62" s="115"/>
      <c r="J62" s="504" t="s">
        <v>517</v>
      </c>
    </row>
    <row r="63" spans="4:12" ht="22.5" x14ac:dyDescent="0.25">
      <c r="D63" s="85" t="s">
        <v>76</v>
      </c>
      <c r="E63" s="86">
        <v>6696525</v>
      </c>
      <c r="F63" s="109">
        <v>172274228</v>
      </c>
      <c r="G63" s="113"/>
      <c r="H63" s="113"/>
      <c r="I63" s="115"/>
      <c r="J63" s="504" t="s">
        <v>517</v>
      </c>
    </row>
    <row r="64" spans="4:12" ht="22.5" x14ac:dyDescent="0.25">
      <c r="D64" s="85" t="s">
        <v>4</v>
      </c>
      <c r="E64" s="86">
        <v>7654290</v>
      </c>
      <c r="F64" s="109">
        <v>214203331</v>
      </c>
      <c r="G64" s="113">
        <v>213611307</v>
      </c>
      <c r="H64" s="113" t="s">
        <v>101</v>
      </c>
      <c r="I64" s="109">
        <v>172274228</v>
      </c>
      <c r="J64" s="504">
        <f t="shared" si="1"/>
        <v>0.23994929177682911</v>
      </c>
    </row>
    <row r="65" spans="1:12" ht="22.5" x14ac:dyDescent="0.25">
      <c r="D65" s="85" t="s">
        <v>5</v>
      </c>
      <c r="E65" s="86">
        <v>8965833</v>
      </c>
      <c r="F65" s="109">
        <v>254832199</v>
      </c>
      <c r="G65" s="109">
        <v>249054148</v>
      </c>
      <c r="H65" s="109">
        <v>214830996</v>
      </c>
      <c r="I65" s="87">
        <v>214203331</v>
      </c>
      <c r="J65" s="504">
        <f t="shared" si="1"/>
        <v>0.16269969676615337</v>
      </c>
    </row>
    <row r="66" spans="1:12" ht="22.5" x14ac:dyDescent="0.25">
      <c r="D66" s="85" t="s">
        <v>6</v>
      </c>
      <c r="E66" s="86">
        <v>7236366</v>
      </c>
      <c r="F66" s="109">
        <v>194852225</v>
      </c>
      <c r="G66" s="109">
        <v>205969612</v>
      </c>
      <c r="H66" s="109">
        <v>240657558</v>
      </c>
      <c r="I66" s="87">
        <v>254832199</v>
      </c>
      <c r="J66" s="504">
        <f t="shared" si="1"/>
        <v>-0.19174416416663265</v>
      </c>
    </row>
    <row r="67" spans="1:12" ht="23.25" thickBot="1" x14ac:dyDescent="0.3">
      <c r="D67" s="88" t="s">
        <v>7</v>
      </c>
      <c r="E67" s="89">
        <v>435669</v>
      </c>
      <c r="F67" s="111">
        <v>5470622</v>
      </c>
      <c r="G67" s="111">
        <v>5488318</v>
      </c>
      <c r="H67" s="111">
        <v>200223916</v>
      </c>
      <c r="I67" s="90">
        <v>194852225</v>
      </c>
      <c r="J67" s="504">
        <f t="shared" si="1"/>
        <v>-0.97183343428590563</v>
      </c>
    </row>
    <row r="68" spans="1:12" ht="22.5" x14ac:dyDescent="0.3">
      <c r="D68" s="112"/>
      <c r="E68" s="112"/>
      <c r="F68" s="112"/>
      <c r="G68" s="112"/>
      <c r="H68" s="112"/>
      <c r="I68" s="112"/>
      <c r="J68" s="504"/>
    </row>
    <row r="69" spans="1:12" ht="23.25" thickBot="1" x14ac:dyDescent="0.3">
      <c r="D69" s="674" t="s">
        <v>112</v>
      </c>
      <c r="E69" s="674"/>
      <c r="F69" s="674"/>
      <c r="G69" s="674"/>
      <c r="H69" s="674"/>
      <c r="I69" s="674"/>
      <c r="J69" s="504"/>
    </row>
    <row r="70" spans="1:12" ht="22.5" x14ac:dyDescent="0.25">
      <c r="A70" t="s">
        <v>539</v>
      </c>
      <c r="D70" s="42" t="s">
        <v>1</v>
      </c>
      <c r="E70" s="43" t="s">
        <v>143</v>
      </c>
      <c r="F70" s="43" t="s">
        <v>92</v>
      </c>
      <c r="G70" s="43" t="s">
        <v>144</v>
      </c>
      <c r="H70" s="43" t="s">
        <v>145</v>
      </c>
      <c r="I70" s="16" t="s">
        <v>146</v>
      </c>
      <c r="J70" s="504"/>
    </row>
    <row r="71" spans="1:12" ht="22.5" x14ac:dyDescent="0.25">
      <c r="A71" t="s">
        <v>540</v>
      </c>
      <c r="D71" s="85" t="s">
        <v>74</v>
      </c>
      <c r="E71" s="86">
        <v>290850067</v>
      </c>
      <c r="F71" s="86">
        <v>9236600997</v>
      </c>
      <c r="G71" s="113"/>
      <c r="H71" s="113"/>
      <c r="I71" s="115"/>
      <c r="J71" s="504" t="s">
        <v>517</v>
      </c>
    </row>
    <row r="72" spans="1:12" ht="22.5" x14ac:dyDescent="0.25">
      <c r="A72" t="s">
        <v>541</v>
      </c>
      <c r="D72" s="85" t="s">
        <v>75</v>
      </c>
      <c r="E72" s="86">
        <v>317944597</v>
      </c>
      <c r="F72" s="86">
        <v>10239082145</v>
      </c>
      <c r="G72" s="653">
        <f>E72*F71/E71</f>
        <v>10097049011.994772</v>
      </c>
      <c r="H72" s="113"/>
      <c r="I72" s="86">
        <v>9236600997</v>
      </c>
      <c r="J72" s="504">
        <f t="shared" si="1"/>
        <v>9.3156347803076134E-2</v>
      </c>
    </row>
    <row r="73" spans="1:12" ht="22.5" x14ac:dyDescent="0.25">
      <c r="A73" t="s">
        <v>542</v>
      </c>
      <c r="D73" s="85" t="s">
        <v>76</v>
      </c>
      <c r="E73" s="86">
        <v>359444019</v>
      </c>
      <c r="F73" s="86">
        <v>12049482351</v>
      </c>
      <c r="G73" s="653">
        <f>E73*F72/E72</f>
        <v>11575528792.741022</v>
      </c>
      <c r="H73" s="113"/>
      <c r="I73" s="86">
        <v>10239082145</v>
      </c>
      <c r="J73" s="504">
        <f t="shared" si="1"/>
        <v>0.13052406737391431</v>
      </c>
    </row>
    <row r="74" spans="1:12" ht="22.5" x14ac:dyDescent="0.25">
      <c r="A74" t="s">
        <v>543</v>
      </c>
      <c r="D74" s="85" t="s">
        <v>4</v>
      </c>
      <c r="E74" s="109">
        <f t="shared" ref="E74:G75" si="4">E13+E24+E44+E64+E144+E94+E104+E114+E124+E134</f>
        <v>369458611</v>
      </c>
      <c r="F74" s="109">
        <f t="shared" ref="F74" si="5">F13+F24+F44+F64+F144+F94+F104+F114+F124+F134</f>
        <v>10623346440</v>
      </c>
      <c r="G74" s="109">
        <v>11487835890</v>
      </c>
      <c r="H74" s="86">
        <v>4401019</v>
      </c>
      <c r="I74" s="86">
        <v>12049482351</v>
      </c>
      <c r="J74" s="504">
        <f t="shared" si="1"/>
        <v>-4.6611667177004379E-2</v>
      </c>
      <c r="K74" s="109">
        <v>312604566</v>
      </c>
    </row>
    <row r="75" spans="1:12" ht="22.5" x14ac:dyDescent="0.25">
      <c r="A75" t="s">
        <v>544</v>
      </c>
      <c r="D75" s="85" t="s">
        <v>5</v>
      </c>
      <c r="E75" s="109">
        <f t="shared" si="4"/>
        <v>401864132</v>
      </c>
      <c r="F75" s="109">
        <f t="shared" si="4"/>
        <v>12162031638.5</v>
      </c>
      <c r="G75" s="109">
        <f t="shared" si="4"/>
        <v>11886326270.5</v>
      </c>
      <c r="H75" s="86">
        <v>4782324</v>
      </c>
      <c r="I75" s="109">
        <f t="shared" ref="I75" si="6">I14+I25+I45+I65+I145+I95+I105+I115+I125+I135</f>
        <v>10622599460</v>
      </c>
      <c r="J75" s="504">
        <f t="shared" si="1"/>
        <v>0.11896587226682453</v>
      </c>
      <c r="K75" s="109">
        <v>346684042</v>
      </c>
      <c r="L75" s="87">
        <v>312462521</v>
      </c>
    </row>
    <row r="76" spans="1:12" ht="23.25" customHeight="1" x14ac:dyDescent="0.25">
      <c r="D76" s="85" t="s">
        <v>6</v>
      </c>
      <c r="E76" s="109">
        <f t="shared" ref="E76" si="7">E15+E26+E46+E66+H76+E96+E106+E116+E126+E136</f>
        <v>414123933</v>
      </c>
      <c r="F76" s="109">
        <f t="shared" ref="F76:G76" si="8">F15+F26+F46+F66+F146+F96+F106+F116+F126+F136</f>
        <v>13307869308</v>
      </c>
      <c r="G76" s="109">
        <f t="shared" si="8"/>
        <v>12856836494</v>
      </c>
      <c r="H76" s="86">
        <v>4767718</v>
      </c>
      <c r="I76" s="109">
        <f t="shared" ref="I76" si="9">I15+I26+I46+I66+I146+I96+I106+I116+I126+I136</f>
        <v>12171570125.5</v>
      </c>
      <c r="J76" s="504">
        <f t="shared" si="1"/>
        <v>5.630057268160793E-2</v>
      </c>
      <c r="K76" s="109">
        <v>343509280</v>
      </c>
      <c r="L76" s="87">
        <v>346530256</v>
      </c>
    </row>
    <row r="77" spans="1:12" ht="23.25" thickBot="1" x14ac:dyDescent="0.3">
      <c r="D77" s="88" t="s">
        <v>7</v>
      </c>
      <c r="E77" s="109">
        <f>E16+E27+E47+E67+E147+E97+E107+E117+E127+E137</f>
        <v>428746070</v>
      </c>
      <c r="F77" s="109">
        <f>F16+F27+F47+F67+F147+F97+F107+F117+F127+F137</f>
        <v>13629397236.9</v>
      </c>
      <c r="G77" s="109">
        <f>G16+G27+G47+G67+G147+G97+G107+G117+G127+G137</f>
        <v>13803182674.9</v>
      </c>
      <c r="H77" s="89">
        <v>4789366</v>
      </c>
      <c r="I77" s="109">
        <f t="shared" ref="I77" si="10">I16+I27+I47+I67+I147+I97+I107+I117+I127+I137</f>
        <v>13323627800</v>
      </c>
      <c r="J77" s="504">
        <f t="shared" si="1"/>
        <v>3.5992815327669181E-2</v>
      </c>
      <c r="K77" s="111">
        <v>358130706</v>
      </c>
      <c r="L77" s="90">
        <v>344237891</v>
      </c>
    </row>
    <row r="78" spans="1:12" ht="22.5" x14ac:dyDescent="0.3">
      <c r="D78" s="112"/>
      <c r="E78" s="112"/>
      <c r="F78" s="112"/>
      <c r="G78" s="112"/>
      <c r="H78" s="112"/>
      <c r="I78" s="112"/>
      <c r="J78" s="504"/>
    </row>
    <row r="79" spans="1:12" ht="23.25" thickBot="1" x14ac:dyDescent="0.3">
      <c r="D79" s="674" t="s">
        <v>153</v>
      </c>
      <c r="E79" s="674"/>
      <c r="F79" s="674"/>
      <c r="G79" s="674"/>
      <c r="H79" s="674"/>
      <c r="I79" s="674"/>
      <c r="J79" s="504"/>
    </row>
    <row r="80" spans="1:12" ht="22.5" x14ac:dyDescent="0.25">
      <c r="D80" s="42" t="s">
        <v>1</v>
      </c>
      <c r="E80" s="43" t="s">
        <v>143</v>
      </c>
      <c r="F80" s="43" t="s">
        <v>92</v>
      </c>
      <c r="G80" s="43" t="s">
        <v>144</v>
      </c>
      <c r="H80" s="43" t="s">
        <v>145</v>
      </c>
      <c r="I80" s="16" t="s">
        <v>146</v>
      </c>
      <c r="J80" s="504"/>
    </row>
    <row r="81" spans="4:10" ht="22.5" x14ac:dyDescent="0.25">
      <c r="D81" s="85" t="s">
        <v>74</v>
      </c>
      <c r="E81" s="86">
        <v>52724302</v>
      </c>
      <c r="F81">
        <v>5569045486.7889786</v>
      </c>
      <c r="G81">
        <v>5424654905.8055468</v>
      </c>
      <c r="H81" s="113"/>
      <c r="I81" s="113">
        <v>4925122087.2610188</v>
      </c>
      <c r="J81" s="504">
        <f t="shared" si="1"/>
        <v>0.10142546919528872</v>
      </c>
    </row>
    <row r="82" spans="4:10" ht="22.5" x14ac:dyDescent="0.25">
      <c r="D82" s="85" t="s">
        <v>75</v>
      </c>
      <c r="E82" s="86">
        <v>60541477</v>
      </c>
      <c r="F82">
        <v>6213177870.8596992</v>
      </c>
      <c r="G82">
        <v>6118821077.0138874</v>
      </c>
      <c r="H82" s="113"/>
      <c r="I82" s="113">
        <v>5569045486.7889786</v>
      </c>
      <c r="J82" s="504">
        <f t="shared" si="1"/>
        <v>9.8719895811427483E-2</v>
      </c>
    </row>
    <row r="83" spans="4:10" ht="22.5" x14ac:dyDescent="0.25">
      <c r="D83" s="85" t="s">
        <v>76</v>
      </c>
      <c r="E83" s="86">
        <v>63453507</v>
      </c>
      <c r="F83">
        <v>5880117484.2040462</v>
      </c>
      <c r="G83">
        <v>5787246983.4031582</v>
      </c>
      <c r="H83" s="113"/>
      <c r="I83" s="113">
        <v>6213177870.8596992</v>
      </c>
      <c r="J83" s="504">
        <f t="shared" si="1"/>
        <v>-6.8552823741646063E-2</v>
      </c>
    </row>
    <row r="84" spans="4:10" ht="22.5" x14ac:dyDescent="0.25">
      <c r="D84" s="85" t="s">
        <v>4</v>
      </c>
      <c r="E84" s="86">
        <v>69678564</v>
      </c>
      <c r="F84" s="109">
        <v>6552679133</v>
      </c>
      <c r="G84">
        <v>6359890931.8221846</v>
      </c>
      <c r="H84" s="113" t="s">
        <v>101</v>
      </c>
      <c r="I84">
        <v>5880117484.2040462</v>
      </c>
      <c r="J84" s="504">
        <f>G84/I84-1</f>
        <v>8.1592493501527752E-2</v>
      </c>
    </row>
    <row r="85" spans="4:10" ht="22.5" x14ac:dyDescent="0.25">
      <c r="D85" s="85" t="s">
        <v>5</v>
      </c>
      <c r="E85" s="86">
        <v>74421017</v>
      </c>
      <c r="F85" s="109">
        <v>7317052852</v>
      </c>
      <c r="G85" s="109">
        <v>7041261652</v>
      </c>
      <c r="H85" s="109">
        <v>6832343870</v>
      </c>
      <c r="I85" s="87">
        <v>6549476601</v>
      </c>
      <c r="J85" s="504">
        <f t="shared" si="1"/>
        <v>7.5087687300831485E-2</v>
      </c>
    </row>
    <row r="86" spans="4:10" ht="23.25" customHeight="1" x14ac:dyDescent="0.25">
      <c r="D86" s="85" t="s">
        <v>6</v>
      </c>
      <c r="E86" s="86">
        <v>76761100</v>
      </c>
      <c r="F86" s="109">
        <v>7623618289</v>
      </c>
      <c r="G86" s="109">
        <v>7461952695</v>
      </c>
      <c r="H86" s="109">
        <v>7815238015</v>
      </c>
      <c r="I86" s="87">
        <v>7313605504</v>
      </c>
      <c r="J86" s="504">
        <f t="shared" si="1"/>
        <v>2.0283728855605476E-2</v>
      </c>
    </row>
    <row r="87" spans="4:10" ht="23.25" thickBot="1" x14ac:dyDescent="0.3">
      <c r="D87" s="88" t="s">
        <v>7</v>
      </c>
      <c r="E87" s="89">
        <v>81263904</v>
      </c>
      <c r="F87" s="111">
        <v>8516922013</v>
      </c>
      <c r="G87" s="111">
        <v>8403055628</v>
      </c>
      <c r="H87" s="111">
        <v>7909146363</v>
      </c>
      <c r="I87" s="90">
        <v>7632229155</v>
      </c>
      <c r="J87" s="504">
        <f t="shared" si="1"/>
        <v>0.10099624334458279</v>
      </c>
    </row>
    <row r="88" spans="4:10" ht="22.5" x14ac:dyDescent="0.3">
      <c r="D88" s="112"/>
      <c r="E88" s="112"/>
      <c r="F88" s="112"/>
      <c r="G88" s="112"/>
      <c r="H88" s="112"/>
      <c r="I88" s="112"/>
      <c r="J88" s="504"/>
    </row>
    <row r="89" spans="4:10" ht="23.25" thickBot="1" x14ac:dyDescent="0.3">
      <c r="D89" s="674" t="s">
        <v>154</v>
      </c>
      <c r="E89" s="674"/>
      <c r="F89" s="674"/>
      <c r="G89" s="674"/>
      <c r="H89" s="674"/>
      <c r="I89" s="674"/>
      <c r="J89" s="504"/>
    </row>
    <row r="90" spans="4:10" ht="22.5" x14ac:dyDescent="0.25">
      <c r="D90" s="42" t="s">
        <v>1</v>
      </c>
      <c r="E90" s="43" t="s">
        <v>143</v>
      </c>
      <c r="F90" s="43" t="s">
        <v>92</v>
      </c>
      <c r="G90" s="43" t="s">
        <v>144</v>
      </c>
      <c r="H90" s="43" t="s">
        <v>145</v>
      </c>
      <c r="I90" s="16" t="s">
        <v>146</v>
      </c>
      <c r="J90" s="504"/>
    </row>
    <row r="91" spans="4:10" ht="22.5" x14ac:dyDescent="0.25">
      <c r="D91" s="85" t="s">
        <v>74</v>
      </c>
      <c r="E91" s="86">
        <v>5152720</v>
      </c>
      <c r="F91" s="109">
        <v>158956340</v>
      </c>
      <c r="G91" s="113">
        <v>135808394</v>
      </c>
      <c r="H91" s="113"/>
      <c r="I91" s="115"/>
      <c r="J91" s="504" t="s">
        <v>517</v>
      </c>
    </row>
    <row r="92" spans="4:10" ht="22.5" x14ac:dyDescent="0.25">
      <c r="D92" s="85" t="s">
        <v>75</v>
      </c>
      <c r="E92" s="86">
        <v>5784605</v>
      </c>
      <c r="F92" s="109">
        <v>191925663</v>
      </c>
      <c r="G92" s="113">
        <v>192436592</v>
      </c>
      <c r="H92" s="113"/>
      <c r="I92" s="109">
        <v>158956340</v>
      </c>
      <c r="J92" s="504">
        <f t="shared" si="1"/>
        <v>0.21062545853786019</v>
      </c>
    </row>
    <row r="93" spans="4:10" ht="22.5" x14ac:dyDescent="0.25">
      <c r="D93" s="85" t="s">
        <v>76</v>
      </c>
      <c r="E93" s="86">
        <v>23918500</v>
      </c>
      <c r="F93" s="109">
        <v>1627456248</v>
      </c>
      <c r="G93" s="650">
        <f>F92*E93/E92</f>
        <v>793584690.82426548</v>
      </c>
      <c r="H93" s="113"/>
      <c r="I93" s="109">
        <v>191925663</v>
      </c>
      <c r="J93" s="504">
        <f t="shared" si="1"/>
        <v>3.1348544974116646</v>
      </c>
    </row>
    <row r="94" spans="4:10" ht="22.5" x14ac:dyDescent="0.25">
      <c r="D94" s="85" t="s">
        <v>4</v>
      </c>
      <c r="E94" s="86">
        <v>7614437</v>
      </c>
      <c r="F94" s="109">
        <v>787120593</v>
      </c>
      <c r="G94" s="113">
        <v>1141751369</v>
      </c>
      <c r="H94" s="113" t="s">
        <v>101</v>
      </c>
      <c r="I94" s="109">
        <v>1627456248</v>
      </c>
      <c r="J94" s="504">
        <f t="shared" si="1"/>
        <v>-0.29844420063328181</v>
      </c>
    </row>
    <row r="95" spans="4:10" ht="22.5" x14ac:dyDescent="0.25">
      <c r="D95" s="85" t="s">
        <v>5</v>
      </c>
      <c r="E95" s="86">
        <v>7852498</v>
      </c>
      <c r="F95" s="109">
        <v>800938521</v>
      </c>
      <c r="G95" s="109">
        <v>838950381</v>
      </c>
      <c r="H95" s="109">
        <v>783241003</v>
      </c>
      <c r="I95" s="87">
        <v>787120593</v>
      </c>
      <c r="J95" s="504">
        <f t="shared" si="1"/>
        <v>6.5847328174273745E-2</v>
      </c>
    </row>
    <row r="96" spans="4:10" ht="22.5" x14ac:dyDescent="0.25">
      <c r="D96" s="85" t="s">
        <v>6</v>
      </c>
      <c r="E96" s="86">
        <v>8347404</v>
      </c>
      <c r="F96" s="109">
        <v>865482297</v>
      </c>
      <c r="G96" s="109">
        <v>848524818</v>
      </c>
      <c r="H96" s="109">
        <v>822492238</v>
      </c>
      <c r="I96" s="87">
        <v>801176661</v>
      </c>
      <c r="J96" s="504">
        <f t="shared" si="1"/>
        <v>5.9098272958802545E-2</v>
      </c>
    </row>
    <row r="97" spans="4:11" ht="23.25" thickBot="1" x14ac:dyDescent="0.3">
      <c r="D97" s="88" t="s">
        <v>7</v>
      </c>
      <c r="E97" s="89">
        <v>8491834</v>
      </c>
      <c r="F97" s="111">
        <v>821622082</v>
      </c>
      <c r="G97" s="111">
        <v>873589758</v>
      </c>
      <c r="H97" s="111">
        <v>825689546</v>
      </c>
      <c r="I97" s="90">
        <v>865367874</v>
      </c>
      <c r="J97" s="504">
        <f t="shared" si="1"/>
        <v>9.501027536411577E-3</v>
      </c>
    </row>
    <row r="98" spans="4:11" ht="22.5" x14ac:dyDescent="0.3">
      <c r="D98" s="112"/>
      <c r="E98" s="112"/>
      <c r="F98" s="112"/>
      <c r="G98" s="112"/>
      <c r="H98" s="112"/>
      <c r="I98" s="112"/>
      <c r="J98" s="504"/>
    </row>
    <row r="99" spans="4:11" ht="23.25" thickBot="1" x14ac:dyDescent="0.3">
      <c r="D99" s="674" t="s">
        <v>155</v>
      </c>
      <c r="E99" s="674"/>
      <c r="F99" s="674"/>
      <c r="G99" s="674"/>
      <c r="H99" s="674"/>
      <c r="I99" s="674"/>
      <c r="J99" s="504"/>
    </row>
    <row r="100" spans="4:11" ht="22.5" x14ac:dyDescent="0.25">
      <c r="D100" s="42" t="s">
        <v>1</v>
      </c>
      <c r="E100" s="43" t="s">
        <v>143</v>
      </c>
      <c r="F100" s="43" t="s">
        <v>92</v>
      </c>
      <c r="G100" s="43" t="s">
        <v>144</v>
      </c>
      <c r="H100" s="43" t="s">
        <v>145</v>
      </c>
      <c r="I100" s="16" t="s">
        <v>146</v>
      </c>
      <c r="J100" s="504"/>
    </row>
    <row r="101" spans="4:11" ht="22.5" x14ac:dyDescent="0.25">
      <c r="D101" s="85" t="s">
        <v>74</v>
      </c>
      <c r="E101" s="86">
        <v>4095087</v>
      </c>
      <c r="F101" s="109">
        <v>728227736</v>
      </c>
      <c r="G101" s="113">
        <v>915291947</v>
      </c>
      <c r="H101" s="113"/>
      <c r="I101" s="115">
        <v>604831414</v>
      </c>
      <c r="J101" s="504" t="s">
        <v>517</v>
      </c>
    </row>
    <row r="102" spans="4:11" ht="22.5" x14ac:dyDescent="0.25">
      <c r="D102" s="85" t="s">
        <v>75</v>
      </c>
      <c r="E102" s="86">
        <v>4509489</v>
      </c>
      <c r="F102" s="109">
        <v>834995804</v>
      </c>
      <c r="G102" s="113">
        <v>788468499</v>
      </c>
      <c r="H102" s="113"/>
      <c r="I102" s="115">
        <v>728227735</v>
      </c>
      <c r="J102" s="504">
        <f t="shared" si="1"/>
        <v>8.2722424737091238E-2</v>
      </c>
    </row>
    <row r="103" spans="4:11" ht="22.5" x14ac:dyDescent="0.25">
      <c r="D103" s="85" t="s">
        <v>76</v>
      </c>
      <c r="E103" s="86">
        <v>3028598</v>
      </c>
      <c r="F103" s="109">
        <v>730089548</v>
      </c>
      <c r="G103" s="650">
        <f>E103*(F102/E102)</f>
        <v>560787845.80753875</v>
      </c>
      <c r="H103" s="113"/>
      <c r="I103" s="115">
        <v>834995804</v>
      </c>
      <c r="J103" s="504">
        <f t="shared" si="1"/>
        <v>-0.32839441453344265</v>
      </c>
    </row>
    <row r="104" spans="4:11" ht="22.5" x14ac:dyDescent="0.25">
      <c r="D104" s="85" t="s">
        <v>4</v>
      </c>
      <c r="E104" s="86">
        <v>2732048</v>
      </c>
      <c r="F104" s="109">
        <v>706962591</v>
      </c>
      <c r="G104" s="113">
        <v>397987463</v>
      </c>
      <c r="H104" s="113" t="s">
        <v>101</v>
      </c>
      <c r="I104" s="109">
        <v>730089548</v>
      </c>
      <c r="J104" s="504">
        <f t="shared" si="1"/>
        <v>-0.45487856374571745</v>
      </c>
    </row>
    <row r="105" spans="4:11" ht="22.5" x14ac:dyDescent="0.25">
      <c r="D105" s="85" t="s">
        <v>5</v>
      </c>
      <c r="E105" s="86">
        <v>3277757</v>
      </c>
      <c r="F105" s="109">
        <v>868540789</v>
      </c>
      <c r="G105" s="109">
        <v>843694019</v>
      </c>
      <c r="H105" s="109">
        <v>737796634</v>
      </c>
      <c r="I105" s="87">
        <v>706956517</v>
      </c>
      <c r="J105" s="504">
        <f t="shared" si="1"/>
        <v>0.19341713204689226</v>
      </c>
    </row>
    <row r="106" spans="4:11" ht="22.5" x14ac:dyDescent="0.25">
      <c r="D106" s="85" t="s">
        <v>6</v>
      </c>
      <c r="E106" s="86">
        <v>3277430</v>
      </c>
      <c r="F106" s="109">
        <v>915858318</v>
      </c>
      <c r="G106" s="109">
        <v>882689921</v>
      </c>
      <c r="H106" s="109">
        <v>926857897</v>
      </c>
      <c r="I106" s="87">
        <v>868281947</v>
      </c>
      <c r="J106" s="504">
        <f t="shared" ref="J106:J137" si="11">G106/I106-1</f>
        <v>1.6593658373044606E-2</v>
      </c>
    </row>
    <row r="107" spans="4:11" ht="23.25" thickBot="1" x14ac:dyDescent="0.3">
      <c r="D107" s="88" t="s">
        <v>7</v>
      </c>
      <c r="E107" s="89">
        <v>3314085</v>
      </c>
      <c r="F107" s="111">
        <v>945029495</v>
      </c>
      <c r="G107" s="111">
        <v>936162994</v>
      </c>
      <c r="H107" s="111">
        <v>927813578</v>
      </c>
      <c r="I107" s="90">
        <v>915858318</v>
      </c>
      <c r="J107" s="504">
        <f t="shared" si="11"/>
        <v>2.2170106009781199E-2</v>
      </c>
    </row>
    <row r="108" spans="4:11" ht="22.5" x14ac:dyDescent="0.3">
      <c r="D108" s="112"/>
      <c r="E108" s="112"/>
      <c r="F108" s="112"/>
      <c r="G108" s="112"/>
      <c r="H108" s="112"/>
      <c r="I108" s="112"/>
      <c r="J108" s="504"/>
    </row>
    <row r="109" spans="4:11" ht="23.25" thickBot="1" x14ac:dyDescent="0.3">
      <c r="D109" s="674" t="s">
        <v>156</v>
      </c>
      <c r="E109" s="674"/>
      <c r="F109" s="674"/>
      <c r="G109" s="674"/>
      <c r="H109" s="674"/>
      <c r="I109" s="674"/>
      <c r="J109" s="504"/>
    </row>
    <row r="110" spans="4:11" ht="22.5" x14ac:dyDescent="0.25">
      <c r="D110" s="42" t="s">
        <v>1</v>
      </c>
      <c r="E110" s="43" t="s">
        <v>143</v>
      </c>
      <c r="F110" s="43" t="s">
        <v>92</v>
      </c>
      <c r="G110" s="43" t="s">
        <v>144</v>
      </c>
      <c r="H110" s="43" t="s">
        <v>145</v>
      </c>
      <c r="I110" s="16" t="s">
        <v>146</v>
      </c>
      <c r="J110" s="504"/>
    </row>
    <row r="111" spans="4:11" ht="22.5" x14ac:dyDescent="0.25">
      <c r="D111" s="85" t="s">
        <v>74</v>
      </c>
      <c r="E111" s="86">
        <v>8232432</v>
      </c>
      <c r="F111" s="109">
        <v>425844411</v>
      </c>
      <c r="G111" s="113">
        <v>411622952</v>
      </c>
      <c r="H111" s="113"/>
      <c r="I111" s="115">
        <v>377545326</v>
      </c>
      <c r="J111" s="504" t="s">
        <v>517</v>
      </c>
      <c r="K111" t="s">
        <v>529</v>
      </c>
    </row>
    <row r="112" spans="4:11" ht="22.5" x14ac:dyDescent="0.25">
      <c r="D112" s="85" t="s">
        <v>75</v>
      </c>
      <c r="E112" s="86">
        <v>6819136</v>
      </c>
      <c r="F112" s="109">
        <v>435433344</v>
      </c>
      <c r="G112" s="650">
        <f>E112*(F111/E111)</f>
        <v>352737921.60674953</v>
      </c>
      <c r="H112" s="113"/>
      <c r="I112" s="109">
        <v>425844411</v>
      </c>
      <c r="J112" s="504">
        <f t="shared" si="11"/>
        <v>-0.17167417842017996</v>
      </c>
      <c r="K112" t="s">
        <v>530</v>
      </c>
    </row>
    <row r="113" spans="4:11" ht="22.5" x14ac:dyDescent="0.25">
      <c r="D113" s="85" t="s">
        <v>76</v>
      </c>
      <c r="E113" s="86">
        <v>4200298</v>
      </c>
      <c r="F113" s="109">
        <v>438326125</v>
      </c>
      <c r="G113" s="650">
        <f>E113*(F112/E112)</f>
        <v>268208436.36738026</v>
      </c>
      <c r="H113" s="113"/>
      <c r="I113" s="109">
        <v>435433344</v>
      </c>
      <c r="J113" s="504">
        <f t="shared" si="11"/>
        <v>-0.38404249453303174</v>
      </c>
      <c r="K113" t="s">
        <v>531</v>
      </c>
    </row>
    <row r="114" spans="4:11" ht="22.5" x14ac:dyDescent="0.25">
      <c r="D114" s="85" t="s">
        <v>4</v>
      </c>
      <c r="E114" s="86">
        <v>3980793</v>
      </c>
      <c r="F114" s="109">
        <v>453477771</v>
      </c>
      <c r="G114" s="113">
        <v>445459500</v>
      </c>
      <c r="H114" s="113" t="s">
        <v>101</v>
      </c>
      <c r="I114" s="109">
        <v>438326125</v>
      </c>
      <c r="J114" s="504">
        <f t="shared" si="11"/>
        <v>1.6274126941441258E-2</v>
      </c>
      <c r="K114" t="s">
        <v>532</v>
      </c>
    </row>
    <row r="115" spans="4:11" ht="22.5" x14ac:dyDescent="0.25">
      <c r="D115" s="85" t="s">
        <v>5</v>
      </c>
      <c r="E115" s="86">
        <v>4091245</v>
      </c>
      <c r="F115" s="109">
        <v>489100439</v>
      </c>
      <c r="G115" s="109">
        <v>481010912</v>
      </c>
      <c r="H115" s="109">
        <v>462902937</v>
      </c>
      <c r="I115" s="87">
        <v>453477771</v>
      </c>
      <c r="J115" s="504">
        <f t="shared" si="11"/>
        <v>6.0715525127691405E-2</v>
      </c>
      <c r="K115" t="s">
        <v>533</v>
      </c>
    </row>
    <row r="116" spans="4:11" ht="22.5" x14ac:dyDescent="0.25">
      <c r="D116" s="85" t="s">
        <v>6</v>
      </c>
      <c r="E116" s="86">
        <v>4050658</v>
      </c>
      <c r="F116" s="109">
        <v>523116896</v>
      </c>
      <c r="G116" s="109">
        <v>503402710</v>
      </c>
      <c r="H116" s="109">
        <v>507348541</v>
      </c>
      <c r="I116" s="87">
        <v>489100439</v>
      </c>
      <c r="J116" s="504">
        <f t="shared" si="11"/>
        <v>2.9241991745585061E-2</v>
      </c>
      <c r="K116" t="s">
        <v>534</v>
      </c>
    </row>
    <row r="117" spans="4:11" ht="23.25" thickBot="1" x14ac:dyDescent="0.3">
      <c r="D117" s="88" t="s">
        <v>7</v>
      </c>
      <c r="E117" s="89">
        <v>4088817</v>
      </c>
      <c r="F117" s="111">
        <v>528597833</v>
      </c>
      <c r="G117" s="111">
        <v>514200414</v>
      </c>
      <c r="H117" s="111">
        <v>537764169</v>
      </c>
      <c r="I117" s="90">
        <v>523117732</v>
      </c>
      <c r="J117" s="504">
        <f>G117/I117-1</f>
        <v>-1.7046483906991705E-2</v>
      </c>
      <c r="K117" t="s">
        <v>535</v>
      </c>
    </row>
    <row r="118" spans="4:11" ht="22.5" x14ac:dyDescent="0.3">
      <c r="D118" s="112"/>
      <c r="E118" s="112"/>
      <c r="F118" s="112"/>
      <c r="G118" s="112"/>
      <c r="H118" s="112"/>
      <c r="I118" s="112"/>
      <c r="J118" s="504"/>
      <c r="K118" t="s">
        <v>536</v>
      </c>
    </row>
    <row r="119" spans="4:11" ht="23.25" thickBot="1" x14ac:dyDescent="0.3">
      <c r="D119" s="674" t="s">
        <v>157</v>
      </c>
      <c r="E119" s="674"/>
      <c r="F119" s="674"/>
      <c r="G119" s="674"/>
      <c r="H119" s="674"/>
      <c r="I119" s="674"/>
      <c r="J119" s="504"/>
      <c r="K119" t="s">
        <v>537</v>
      </c>
    </row>
    <row r="120" spans="4:11" ht="22.5" x14ac:dyDescent="0.25">
      <c r="D120" s="42" t="s">
        <v>1</v>
      </c>
      <c r="E120" s="43" t="s">
        <v>143</v>
      </c>
      <c r="F120" s="43" t="s">
        <v>92</v>
      </c>
      <c r="G120" s="43" t="s">
        <v>144</v>
      </c>
      <c r="H120" s="43" t="s">
        <v>145</v>
      </c>
      <c r="I120" s="16" t="s">
        <v>146</v>
      </c>
      <c r="J120" s="504"/>
      <c r="K120" t="s">
        <v>538</v>
      </c>
    </row>
    <row r="121" spans="4:11" ht="22.5" x14ac:dyDescent="0.25">
      <c r="D121" s="85" t="s">
        <v>74</v>
      </c>
      <c r="E121" s="86" t="s">
        <v>517</v>
      </c>
      <c r="F121" s="109" t="s">
        <v>517</v>
      </c>
      <c r="G121" s="113"/>
      <c r="H121" s="113"/>
      <c r="I121" s="115"/>
      <c r="J121" s="504" t="s">
        <v>517</v>
      </c>
    </row>
    <row r="122" spans="4:11" ht="22.5" x14ac:dyDescent="0.25">
      <c r="D122" s="85" t="s">
        <v>75</v>
      </c>
      <c r="E122" s="86" t="s">
        <v>517</v>
      </c>
      <c r="F122" s="109" t="s">
        <v>517</v>
      </c>
      <c r="G122" s="113"/>
      <c r="H122" s="113"/>
      <c r="I122" s="115"/>
      <c r="J122" s="504" t="s">
        <v>517</v>
      </c>
    </row>
    <row r="123" spans="4:11" ht="22.5" x14ac:dyDescent="0.25">
      <c r="D123" s="85" t="s">
        <v>76</v>
      </c>
      <c r="E123" s="86">
        <v>93880</v>
      </c>
      <c r="F123" s="109">
        <v>25271141</v>
      </c>
      <c r="G123" s="113"/>
      <c r="H123" s="113"/>
      <c r="I123" s="115"/>
      <c r="J123" s="504" t="s">
        <v>517</v>
      </c>
    </row>
    <row r="124" spans="4:11" ht="22.5" x14ac:dyDescent="0.25">
      <c r="D124" s="85" t="s">
        <v>4</v>
      </c>
      <c r="E124" s="86">
        <v>2782643</v>
      </c>
      <c r="F124" s="109">
        <v>2281153728</v>
      </c>
      <c r="G124" s="113">
        <v>47627811</v>
      </c>
      <c r="H124" s="113" t="s">
        <v>101</v>
      </c>
      <c r="I124" s="109">
        <v>25271141</v>
      </c>
      <c r="J124" s="504">
        <f t="shared" si="11"/>
        <v>0.88467196633503797</v>
      </c>
    </row>
    <row r="125" spans="4:11" ht="22.5" x14ac:dyDescent="0.25">
      <c r="D125" s="85" t="s">
        <v>5</v>
      </c>
      <c r="E125" s="86">
        <v>3052954</v>
      </c>
      <c r="F125" s="109">
        <v>2563576383</v>
      </c>
      <c r="G125" s="109">
        <v>2462176920</v>
      </c>
      <c r="H125" s="109">
        <v>2379026046</v>
      </c>
      <c r="I125" s="87">
        <v>2281153728</v>
      </c>
      <c r="J125" s="504">
        <f t="shared" si="11"/>
        <v>7.9355981045044155E-2</v>
      </c>
    </row>
    <row r="126" spans="4:11" ht="22.5" x14ac:dyDescent="0.25">
      <c r="D126" s="85" t="s">
        <v>6</v>
      </c>
      <c r="E126" s="86">
        <v>3244160</v>
      </c>
      <c r="F126" s="109">
        <v>2758727668</v>
      </c>
      <c r="G126" s="109">
        <v>2694216376</v>
      </c>
      <c r="H126" s="109">
        <v>2653243342</v>
      </c>
      <c r="I126" s="87">
        <v>2563576343</v>
      </c>
      <c r="J126" s="504">
        <f t="shared" si="11"/>
        <v>5.0960071213295599E-2</v>
      </c>
    </row>
    <row r="127" spans="4:11" ht="23.25" thickBot="1" x14ac:dyDescent="0.3">
      <c r="D127" s="88" t="s">
        <v>7</v>
      </c>
      <c r="E127" s="89">
        <v>3465453</v>
      </c>
      <c r="F127" s="111">
        <v>2833537449</v>
      </c>
      <c r="G127" s="111">
        <v>2845264860</v>
      </c>
      <c r="H127" s="111">
        <v>2773183555</v>
      </c>
      <c r="I127" s="90">
        <v>2759286983</v>
      </c>
      <c r="J127" s="504">
        <f t="shared" si="11"/>
        <v>3.1159454427796218E-2</v>
      </c>
    </row>
    <row r="128" spans="4:11" ht="22.5" x14ac:dyDescent="0.3">
      <c r="D128" s="112"/>
      <c r="E128" s="112"/>
      <c r="F128" s="112"/>
      <c r="G128" s="112"/>
      <c r="H128" s="112"/>
      <c r="I128" s="112"/>
      <c r="J128" s="504"/>
    </row>
    <row r="129" spans="4:10" ht="23.25" customHeight="1" x14ac:dyDescent="0.25">
      <c r="D129" t="s">
        <v>273</v>
      </c>
      <c r="J129" s="504"/>
    </row>
    <row r="130" spans="4:10" x14ac:dyDescent="0.25">
      <c r="D130" t="s">
        <v>1</v>
      </c>
      <c r="E130" t="s">
        <v>143</v>
      </c>
      <c r="F130" t="s">
        <v>92</v>
      </c>
      <c r="G130" t="s">
        <v>144</v>
      </c>
      <c r="H130" t="s">
        <v>145</v>
      </c>
      <c r="I130" t="s">
        <v>146</v>
      </c>
      <c r="J130" s="504"/>
    </row>
    <row r="131" spans="4:10" ht="22.5" x14ac:dyDescent="0.25">
      <c r="D131" s="85" t="s">
        <v>74</v>
      </c>
      <c r="E131" s="225">
        <v>42979731</v>
      </c>
      <c r="F131" s="225">
        <v>2217669829</v>
      </c>
      <c r="G131" s="225">
        <v>2124968274</v>
      </c>
      <c r="H131" s="225"/>
      <c r="I131" s="225">
        <v>2088711000</v>
      </c>
      <c r="J131" s="504">
        <f t="shared" si="11"/>
        <v>1.7358683896431915E-2</v>
      </c>
    </row>
    <row r="132" spans="4:10" ht="22.5" x14ac:dyDescent="0.25">
      <c r="D132" s="85" t="s">
        <v>75</v>
      </c>
      <c r="E132" s="225">
        <v>43603551</v>
      </c>
      <c r="F132" s="225">
        <v>2599800331</v>
      </c>
      <c r="G132" s="225">
        <v>2248490752</v>
      </c>
      <c r="H132" s="225"/>
      <c r="I132" s="225">
        <v>2217669828</v>
      </c>
      <c r="J132" s="504">
        <f t="shared" si="11"/>
        <v>1.3897886696594419E-2</v>
      </c>
    </row>
    <row r="133" spans="4:10" ht="22.5" x14ac:dyDescent="0.25">
      <c r="D133" s="85" t="s">
        <v>76</v>
      </c>
      <c r="E133" s="225">
        <v>45536081</v>
      </c>
      <c r="F133" s="225">
        <v>2807575960</v>
      </c>
      <c r="G133" s="225">
        <v>2725801903</v>
      </c>
      <c r="H133" s="225"/>
      <c r="I133" s="225">
        <v>2599800331</v>
      </c>
      <c r="J133" s="504">
        <f t="shared" si="11"/>
        <v>4.8465865050311141E-2</v>
      </c>
    </row>
    <row r="134" spans="4:10" x14ac:dyDescent="0.25">
      <c r="D134" t="s">
        <v>4</v>
      </c>
      <c r="E134" s="225">
        <v>47034815</v>
      </c>
      <c r="F134" s="225">
        <v>1523208120</v>
      </c>
      <c r="G134" s="225">
        <v>2892723118</v>
      </c>
      <c r="H134" s="225" t="s">
        <v>101</v>
      </c>
      <c r="I134" s="225">
        <v>2807575960</v>
      </c>
      <c r="J134" s="504">
        <f>G134/I134-1</f>
        <v>3.0327641785335757E-2</v>
      </c>
    </row>
    <row r="135" spans="4:10" x14ac:dyDescent="0.25">
      <c r="D135" t="s">
        <v>5</v>
      </c>
      <c r="E135" s="225">
        <v>48704692</v>
      </c>
      <c r="F135" s="225">
        <v>1599541161.5</v>
      </c>
      <c r="G135" s="225">
        <v>1599541161.5</v>
      </c>
      <c r="H135" s="225">
        <v>1523208120</v>
      </c>
      <c r="I135" s="225">
        <v>1523208120</v>
      </c>
      <c r="J135" s="504">
        <f t="shared" si="11"/>
        <v>5.0113336777642736E-2</v>
      </c>
    </row>
    <row r="136" spans="4:10" x14ac:dyDescent="0.25">
      <c r="D136" t="s">
        <v>6</v>
      </c>
      <c r="E136" s="225">
        <v>50401166</v>
      </c>
      <c r="F136" s="225">
        <v>1680648267</v>
      </c>
      <c r="G136" s="225">
        <v>1680648267</v>
      </c>
      <c r="H136" s="225">
        <v>1599541161.5</v>
      </c>
      <c r="I136" s="225">
        <v>1599541161.5</v>
      </c>
      <c r="J136" s="504">
        <f t="shared" si="11"/>
        <v>5.0706482241407391E-2</v>
      </c>
    </row>
    <row r="137" spans="4:10" x14ac:dyDescent="0.25">
      <c r="D137" t="s">
        <v>7</v>
      </c>
      <c r="E137" s="225">
        <v>51183058</v>
      </c>
      <c r="F137" s="225">
        <v>1716391363.9000001</v>
      </c>
      <c r="G137" s="225">
        <v>1716391363.9000001</v>
      </c>
      <c r="H137" s="225">
        <v>1680648267</v>
      </c>
      <c r="I137" s="225">
        <v>1680648267</v>
      </c>
      <c r="J137" s="504">
        <f t="shared" si="11"/>
        <v>2.1267446378772981E-2</v>
      </c>
    </row>
    <row r="138" spans="4:10" x14ac:dyDescent="0.25">
      <c r="J138" s="504"/>
    </row>
    <row r="139" spans="4:10" x14ac:dyDescent="0.25">
      <c r="J139" s="504"/>
    </row>
    <row r="140" spans="4:10" x14ac:dyDescent="0.25">
      <c r="J140" s="504"/>
    </row>
    <row r="141" spans="4:10" x14ac:dyDescent="0.25">
      <c r="J141" s="504"/>
    </row>
    <row r="142" spans="4:10" ht="15.75" thickBot="1" x14ac:dyDescent="0.3">
      <c r="J142" s="504"/>
    </row>
    <row r="143" spans="4:10" ht="22.5" x14ac:dyDescent="0.25">
      <c r="D143" s="42" t="s">
        <v>1</v>
      </c>
      <c r="E143" s="43" t="s">
        <v>143</v>
      </c>
      <c r="F143" s="43" t="s">
        <v>92</v>
      </c>
      <c r="G143" s="43" t="s">
        <v>144</v>
      </c>
      <c r="H143" s="43" t="s">
        <v>145</v>
      </c>
      <c r="I143" s="16" t="s">
        <v>146</v>
      </c>
      <c r="J143" s="504"/>
    </row>
    <row r="144" spans="4:10" ht="22.5" x14ac:dyDescent="0.25">
      <c r="D144" s="85" t="s">
        <v>4</v>
      </c>
      <c r="E144" s="86">
        <v>4401019</v>
      </c>
      <c r="F144" s="109">
        <v>312604566</v>
      </c>
      <c r="G144" s="113">
        <v>0</v>
      </c>
      <c r="H144" s="113">
        <v>0</v>
      </c>
      <c r="I144" s="115">
        <v>0</v>
      </c>
    </row>
    <row r="145" spans="4:9" ht="22.5" x14ac:dyDescent="0.25">
      <c r="D145" s="85" t="s">
        <v>5</v>
      </c>
      <c r="E145" s="86">
        <v>4782324</v>
      </c>
      <c r="F145" s="109">
        <v>346684042</v>
      </c>
      <c r="G145" s="109">
        <v>337310094</v>
      </c>
      <c r="H145" s="109">
        <v>323294322</v>
      </c>
      <c r="I145" s="87">
        <v>312462521</v>
      </c>
    </row>
    <row r="146" spans="4:9" ht="22.5" x14ac:dyDescent="0.25">
      <c r="D146" s="85" t="s">
        <v>6</v>
      </c>
      <c r="E146" s="86">
        <v>4767718</v>
      </c>
      <c r="F146" s="109">
        <v>343509280</v>
      </c>
      <c r="G146" s="109">
        <v>343022731</v>
      </c>
      <c r="H146" s="109">
        <v>346178255</v>
      </c>
      <c r="I146" s="87">
        <v>346530256</v>
      </c>
    </row>
    <row r="147" spans="4:9" ht="23.25" thickBot="1" x14ac:dyDescent="0.3">
      <c r="D147" s="88" t="s">
        <v>7</v>
      </c>
      <c r="E147" s="89">
        <v>4789366</v>
      </c>
      <c r="F147" s="111">
        <v>358130706</v>
      </c>
      <c r="G147" s="111">
        <v>353912544</v>
      </c>
      <c r="H147" s="111">
        <v>352727753</v>
      </c>
      <c r="I147" s="90">
        <v>344237891</v>
      </c>
    </row>
  </sheetData>
  <customSheetViews>
    <customSheetView guid="{9EA95E61-FCA5-4867-AEB4-B8C24058ACDD}" scale="60" showGridLines="0" showRowCol="0" state="hidden">
      <selection activeCell="K13" sqref="K13:K25"/>
      <pageMargins left="0.7" right="0.7" top="0.75" bottom="0.75" header="0.3" footer="0.3"/>
      <pageSetup paperSize="9" orientation="portrait" r:id="rId1"/>
    </customSheetView>
  </customSheetViews>
  <mergeCells count="12">
    <mergeCell ref="D119:I119"/>
    <mergeCell ref="D8:I8"/>
    <mergeCell ref="D19:I19"/>
    <mergeCell ref="D29:I29"/>
    <mergeCell ref="D39:I39"/>
    <mergeCell ref="D49:I49"/>
    <mergeCell ref="D59:I59"/>
    <mergeCell ref="D69:I69"/>
    <mergeCell ref="D79:I79"/>
    <mergeCell ref="D89:I89"/>
    <mergeCell ref="D99:I99"/>
    <mergeCell ref="D109:I109"/>
  </mergeCells>
  <pageMargins left="0.7" right="0.7" top="0.75" bottom="0.75" header="0.3" footer="0.3"/>
  <pageSetup paperSize="9" orientation="portrait"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4:U65"/>
  <sheetViews>
    <sheetView showGridLines="0" showRowColHeaders="0" zoomScaleNormal="100" workbookViewId="0">
      <selection activeCell="E26" sqref="E26"/>
    </sheetView>
  </sheetViews>
  <sheetFormatPr defaultRowHeight="15" x14ac:dyDescent="0.25"/>
  <cols>
    <col min="2" max="2" width="12.85546875" customWidth="1"/>
    <col min="3" max="3" width="23.7109375" customWidth="1"/>
    <col min="4" max="4" width="22.140625" customWidth="1"/>
    <col min="5" max="5" width="19.85546875" customWidth="1"/>
    <col min="6" max="6" width="47.5703125" customWidth="1"/>
    <col min="7" max="7" width="43.7109375" customWidth="1"/>
    <col min="8" max="8" width="39.7109375" customWidth="1"/>
    <col min="9" max="9" width="24.85546875" customWidth="1"/>
    <col min="10" max="10" width="20.5703125" customWidth="1"/>
    <col min="11" max="11" width="26.28515625" customWidth="1"/>
    <col min="12" max="12" width="16.28515625" customWidth="1"/>
    <col min="13" max="13" width="26.28515625" bestFit="1" customWidth="1"/>
    <col min="14" max="14" width="16.28515625" bestFit="1" customWidth="1"/>
    <col min="15" max="15" width="22.5703125" bestFit="1" customWidth="1"/>
    <col min="16" max="16" width="21.28515625" bestFit="1" customWidth="1"/>
    <col min="17" max="17" width="22.28515625" bestFit="1" customWidth="1"/>
  </cols>
  <sheetData>
    <row r="4" spans="2:21" ht="30" x14ac:dyDescent="0.4">
      <c r="B4" s="2" t="s">
        <v>140</v>
      </c>
    </row>
    <row r="5" spans="2:21" x14ac:dyDescent="0.25">
      <c r="B5" s="279"/>
      <c r="C5" s="281"/>
      <c r="D5" s="281"/>
      <c r="E5" s="281"/>
      <c r="F5" s="281"/>
      <c r="G5" s="281"/>
      <c r="H5" s="281"/>
    </row>
    <row r="6" spans="2:21" ht="23.25" customHeight="1" x14ac:dyDescent="0.25">
      <c r="B6" s="280" t="s">
        <v>265</v>
      </c>
      <c r="C6" s="281"/>
      <c r="D6" s="281"/>
      <c r="E6" s="281"/>
      <c r="F6" s="281"/>
      <c r="G6" s="281"/>
      <c r="H6" s="279"/>
    </row>
    <row r="7" spans="2:21" x14ac:dyDescent="0.25">
      <c r="B7" s="279"/>
      <c r="C7" s="281"/>
      <c r="D7" s="281"/>
      <c r="E7" s="281"/>
      <c r="F7" s="281"/>
      <c r="G7" s="281"/>
      <c r="H7" s="279"/>
    </row>
    <row r="8" spans="2:21" x14ac:dyDescent="0.25">
      <c r="B8" s="280" t="s">
        <v>266</v>
      </c>
      <c r="C8" s="279"/>
      <c r="D8" s="279"/>
      <c r="E8" s="279"/>
      <c r="F8" s="279" t="s">
        <v>474</v>
      </c>
      <c r="G8" s="279"/>
      <c r="H8" s="279"/>
      <c r="R8" s="8"/>
      <c r="S8" s="8"/>
      <c r="T8" s="8"/>
      <c r="U8" s="8"/>
    </row>
    <row r="9" spans="2:21" x14ac:dyDescent="0.25">
      <c r="B9" s="279"/>
      <c r="C9" s="281"/>
      <c r="D9" s="281"/>
      <c r="E9" s="281"/>
      <c r="F9" s="279"/>
      <c r="G9" s="279"/>
      <c r="H9" s="279"/>
      <c r="R9" s="8"/>
      <c r="S9" s="8"/>
      <c r="T9" s="8"/>
      <c r="U9" s="8"/>
    </row>
    <row r="10" spans="2:21" x14ac:dyDescent="0.25">
      <c r="B10" s="317" t="s">
        <v>1</v>
      </c>
      <c r="C10" s="317" t="s">
        <v>65</v>
      </c>
      <c r="D10" s="317" t="s">
        <v>357</v>
      </c>
      <c r="E10" s="317" t="s">
        <v>3</v>
      </c>
      <c r="F10" s="281"/>
      <c r="G10" s="281"/>
      <c r="H10" s="279"/>
      <c r="R10" s="8"/>
      <c r="S10" s="8"/>
      <c r="T10" s="8"/>
      <c r="U10" s="8"/>
    </row>
    <row r="11" spans="2:21" x14ac:dyDescent="0.25">
      <c r="B11" s="320" t="s">
        <v>67</v>
      </c>
      <c r="C11" s="321">
        <v>504572701</v>
      </c>
      <c r="D11" s="321">
        <v>49074900472</v>
      </c>
      <c r="E11" s="322">
        <v>4464856836</v>
      </c>
      <c r="F11" s="281"/>
      <c r="G11" s="281"/>
      <c r="H11" s="279"/>
      <c r="R11" s="8"/>
      <c r="S11" s="8"/>
      <c r="T11" s="8"/>
      <c r="U11" s="8"/>
    </row>
    <row r="12" spans="2:21" x14ac:dyDescent="0.25">
      <c r="B12" s="320" t="s">
        <v>68</v>
      </c>
      <c r="C12" s="321">
        <v>516341468</v>
      </c>
      <c r="D12" s="321">
        <v>50582460208</v>
      </c>
      <c r="E12" s="322">
        <v>4799456503</v>
      </c>
      <c r="F12" s="279"/>
      <c r="G12" s="279"/>
      <c r="H12" s="279"/>
      <c r="R12" s="8"/>
      <c r="S12" s="8"/>
      <c r="T12" s="8"/>
      <c r="U12" s="8"/>
    </row>
    <row r="13" spans="2:21" x14ac:dyDescent="0.25">
      <c r="B13" s="320" t="s">
        <v>69</v>
      </c>
      <c r="C13" s="321">
        <v>534119797</v>
      </c>
      <c r="D13" s="321">
        <v>52158169497</v>
      </c>
      <c r="E13" s="322">
        <v>5435175325</v>
      </c>
      <c r="F13" s="279"/>
      <c r="G13" s="279"/>
      <c r="H13" s="279"/>
      <c r="R13" s="8"/>
      <c r="S13" s="8"/>
      <c r="T13" s="8"/>
      <c r="U13" s="8"/>
    </row>
    <row r="14" spans="2:21" x14ac:dyDescent="0.25">
      <c r="B14" s="320" t="s">
        <v>70</v>
      </c>
      <c r="C14" s="321">
        <v>561373380</v>
      </c>
      <c r="D14" s="321">
        <v>54089177055</v>
      </c>
      <c r="E14" s="322">
        <v>5651309236</v>
      </c>
      <c r="F14" s="279"/>
      <c r="G14" s="279"/>
      <c r="H14" s="279"/>
      <c r="R14" s="8"/>
      <c r="S14" s="8"/>
      <c r="T14" s="8"/>
      <c r="U14" s="8"/>
    </row>
    <row r="15" spans="2:21" x14ac:dyDescent="0.25">
      <c r="B15" s="320" t="s">
        <v>71</v>
      </c>
      <c r="C15" s="321">
        <v>591871608</v>
      </c>
      <c r="D15" s="321">
        <v>56740912048</v>
      </c>
      <c r="E15" s="322">
        <v>6281071387</v>
      </c>
      <c r="F15" s="279"/>
      <c r="G15" s="279"/>
      <c r="H15" s="279"/>
      <c r="R15" s="8"/>
      <c r="S15" s="8"/>
      <c r="T15" s="8"/>
      <c r="U15" s="8"/>
    </row>
    <row r="16" spans="2:21" x14ac:dyDescent="0.25">
      <c r="B16" s="320" t="s">
        <v>72</v>
      </c>
      <c r="C16" s="321">
        <v>624381798</v>
      </c>
      <c r="D16" s="321">
        <v>59190563180</v>
      </c>
      <c r="E16" s="322">
        <v>7018559073</v>
      </c>
      <c r="F16" s="279"/>
      <c r="G16" s="279"/>
      <c r="H16" s="279"/>
      <c r="R16" s="8"/>
      <c r="S16" s="8"/>
      <c r="T16" s="8"/>
      <c r="U16" s="8"/>
    </row>
    <row r="17" spans="1:21" x14ac:dyDescent="0.25">
      <c r="B17" s="320" t="s">
        <v>73</v>
      </c>
      <c r="C17" s="321">
        <v>659400104</v>
      </c>
      <c r="D17" s="321">
        <v>61657885237</v>
      </c>
      <c r="E17" s="322">
        <v>7664991607</v>
      </c>
      <c r="F17" s="279"/>
      <c r="G17" s="279"/>
      <c r="H17" s="279"/>
      <c r="R17" s="8"/>
      <c r="S17" s="8"/>
      <c r="T17" s="8"/>
      <c r="U17" s="8"/>
    </row>
    <row r="18" spans="1:21" x14ac:dyDescent="0.25">
      <c r="B18" s="320" t="s">
        <v>74</v>
      </c>
      <c r="C18" s="321">
        <v>691948868</v>
      </c>
      <c r="D18" s="321">
        <v>64042525435</v>
      </c>
      <c r="E18" s="322">
        <v>8094174944</v>
      </c>
      <c r="F18" s="279"/>
      <c r="G18" s="279"/>
      <c r="H18" s="279"/>
      <c r="R18" s="8"/>
      <c r="S18" s="8"/>
      <c r="T18" s="8"/>
      <c r="U18" s="8"/>
    </row>
    <row r="19" spans="1:21" x14ac:dyDescent="0.25">
      <c r="B19" s="320" t="s">
        <v>75</v>
      </c>
      <c r="C19" s="321">
        <v>733010929</v>
      </c>
      <c r="D19" s="321">
        <v>67468607795</v>
      </c>
      <c r="E19" s="322">
        <v>8013483226</v>
      </c>
      <c r="F19" s="279"/>
      <c r="G19" s="279"/>
      <c r="H19" s="279"/>
      <c r="R19" s="8"/>
      <c r="S19" s="8"/>
      <c r="T19" s="8"/>
      <c r="U19" s="8"/>
    </row>
    <row r="20" spans="1:21" x14ac:dyDescent="0.25">
      <c r="B20" s="320" t="s">
        <v>76</v>
      </c>
      <c r="C20" s="321">
        <v>762631738</v>
      </c>
      <c r="D20" s="321">
        <v>70369213090</v>
      </c>
      <c r="E20" s="322">
        <v>8250323893</v>
      </c>
      <c r="F20" s="279"/>
      <c r="G20" s="279"/>
      <c r="H20" s="279"/>
      <c r="R20" s="8"/>
      <c r="S20" s="8"/>
      <c r="T20" s="8"/>
      <c r="U20" s="8"/>
    </row>
    <row r="21" spans="1:21" x14ac:dyDescent="0.25">
      <c r="B21" s="320" t="s">
        <v>4</v>
      </c>
      <c r="C21" s="321">
        <v>803297137</v>
      </c>
      <c r="D21" s="321">
        <v>73093309000</v>
      </c>
      <c r="E21" s="322">
        <v>8303500918</v>
      </c>
      <c r="F21" s="279"/>
      <c r="G21" s="279"/>
      <c r="H21" s="279"/>
      <c r="R21" s="8"/>
      <c r="S21" s="8"/>
      <c r="T21" s="8"/>
      <c r="U21" s="8"/>
    </row>
    <row r="22" spans="1:21" x14ac:dyDescent="0.25">
      <c r="B22" s="320" t="s">
        <v>5</v>
      </c>
      <c r="C22" s="321">
        <v>852482281</v>
      </c>
      <c r="D22" s="321">
        <v>77363704790</v>
      </c>
      <c r="E22" s="322">
        <v>8376264432</v>
      </c>
      <c r="F22" s="279"/>
      <c r="G22" s="279"/>
      <c r="H22" s="279"/>
      <c r="R22" s="8"/>
      <c r="S22" s="8"/>
      <c r="T22" s="8"/>
      <c r="U22" s="8"/>
    </row>
    <row r="23" spans="1:21" x14ac:dyDescent="0.25">
      <c r="B23" s="320" t="s">
        <v>6</v>
      </c>
      <c r="C23" s="321">
        <v>897727347</v>
      </c>
      <c r="D23" s="321">
        <v>81139818758</v>
      </c>
      <c r="E23" s="322">
        <v>8621421130</v>
      </c>
      <c r="F23" s="279"/>
      <c r="G23" s="279"/>
      <c r="H23" s="281"/>
      <c r="R23" s="8"/>
      <c r="S23" s="8"/>
      <c r="T23" s="8"/>
      <c r="U23" s="8"/>
    </row>
    <row r="24" spans="1:21" x14ac:dyDescent="0.25">
      <c r="A24" s="6"/>
      <c r="B24" s="320" t="s">
        <v>7</v>
      </c>
      <c r="C24" s="321">
        <v>936743859</v>
      </c>
      <c r="D24" s="321">
        <v>83740259688</v>
      </c>
      <c r="E24" s="322">
        <v>8880735344</v>
      </c>
      <c r="F24" s="279"/>
      <c r="G24" s="279"/>
      <c r="H24" s="281"/>
      <c r="R24" s="8"/>
      <c r="S24" s="8"/>
      <c r="T24" s="8"/>
      <c r="U24" s="8"/>
    </row>
    <row r="25" spans="1:21" x14ac:dyDescent="0.25">
      <c r="A25" s="5"/>
      <c r="B25" s="288"/>
      <c r="C25" s="288"/>
      <c r="D25" s="288"/>
      <c r="E25" s="288"/>
      <c r="F25" s="279"/>
      <c r="G25" s="279"/>
      <c r="H25" s="281"/>
      <c r="R25" s="8"/>
      <c r="S25" s="8"/>
      <c r="T25" s="8"/>
      <c r="U25" s="8"/>
    </row>
    <row r="26" spans="1:21" x14ac:dyDescent="0.25">
      <c r="A26" s="5"/>
      <c r="B26" s="288"/>
      <c r="C26" s="288"/>
      <c r="D26" s="288"/>
      <c r="E26" s="288"/>
      <c r="F26" s="279"/>
      <c r="G26" s="279"/>
      <c r="H26" s="281"/>
      <c r="R26" s="8"/>
      <c r="S26" s="8"/>
      <c r="T26" s="8"/>
      <c r="U26" s="8"/>
    </row>
    <row r="27" spans="1:21" x14ac:dyDescent="0.25">
      <c r="A27" s="471"/>
      <c r="B27" s="489">
        <f>C27/$C$27</f>
        <v>1</v>
      </c>
      <c r="C27" s="490">
        <f>E11/C11</f>
        <v>8.8487879489936976</v>
      </c>
      <c r="D27" s="469">
        <f>D11/$D$11</f>
        <v>1</v>
      </c>
      <c r="E27" s="470">
        <f>E11/$E$11</f>
        <v>1</v>
      </c>
      <c r="F27" s="262"/>
      <c r="O27" s="8"/>
      <c r="P27" s="8"/>
      <c r="Q27" s="8"/>
      <c r="R27" s="8"/>
    </row>
    <row r="28" spans="1:21" x14ac:dyDescent="0.25">
      <c r="A28" s="471"/>
      <c r="B28" s="489">
        <f t="shared" ref="B28:B40" si="0">C28/$C$27</f>
        <v>1.0504400387624431</v>
      </c>
      <c r="C28" s="490">
        <f t="shared" ref="C28:C40" si="1">E12/C12</f>
        <v>9.2951211561415796</v>
      </c>
      <c r="D28" s="469">
        <f t="shared" ref="D28:D40" si="2">D12/$D$11</f>
        <v>1.0307195678748273</v>
      </c>
      <c r="E28" s="470">
        <f t="shared" ref="E28:E40" si="3">E12/$E$11</f>
        <v>1.0749407381446441</v>
      </c>
      <c r="F28" s="262"/>
      <c r="O28" s="8"/>
      <c r="P28" s="8"/>
      <c r="Q28" s="8"/>
      <c r="R28" s="8"/>
    </row>
    <row r="29" spans="1:21" x14ac:dyDescent="0.25">
      <c r="A29" s="471"/>
      <c r="B29" s="489">
        <f t="shared" si="0"/>
        <v>1.1499821379862898</v>
      </c>
      <c r="C29" s="490">
        <f t="shared" si="1"/>
        <v>10.175948084171088</v>
      </c>
      <c r="D29" s="469">
        <f t="shared" si="2"/>
        <v>1.062827820236929</v>
      </c>
      <c r="E29" s="470">
        <f t="shared" si="3"/>
        <v>1.2173235390609509</v>
      </c>
      <c r="F29" s="262"/>
    </row>
    <row r="30" spans="1:21" x14ac:dyDescent="0.25">
      <c r="A30" s="491"/>
      <c r="B30" s="489">
        <f t="shared" si="0"/>
        <v>1.1376625697876954</v>
      </c>
      <c r="C30" s="490">
        <f t="shared" si="1"/>
        <v>10.066934837558561</v>
      </c>
      <c r="D30" s="469">
        <f t="shared" si="2"/>
        <v>1.1021759908786963</v>
      </c>
      <c r="E30" s="470">
        <f t="shared" si="3"/>
        <v>1.265731342253501</v>
      </c>
      <c r="F30" s="492"/>
    </row>
    <row r="31" spans="1:21" x14ac:dyDescent="0.25">
      <c r="A31" s="491"/>
      <c r="B31" s="489">
        <f t="shared" si="0"/>
        <v>1.1992850891626219</v>
      </c>
      <c r="C31" s="490">
        <f t="shared" si="1"/>
        <v>10.612219444390041</v>
      </c>
      <c r="D31" s="469">
        <f t="shared" si="2"/>
        <v>1.1562104355234279</v>
      </c>
      <c r="E31" s="470">
        <f t="shared" si="3"/>
        <v>1.40678001954193</v>
      </c>
      <c r="F31" s="492"/>
    </row>
    <row r="32" spans="1:21" x14ac:dyDescent="0.25">
      <c r="A32" s="471"/>
      <c r="B32" s="489">
        <f t="shared" si="0"/>
        <v>1.2703223459059796</v>
      </c>
      <c r="C32" s="490">
        <f t="shared" si="1"/>
        <v>11.240813065790237</v>
      </c>
      <c r="D32" s="469">
        <f t="shared" si="2"/>
        <v>1.2061270142314717</v>
      </c>
      <c r="E32" s="470">
        <f t="shared" si="3"/>
        <v>1.5719561300173344</v>
      </c>
      <c r="F32" s="470"/>
      <c r="G32" s="281"/>
      <c r="H32" s="281"/>
    </row>
    <row r="33" spans="1:8" x14ac:dyDescent="0.25">
      <c r="A33" s="471"/>
      <c r="B33" s="489">
        <f t="shared" si="0"/>
        <v>1.3136476235011449</v>
      </c>
      <c r="C33" s="490">
        <f t="shared" si="1"/>
        <v>11.624189260061142</v>
      </c>
      <c r="D33" s="469">
        <f t="shared" si="2"/>
        <v>1.2564036736494106</v>
      </c>
      <c r="E33" s="470">
        <f t="shared" si="3"/>
        <v>1.7167384954423206</v>
      </c>
      <c r="F33" s="470"/>
      <c r="G33" s="281"/>
      <c r="H33" s="281"/>
    </row>
    <row r="34" spans="1:8" ht="18" customHeight="1" x14ac:dyDescent="0.3">
      <c r="A34" s="493"/>
      <c r="B34" s="489">
        <f t="shared" si="0"/>
        <v>1.3219492895402927</v>
      </c>
      <c r="C34" s="490">
        <f t="shared" si="1"/>
        <v>11.697648942464921</v>
      </c>
      <c r="D34" s="469">
        <f t="shared" si="2"/>
        <v>1.3049955235577069</v>
      </c>
      <c r="E34" s="470">
        <f t="shared" si="3"/>
        <v>1.8128632655669767</v>
      </c>
      <c r="F34" s="470"/>
      <c r="G34" s="281"/>
      <c r="H34" s="281"/>
    </row>
    <row r="35" spans="1:8" ht="18" customHeight="1" x14ac:dyDescent="0.3">
      <c r="A35" s="493"/>
      <c r="B35" s="489">
        <f t="shared" si="0"/>
        <v>1.2354554638791944</v>
      </c>
      <c r="C35" s="490">
        <f t="shared" si="1"/>
        <v>10.932283420292633</v>
      </c>
      <c r="D35" s="469">
        <f t="shared" si="2"/>
        <v>1.3748088563825951</v>
      </c>
      <c r="E35" s="470">
        <f t="shared" si="3"/>
        <v>1.7947906327897318</v>
      </c>
      <c r="F35" s="470"/>
      <c r="G35" s="281"/>
      <c r="H35" s="281"/>
    </row>
    <row r="36" spans="1:8" ht="18" customHeight="1" x14ac:dyDescent="0.3">
      <c r="A36" s="493"/>
      <c r="B36" s="489">
        <f t="shared" si="0"/>
        <v>1.2225660614283305</v>
      </c>
      <c r="C36" s="490">
        <f t="shared" si="1"/>
        <v>10.818227831215699</v>
      </c>
      <c r="D36" s="469">
        <f t="shared" si="2"/>
        <v>1.4339145349902362</v>
      </c>
      <c r="E36" s="470">
        <f t="shared" si="3"/>
        <v>1.8478361560168959</v>
      </c>
      <c r="F36" s="470"/>
      <c r="G36" s="281"/>
      <c r="H36" s="281"/>
    </row>
    <row r="37" spans="1:8" ht="18" customHeight="1" x14ac:dyDescent="0.3">
      <c r="A37" s="493"/>
      <c r="B37" s="489">
        <f t="shared" si="0"/>
        <v>1.1681570410861795</v>
      </c>
      <c r="C37" s="490">
        <f t="shared" si="1"/>
        <v>10.336773947695521</v>
      </c>
      <c r="D37" s="469">
        <f t="shared" si="2"/>
        <v>1.4894234791510959</v>
      </c>
      <c r="E37" s="470">
        <f t="shared" si="3"/>
        <v>1.8597462859389204</v>
      </c>
      <c r="F37" s="470"/>
      <c r="G37" s="281"/>
      <c r="H37" s="281"/>
    </row>
    <row r="38" spans="1:8" ht="18" customHeight="1" x14ac:dyDescent="0.3">
      <c r="A38" s="493"/>
      <c r="B38" s="489">
        <f t="shared" si="0"/>
        <v>1.1104045443952417</v>
      </c>
      <c r="C38" s="490">
        <f t="shared" si="1"/>
        <v>9.8257343509524517</v>
      </c>
      <c r="D38" s="469">
        <f t="shared" si="2"/>
        <v>1.5764413996955604</v>
      </c>
      <c r="E38" s="470">
        <f t="shared" si="3"/>
        <v>1.8760432281864994</v>
      </c>
      <c r="F38" s="470"/>
      <c r="G38" s="281"/>
      <c r="H38" s="281"/>
    </row>
    <row r="39" spans="1:8" ht="18" customHeight="1" x14ac:dyDescent="0.3">
      <c r="A39" s="493"/>
      <c r="B39" s="489">
        <f t="shared" si="0"/>
        <v>1.0853020332448293</v>
      </c>
      <c r="C39" s="490">
        <f t="shared" si="1"/>
        <v>9.6036075527952036</v>
      </c>
      <c r="D39" s="469">
        <f t="shared" si="2"/>
        <v>1.6533873319680974</v>
      </c>
      <c r="E39" s="470">
        <f t="shared" si="3"/>
        <v>1.9309513040789468</v>
      </c>
      <c r="F39" s="470"/>
      <c r="G39" s="281"/>
      <c r="H39" s="281"/>
    </row>
    <row r="40" spans="1:8" ht="18" customHeight="1" x14ac:dyDescent="0.3">
      <c r="A40" s="493"/>
      <c r="B40" s="489">
        <f t="shared" si="0"/>
        <v>1.0713818510336455</v>
      </c>
      <c r="C40" s="490">
        <f t="shared" si="1"/>
        <v>9.4804308121970831</v>
      </c>
      <c r="D40" s="469">
        <f t="shared" si="2"/>
        <v>1.7063765567039417</v>
      </c>
      <c r="E40" s="470">
        <f t="shared" si="3"/>
        <v>1.9890302579009724</v>
      </c>
      <c r="F40" s="470"/>
      <c r="G40" s="281"/>
      <c r="H40" s="281"/>
    </row>
    <row r="41" spans="1:8" ht="18" customHeight="1" x14ac:dyDescent="0.3">
      <c r="A41" s="493"/>
      <c r="B41" s="470"/>
      <c r="C41" s="490"/>
      <c r="D41" s="470"/>
      <c r="E41" s="470"/>
      <c r="F41" s="470"/>
      <c r="G41" s="281"/>
      <c r="H41" s="281"/>
    </row>
    <row r="42" spans="1:8" ht="18" customHeight="1" x14ac:dyDescent="0.3">
      <c r="A42" s="235"/>
      <c r="B42" s="281"/>
      <c r="C42" s="281"/>
      <c r="D42" s="281"/>
      <c r="E42" s="281"/>
      <c r="F42" s="281"/>
      <c r="G42" s="281"/>
      <c r="H42" s="281"/>
    </row>
    <row r="43" spans="1:8" ht="18" customHeight="1" x14ac:dyDescent="0.3">
      <c r="A43" s="235"/>
      <c r="B43" s="281"/>
      <c r="C43" s="281"/>
      <c r="D43" s="281"/>
      <c r="E43" s="281"/>
      <c r="F43" s="281"/>
      <c r="G43" s="281"/>
      <c r="H43" s="281"/>
    </row>
    <row r="44" spans="1:8" ht="18" customHeight="1" x14ac:dyDescent="0.3">
      <c r="A44" s="235"/>
      <c r="B44" s="281"/>
      <c r="C44" s="281"/>
      <c r="D44" s="281"/>
      <c r="E44" s="281"/>
      <c r="F44" s="281"/>
      <c r="G44" s="281"/>
      <c r="H44" s="281"/>
    </row>
    <row r="45" spans="1:8" ht="18" customHeight="1" x14ac:dyDescent="0.3">
      <c r="A45" s="235"/>
      <c r="B45" s="281"/>
      <c r="C45" s="281"/>
      <c r="D45" s="281"/>
      <c r="E45" s="281"/>
      <c r="F45" s="281"/>
      <c r="G45" s="281"/>
      <c r="H45" s="281"/>
    </row>
    <row r="46" spans="1:8" ht="18" customHeight="1" x14ac:dyDescent="0.3">
      <c r="A46" s="235"/>
      <c r="B46" s="281"/>
      <c r="C46" s="281"/>
      <c r="D46" s="281"/>
      <c r="E46" s="281"/>
      <c r="F46" s="281"/>
      <c r="G46" s="281"/>
      <c r="H46" s="281"/>
    </row>
    <row r="47" spans="1:8" ht="18" customHeight="1" x14ac:dyDescent="0.3">
      <c r="A47" s="235"/>
      <c r="B47" s="281"/>
      <c r="C47" s="281"/>
      <c r="D47" s="281"/>
      <c r="E47" s="281"/>
      <c r="F47" s="281"/>
      <c r="G47" s="281"/>
      <c r="H47" s="281"/>
    </row>
    <row r="48" spans="1:8" ht="18" customHeight="1" x14ac:dyDescent="0.3">
      <c r="A48" s="235"/>
      <c r="B48" s="281"/>
      <c r="C48" s="281"/>
      <c r="D48" s="281"/>
      <c r="E48" s="281"/>
      <c r="F48" s="281"/>
      <c r="G48" s="281"/>
      <c r="H48" s="281"/>
    </row>
    <row r="49" spans="1:8" ht="23.25" x14ac:dyDescent="0.3">
      <c r="A49" s="235"/>
      <c r="B49" s="281"/>
      <c r="C49" s="281"/>
      <c r="D49" s="281"/>
      <c r="E49" s="281"/>
      <c r="F49" s="281"/>
      <c r="G49" s="281"/>
      <c r="H49" s="281"/>
    </row>
    <row r="50" spans="1:8" x14ac:dyDescent="0.25">
      <c r="B50" s="281"/>
      <c r="C50" s="281"/>
      <c r="D50" s="281"/>
      <c r="E50" s="281"/>
      <c r="F50" s="281"/>
      <c r="G50" s="281"/>
      <c r="H50" s="281"/>
    </row>
    <row r="51" spans="1:8" x14ac:dyDescent="0.25">
      <c r="F51" s="281"/>
      <c r="G51" s="281"/>
      <c r="H51" s="281"/>
    </row>
    <row r="52" spans="1:8" x14ac:dyDescent="0.25">
      <c r="F52" s="281"/>
      <c r="G52" s="281"/>
      <c r="H52" s="281"/>
    </row>
    <row r="53" spans="1:8" x14ac:dyDescent="0.25">
      <c r="F53" s="281"/>
      <c r="G53" s="281"/>
      <c r="H53" s="281"/>
    </row>
    <row r="54" spans="1:8" x14ac:dyDescent="0.25">
      <c r="F54" s="281"/>
      <c r="G54" s="281"/>
      <c r="H54" s="281"/>
    </row>
    <row r="55" spans="1:8" x14ac:dyDescent="0.25">
      <c r="F55" s="281"/>
      <c r="G55" s="281"/>
      <c r="H55" s="281"/>
    </row>
    <row r="56" spans="1:8" x14ac:dyDescent="0.25">
      <c r="F56" s="281"/>
      <c r="G56" s="281"/>
      <c r="H56" s="281"/>
    </row>
    <row r="57" spans="1:8" x14ac:dyDescent="0.25">
      <c r="F57" s="281"/>
      <c r="G57" s="281"/>
      <c r="H57" s="281"/>
    </row>
    <row r="58" spans="1:8" x14ac:dyDescent="0.25">
      <c r="F58" s="281"/>
      <c r="G58" s="281"/>
      <c r="H58" s="281"/>
    </row>
    <row r="59" spans="1:8" x14ac:dyDescent="0.25">
      <c r="F59" s="281"/>
      <c r="G59" s="281"/>
      <c r="H59" s="281"/>
    </row>
    <row r="60" spans="1:8" x14ac:dyDescent="0.25">
      <c r="F60" s="281"/>
      <c r="G60" s="281"/>
      <c r="H60" s="281"/>
    </row>
    <row r="61" spans="1:8" x14ac:dyDescent="0.25">
      <c r="F61" s="281"/>
      <c r="G61" s="281"/>
      <c r="H61" s="281"/>
    </row>
    <row r="62" spans="1:8" x14ac:dyDescent="0.25">
      <c r="F62" s="281"/>
      <c r="G62" s="281"/>
      <c r="H62" s="281"/>
    </row>
    <row r="63" spans="1:8" x14ac:dyDescent="0.25">
      <c r="F63" s="281"/>
      <c r="G63" s="281"/>
      <c r="H63" s="281"/>
    </row>
    <row r="64" spans="1:8" x14ac:dyDescent="0.25">
      <c r="F64" s="281"/>
      <c r="G64" s="281"/>
      <c r="H64" s="281"/>
    </row>
    <row r="65" spans="6:8" ht="23.25" customHeight="1" x14ac:dyDescent="0.25">
      <c r="F65" s="281"/>
      <c r="G65" s="281"/>
      <c r="H65" s="281"/>
    </row>
  </sheetData>
  <customSheetViews>
    <customSheetView guid="{9EA95E61-FCA5-4867-AEB4-B8C24058ACDD}" showGridLines="0" showRowCol="0" topLeftCell="A25">
      <selection activeCell="B28" sqref="B28:C28"/>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O80"/>
  <sheetViews>
    <sheetView showGridLines="0" showRowColHeaders="0" topLeftCell="A4" zoomScaleNormal="100" workbookViewId="0">
      <selection activeCell="B10" sqref="B10"/>
    </sheetView>
  </sheetViews>
  <sheetFormatPr defaultRowHeight="15" x14ac:dyDescent="0.25"/>
  <cols>
    <col min="2" max="2" width="36.28515625" customWidth="1"/>
    <col min="3" max="10" width="9.7109375" customWidth="1"/>
    <col min="11" max="11" width="14.42578125" customWidth="1"/>
    <col min="12" max="12" width="14" customWidth="1"/>
    <col min="13" max="13" width="12.140625" customWidth="1"/>
    <col min="14" max="14" width="16.28515625" bestFit="1" customWidth="1"/>
    <col min="15" max="15" width="22.5703125" bestFit="1" customWidth="1"/>
    <col min="16" max="16" width="21.28515625" bestFit="1" customWidth="1"/>
    <col min="17" max="17" width="22.28515625" bestFit="1" customWidth="1"/>
  </cols>
  <sheetData>
    <row r="1" spans="2:9" x14ac:dyDescent="0.25">
      <c r="B1" s="231"/>
    </row>
    <row r="4" spans="2:9" ht="30" x14ac:dyDescent="0.4">
      <c r="B4" s="2" t="s">
        <v>222</v>
      </c>
    </row>
    <row r="5" spans="2:9" x14ac:dyDescent="0.25">
      <c r="B5" s="279"/>
      <c r="C5" s="281"/>
      <c r="D5" s="281"/>
      <c r="E5" s="281"/>
      <c r="F5" s="281"/>
      <c r="G5" s="281"/>
      <c r="H5" s="281"/>
    </row>
    <row r="6" spans="2:9" ht="23.25" customHeight="1" x14ac:dyDescent="0.25">
      <c r="B6" s="280" t="s">
        <v>448</v>
      </c>
    </row>
    <row r="7" spans="2:9" x14ac:dyDescent="0.25">
      <c r="B7" s="279"/>
    </row>
    <row r="8" spans="2:9" x14ac:dyDescent="0.25">
      <c r="B8" s="280" t="s">
        <v>526</v>
      </c>
    </row>
    <row r="9" spans="2:9" x14ac:dyDescent="0.25">
      <c r="B9" s="279" t="s">
        <v>229</v>
      </c>
    </row>
    <row r="10" spans="2:9" x14ac:dyDescent="0.25">
      <c r="B10" s="283" t="s">
        <v>368</v>
      </c>
    </row>
    <row r="12" spans="2:9" x14ac:dyDescent="0.25">
      <c r="B12" s="331"/>
      <c r="C12" s="372" t="s">
        <v>74</v>
      </c>
      <c r="D12" s="372" t="s">
        <v>75</v>
      </c>
      <c r="E12" s="323" t="s">
        <v>76</v>
      </c>
      <c r="F12" s="323" t="s">
        <v>4</v>
      </c>
      <c r="G12" s="323" t="s">
        <v>5</v>
      </c>
      <c r="H12" s="323" t="s">
        <v>6</v>
      </c>
      <c r="I12" s="323" t="s">
        <v>7</v>
      </c>
    </row>
    <row r="13" spans="2:9" x14ac:dyDescent="0.25">
      <c r="B13" s="331" t="s">
        <v>362</v>
      </c>
      <c r="C13" s="370">
        <f>IF($B$10="Activity",'Primary care (2)'!C27,'Primary care (2)'!C18)</f>
        <v>5800</v>
      </c>
      <c r="D13" s="370">
        <f>IF($B$10="Activity",'Primary care (2)'!D27,'Primary care (2)'!D18)</f>
        <v>6000</v>
      </c>
      <c r="E13" s="370">
        <f>IF($B$10="Activity",'Primary care (2)'!E27,'Primary care (2)'!E18)</f>
        <v>5900</v>
      </c>
      <c r="F13" s="370">
        <f>IF($B$10="Activity",'Primary care (2)'!F27,'Primary care (2)'!F18)</f>
        <v>5900</v>
      </c>
      <c r="G13" s="370">
        <f>IF($B$10="Activity",'Primary care (2)'!G27,'Primary care (2)'!G18)</f>
        <v>6000</v>
      </c>
      <c r="H13" s="370">
        <f>IF($B$10="Activity",'Primary care (2)'!H27,'Primary care (2)'!H18)</f>
        <v>6000</v>
      </c>
      <c r="I13" s="370">
        <f>IF($B$10="Activity",'Primary care (2)'!J27,'Primary care (2)'!J18)</f>
        <v>5843.554644558063</v>
      </c>
    </row>
    <row r="14" spans="2:9" x14ac:dyDescent="0.25">
      <c r="B14" s="331" t="s">
        <v>363</v>
      </c>
      <c r="C14" s="370">
        <f>IF($B$10="Activity",'Primary care (2)'!C28,'Primary care (2)'!C19)</f>
        <v>12500</v>
      </c>
      <c r="D14" s="370">
        <f>IF($B$10="Activity",'Primary care (2)'!D28,'Primary care (2)'!D19)</f>
        <v>14000</v>
      </c>
      <c r="E14" s="370">
        <f>IF($B$10="Activity",'Primary care (2)'!E28,'Primary care (2)'!E19)</f>
        <v>15100</v>
      </c>
      <c r="F14" s="370">
        <f>IF($B$10="Activity",'Primary care (2)'!F28,'Primary care (2)'!F19)</f>
        <v>16200</v>
      </c>
      <c r="G14" s="370">
        <f>IF($B$10="Activity",'Primary care (2)'!G28,'Primary care (2)'!G19)</f>
        <v>18700</v>
      </c>
      <c r="H14" s="370">
        <f>IF($B$10="Activity",'Primary care (2)'!H28,'Primary care (2)'!H19)</f>
        <v>18700</v>
      </c>
      <c r="I14" s="370">
        <f>IF($B$10="Activity",'Primary care (2)'!J28,'Primary care (2)'!J19)</f>
        <v>18212.411975539297</v>
      </c>
    </row>
    <row r="15" spans="2:9" x14ac:dyDescent="0.25">
      <c r="B15" s="331" t="s">
        <v>364</v>
      </c>
      <c r="C15" s="370">
        <f>IF($B$10="Activity",'Primary care (2)'!C29,'Primary care (2)'!C20)</f>
        <v>148300</v>
      </c>
      <c r="D15" s="370">
        <f>IF($B$10="Activity",'Primary care (2)'!D29,'Primary care (2)'!D20)</f>
        <v>153900</v>
      </c>
      <c r="E15" s="370">
        <f>IF($B$10="Activity",'Primary care (2)'!E29,'Primary care (2)'!E20)</f>
        <v>156600</v>
      </c>
      <c r="F15" s="370">
        <f>IF($B$10="Activity",'Primary care (2)'!F29,'Primary care (2)'!F20)</f>
        <v>155800</v>
      </c>
      <c r="G15" s="370">
        <f>IF($B$10="Activity",'Primary care (2)'!G29,'Primary care (2)'!G20)</f>
        <v>158800</v>
      </c>
      <c r="H15" s="370">
        <f>IF($B$10="Activity",'Primary care (2)'!H29,'Primary care (2)'!H20)</f>
        <v>158800</v>
      </c>
      <c r="I15" s="370">
        <f>IF($B$10="Activity",'Primary care (2)'!J29,'Primary care (2)'!J20)</f>
        <v>154659.41292597007</v>
      </c>
    </row>
    <row r="16" spans="2:9" x14ac:dyDescent="0.25">
      <c r="B16" s="331" t="s">
        <v>365</v>
      </c>
      <c r="C16" s="370">
        <f>IF($B$10="Activity",'Primary care (2)'!C30,'Primary care (2)'!C21)</f>
        <v>4200</v>
      </c>
      <c r="D16" s="370">
        <f>IF($B$10="Activity",'Primary care (2)'!D30,'Primary care (2)'!D21)</f>
        <v>4800</v>
      </c>
      <c r="E16" s="370">
        <f>IF($B$10="Activity",'Primary care (2)'!E30,'Primary care (2)'!E21)</f>
        <v>5000</v>
      </c>
      <c r="F16" s="370">
        <f>IF($B$10="Activity",'Primary care (2)'!F30,'Primary care (2)'!F21)</f>
        <v>4800</v>
      </c>
      <c r="G16" s="370">
        <f>IF($B$10="Activity",'Primary care (2)'!G30,'Primary care (2)'!G21)</f>
        <v>5500</v>
      </c>
      <c r="H16" s="370">
        <f>IF($B$10="Activity",'Primary care (2)'!H30,'Primary care (2)'!H21)</f>
        <v>5500</v>
      </c>
      <c r="I16" s="370">
        <f>IF($B$10="Activity",'Primary care (2)'!J30,'Primary care (2)'!J21)</f>
        <v>5356.5917575115582</v>
      </c>
    </row>
    <row r="17" spans="1:13" x14ac:dyDescent="0.25">
      <c r="B17" s="331" t="s">
        <v>366</v>
      </c>
      <c r="C17" s="370">
        <f>IF($B$10="Activity",'Primary care (2)'!C31,'Primary care (2)'!C22)</f>
        <v>84600</v>
      </c>
      <c r="D17" s="370">
        <f>IF($B$10="Activity",'Primary care (2)'!D31,'Primary care (2)'!D22)</f>
        <v>93700</v>
      </c>
      <c r="E17" s="370">
        <f>IF($B$10="Activity",'Primary care (2)'!E31,'Primary care (2)'!E22)</f>
        <v>99000</v>
      </c>
      <c r="F17" s="370">
        <f>IF($B$10="Activity",'Primary care (2)'!F31,'Primary care (2)'!F22)</f>
        <v>98500</v>
      </c>
      <c r="G17" s="370">
        <f>IF($B$10="Activity",'Primary care (2)'!G31,'Primary care (2)'!G22)</f>
        <v>100600</v>
      </c>
      <c r="H17" s="370">
        <f>IF($B$10="Activity",'Primary care (2)'!H31,'Primary care (2)'!H22)</f>
        <v>100600</v>
      </c>
      <c r="I17" s="370">
        <f>IF($B$10="Activity",'Primary care (2)'!J31,'Primary care (2)'!J22)</f>
        <v>97976.932873756858</v>
      </c>
    </row>
    <row r="18" spans="1:13" x14ac:dyDescent="0.25">
      <c r="B18" s="331" t="s">
        <v>367</v>
      </c>
      <c r="C18" s="370">
        <f>IF($B$10="Activity",'Primary care (2)'!C32,'Primary care (2)'!C23)</f>
        <v>10200</v>
      </c>
      <c r="D18" s="370">
        <f>IF($B$10="Activity",'Primary care (2)'!D32,'Primary care (2)'!D23)</f>
        <v>10700</v>
      </c>
      <c r="E18" s="370">
        <f>IF($B$10="Activity",'Primary care (2)'!E32,'Primary care (2)'!E23)</f>
        <v>11400</v>
      </c>
      <c r="F18" s="370">
        <f>IF($B$10="Activity",'Primary care (2)'!F32,'Primary care (2)'!F23)</f>
        <v>11300</v>
      </c>
      <c r="G18" s="370">
        <f>IF($B$10="Activity",'Primary care (2)'!G32,'Primary care (2)'!G23)</f>
        <v>10800</v>
      </c>
      <c r="H18" s="370">
        <f>IF($B$10="Activity",'Primary care (2)'!H32,'Primary care (2)'!H23)</f>
        <v>10800</v>
      </c>
      <c r="I18" s="370">
        <f>IF($B$10="Activity",'Primary care (2)'!J32,'Primary care (2)'!J23)</f>
        <v>10518.398360204514</v>
      </c>
    </row>
    <row r="19" spans="1:13" x14ac:dyDescent="0.25">
      <c r="B19" s="371" t="s">
        <v>48</v>
      </c>
      <c r="C19" s="373">
        <f>IF($B$10="Activity",'Primary care (2)'!C33,'Primary care (2)'!C24)</f>
        <v>265600</v>
      </c>
      <c r="D19" s="373">
        <f>IF($B$10="Activity",'Primary care (2)'!D33,'Primary care (2)'!D24)</f>
        <v>283100</v>
      </c>
      <c r="E19" s="373">
        <f>IF($B$10="Activity",'Primary care (2)'!E33,'Primary care (2)'!E24)</f>
        <v>293000</v>
      </c>
      <c r="F19" s="373">
        <f>IF($B$10="Activity",'Primary care (2)'!F33,'Primary care (2)'!F24)</f>
        <v>292500</v>
      </c>
      <c r="G19" s="373">
        <f>IF($B$10="Activity",'Primary care (2)'!G33,'Primary care (2)'!G24)</f>
        <v>300400</v>
      </c>
      <c r="H19" s="373">
        <f>IF($B$10="Activity",'Primary care (2)'!H33,'Primary care (2)'!H24)</f>
        <v>300400</v>
      </c>
      <c r="I19" s="373">
        <f>IF($B$10="Activity",'Primary care (2)'!J33,'Primary care (2)'!J24)</f>
        <v>292567.30253754038</v>
      </c>
    </row>
    <row r="20" spans="1:13" x14ac:dyDescent="0.25">
      <c r="B20" s="324"/>
      <c r="C20" s="324"/>
      <c r="D20" s="324"/>
      <c r="E20" s="324"/>
      <c r="F20" s="324"/>
      <c r="G20" s="324"/>
      <c r="H20" s="324"/>
      <c r="I20" s="324"/>
      <c r="J20" s="324"/>
      <c r="K20" s="324"/>
    </row>
    <row r="21" spans="1:13" x14ac:dyDescent="0.25">
      <c r="B21" s="324"/>
      <c r="C21" s="324"/>
      <c r="D21" s="324"/>
      <c r="E21" s="324"/>
      <c r="F21" s="324"/>
      <c r="G21" s="324"/>
      <c r="H21" s="324"/>
      <c r="I21" s="324"/>
      <c r="J21" s="324"/>
      <c r="K21" s="324"/>
    </row>
    <row r="22" spans="1:13" ht="51.75" x14ac:dyDescent="0.25">
      <c r="B22" s="324"/>
      <c r="C22" s="324"/>
      <c r="D22" s="324"/>
      <c r="E22" s="324"/>
      <c r="F22" s="324"/>
      <c r="G22" s="324"/>
      <c r="H22" s="324"/>
      <c r="I22" s="324"/>
      <c r="J22" s="323"/>
      <c r="K22" s="376" t="s">
        <v>422</v>
      </c>
      <c r="L22" s="376" t="s">
        <v>423</v>
      </c>
      <c r="M22" s="376" t="s">
        <v>424</v>
      </c>
    </row>
    <row r="23" spans="1:13" x14ac:dyDescent="0.25">
      <c r="B23" s="324"/>
      <c r="C23" s="324"/>
      <c r="D23" s="324"/>
      <c r="E23" s="324"/>
      <c r="F23" s="324"/>
      <c r="G23" s="324"/>
      <c r="H23" s="324"/>
      <c r="I23" s="324"/>
      <c r="J23" s="323">
        <v>2004</v>
      </c>
      <c r="K23" s="319">
        <v>8542</v>
      </c>
      <c r="L23" s="319">
        <v>52.527999999999999</v>
      </c>
      <c r="M23" s="319">
        <v>6149</v>
      </c>
    </row>
    <row r="24" spans="1:13" x14ac:dyDescent="0.25">
      <c r="B24" s="324"/>
      <c r="C24" s="324"/>
      <c r="D24" s="324"/>
      <c r="E24" s="324"/>
      <c r="F24" s="324"/>
      <c r="G24" s="324"/>
      <c r="H24" s="324"/>
      <c r="I24" s="324"/>
      <c r="J24" s="323">
        <v>2005</v>
      </c>
      <c r="K24" s="319">
        <v>8451</v>
      </c>
      <c r="L24" s="319">
        <v>52.817999999999998</v>
      </c>
      <c r="M24" s="319">
        <v>6250</v>
      </c>
    </row>
    <row r="25" spans="1:13" x14ac:dyDescent="0.25">
      <c r="B25" s="324"/>
      <c r="C25" s="324"/>
      <c r="D25" s="324"/>
      <c r="E25" s="324"/>
      <c r="F25" s="324"/>
      <c r="G25" s="324"/>
      <c r="H25" s="324"/>
      <c r="I25" s="324"/>
      <c r="J25" s="323">
        <v>2006</v>
      </c>
      <c r="K25" s="319">
        <v>8325</v>
      </c>
      <c r="L25" s="319">
        <v>53.283999999999999</v>
      </c>
      <c r="M25" s="319">
        <v>6400</v>
      </c>
    </row>
    <row r="26" spans="1:13" x14ac:dyDescent="0.25">
      <c r="B26" s="324"/>
      <c r="C26" s="324"/>
      <c r="D26" s="324"/>
      <c r="E26" s="324"/>
      <c r="F26" s="324"/>
      <c r="G26" s="324"/>
      <c r="H26" s="324"/>
      <c r="I26" s="324"/>
      <c r="J26" s="323">
        <v>2007</v>
      </c>
      <c r="K26" s="319">
        <v>8261</v>
      </c>
      <c r="L26" s="319">
        <v>53.588000000000001</v>
      </c>
      <c r="M26" s="319">
        <v>6487</v>
      </c>
    </row>
    <row r="27" spans="1:13" x14ac:dyDescent="0.25">
      <c r="B27" s="324"/>
      <c r="C27" s="324"/>
      <c r="D27" s="324"/>
      <c r="E27" s="324"/>
      <c r="F27" s="324"/>
      <c r="G27" s="324"/>
      <c r="H27" s="324"/>
      <c r="I27" s="324"/>
      <c r="J27" s="323">
        <v>2008</v>
      </c>
      <c r="K27" s="319">
        <v>8230</v>
      </c>
      <c r="L27" s="319">
        <v>53.945</v>
      </c>
      <c r="M27" s="319">
        <v>6555</v>
      </c>
    </row>
    <row r="28" spans="1:13" x14ac:dyDescent="0.25">
      <c r="B28" s="324"/>
      <c r="C28" s="324"/>
      <c r="D28" s="324"/>
      <c r="E28" s="324"/>
      <c r="F28" s="324"/>
      <c r="G28" s="324"/>
      <c r="H28" s="324"/>
      <c r="I28" s="324"/>
      <c r="J28" s="323">
        <v>2009</v>
      </c>
      <c r="K28" s="319">
        <v>8228</v>
      </c>
      <c r="L28" s="319">
        <v>54.609000000000002</v>
      </c>
      <c r="M28" s="319">
        <v>6637</v>
      </c>
    </row>
    <row r="29" spans="1:13" x14ac:dyDescent="0.25">
      <c r="A29" s="231"/>
      <c r="B29" s="377"/>
      <c r="C29" s="377"/>
      <c r="D29" s="377"/>
      <c r="E29" s="377"/>
      <c r="F29" s="377"/>
      <c r="G29" s="377"/>
      <c r="H29" s="377"/>
      <c r="I29" s="377"/>
      <c r="J29" s="323">
        <v>2010</v>
      </c>
      <c r="K29" s="375">
        <v>8313</v>
      </c>
      <c r="L29" s="375">
        <v>55.02</v>
      </c>
      <c r="M29" s="375">
        <v>6622</v>
      </c>
    </row>
    <row r="30" spans="1:13" x14ac:dyDescent="0.25">
      <c r="A30" s="231"/>
      <c r="B30" s="377"/>
      <c r="C30" s="377"/>
      <c r="D30" s="377"/>
      <c r="E30" s="377"/>
      <c r="F30" s="377"/>
      <c r="G30" s="377"/>
      <c r="H30" s="377"/>
      <c r="I30" s="377"/>
      <c r="J30" s="323">
        <v>2011</v>
      </c>
      <c r="K30" s="319">
        <v>8317</v>
      </c>
      <c r="L30" s="319">
        <v>55.308</v>
      </c>
      <c r="M30" s="319">
        <v>6650</v>
      </c>
    </row>
    <row r="31" spans="1:13" x14ac:dyDescent="0.25">
      <c r="A31" s="231"/>
      <c r="B31" s="377"/>
      <c r="C31" s="377"/>
      <c r="D31" s="377"/>
      <c r="E31" s="377"/>
      <c r="F31" s="377"/>
      <c r="G31" s="377"/>
      <c r="H31" s="377"/>
      <c r="I31" s="377"/>
    </row>
    <row r="32" spans="1:13" x14ac:dyDescent="0.25">
      <c r="A32" s="231"/>
      <c r="B32" s="377"/>
      <c r="C32" s="377"/>
      <c r="D32" s="377"/>
      <c r="E32" s="377"/>
      <c r="F32" s="377"/>
      <c r="G32" s="377"/>
      <c r="H32" s="377"/>
      <c r="I32" s="377"/>
    </row>
    <row r="33" spans="1:15" x14ac:dyDescent="0.25">
      <c r="A33" s="231"/>
      <c r="B33" s="377"/>
      <c r="C33" s="377"/>
      <c r="D33" s="377"/>
      <c r="E33" s="377"/>
      <c r="F33" s="377"/>
      <c r="G33" s="377"/>
      <c r="H33" s="377"/>
      <c r="I33" s="377"/>
    </row>
    <row r="34" spans="1:15" x14ac:dyDescent="0.25">
      <c r="A34" s="231"/>
      <c r="B34" s="377"/>
      <c r="C34" s="377"/>
      <c r="D34" s="377"/>
      <c r="E34" s="377"/>
      <c r="F34" s="377"/>
      <c r="G34" s="377"/>
      <c r="H34" s="377"/>
      <c r="I34" s="377"/>
    </row>
    <row r="35" spans="1:15" x14ac:dyDescent="0.25">
      <c r="A35" s="231"/>
      <c r="B35" s="377"/>
      <c r="C35" s="377"/>
      <c r="D35" s="377"/>
      <c r="E35" s="377"/>
      <c r="F35" s="377"/>
      <c r="G35" s="377"/>
      <c r="H35" s="377"/>
      <c r="I35" s="377"/>
      <c r="O35" s="8"/>
    </row>
    <row r="36" spans="1:15" x14ac:dyDescent="0.25">
      <c r="A36" s="231"/>
      <c r="B36" s="378"/>
      <c r="C36" s="379"/>
      <c r="D36" s="379"/>
      <c r="E36" s="379"/>
      <c r="F36" s="379"/>
      <c r="G36" s="379"/>
      <c r="H36" s="379"/>
      <c r="I36" s="379"/>
      <c r="J36" s="379"/>
      <c r="K36" s="377"/>
      <c r="L36" s="377"/>
      <c r="O36" s="8"/>
    </row>
    <row r="37" spans="1:15" x14ac:dyDescent="0.25">
      <c r="A37" s="380"/>
      <c r="B37" s="378"/>
      <c r="C37" s="379"/>
      <c r="D37" s="379"/>
      <c r="E37" s="379"/>
      <c r="F37" s="379"/>
      <c r="G37" s="379"/>
      <c r="H37" s="379"/>
      <c r="I37" s="379"/>
      <c r="J37" s="379"/>
      <c r="K37" s="377"/>
      <c r="L37" s="8"/>
      <c r="M37" s="8"/>
      <c r="N37" s="8"/>
      <c r="O37" s="8"/>
    </row>
    <row r="38" spans="1:15" x14ac:dyDescent="0.25">
      <c r="A38" s="380"/>
      <c r="B38" s="378"/>
      <c r="C38" s="379"/>
      <c r="D38" s="379"/>
      <c r="E38" s="379"/>
      <c r="F38" s="379"/>
      <c r="G38" s="379"/>
      <c r="H38" s="379"/>
      <c r="I38" s="379"/>
      <c r="J38" s="379"/>
      <c r="K38" s="377"/>
      <c r="L38" s="8"/>
      <c r="M38" s="8"/>
      <c r="N38" s="8"/>
      <c r="O38" s="8"/>
    </row>
    <row r="39" spans="1:15" x14ac:dyDescent="0.25">
      <c r="A39" s="380"/>
      <c r="B39" s="378"/>
      <c r="C39" s="379"/>
      <c r="D39" s="379"/>
      <c r="E39" s="379"/>
      <c r="F39" s="379"/>
      <c r="G39" s="379"/>
      <c r="H39" s="379"/>
      <c r="I39" s="379"/>
      <c r="J39" s="379"/>
      <c r="K39" s="377"/>
      <c r="L39" s="8"/>
      <c r="M39" s="8"/>
      <c r="N39" s="8"/>
      <c r="O39" s="8"/>
    </row>
    <row r="40" spans="1:15" x14ac:dyDescent="0.25">
      <c r="A40" s="381"/>
      <c r="B40" s="378"/>
      <c r="C40" s="379"/>
      <c r="D40" s="379"/>
      <c r="E40" s="379"/>
      <c r="F40" s="379"/>
      <c r="G40" s="379"/>
      <c r="H40" s="379"/>
      <c r="I40" s="379"/>
      <c r="J40" s="379"/>
      <c r="K40" s="377"/>
      <c r="L40" s="8"/>
      <c r="M40" s="8"/>
      <c r="N40" s="8"/>
      <c r="O40" s="8"/>
    </row>
    <row r="41" spans="1:15" x14ac:dyDescent="0.25">
      <c r="A41" s="381"/>
      <c r="B41" s="377"/>
      <c r="C41" s="8"/>
      <c r="D41" s="8"/>
      <c r="E41" s="8"/>
      <c r="F41" s="8"/>
    </row>
    <row r="42" spans="1:15" x14ac:dyDescent="0.25">
      <c r="A42" s="381"/>
      <c r="B42" s="377"/>
      <c r="C42" s="8"/>
      <c r="D42" s="8"/>
      <c r="E42" s="8"/>
      <c r="F42" s="8"/>
    </row>
    <row r="43" spans="1:15" x14ac:dyDescent="0.25">
      <c r="A43" s="381"/>
      <c r="B43" s="377"/>
      <c r="C43" s="8"/>
      <c r="D43" s="8"/>
      <c r="E43" s="8"/>
      <c r="F43" s="8"/>
    </row>
    <row r="44" spans="1:15" x14ac:dyDescent="0.25">
      <c r="A44" s="381"/>
      <c r="B44" s="377"/>
    </row>
    <row r="45" spans="1:15" x14ac:dyDescent="0.25">
      <c r="A45" s="381"/>
    </row>
    <row r="46" spans="1:15" x14ac:dyDescent="0.25">
      <c r="A46" s="5"/>
      <c r="B46" s="281"/>
    </row>
    <row r="47" spans="1:15" x14ac:dyDescent="0.25">
      <c r="A47" s="5"/>
      <c r="B47" s="281"/>
    </row>
    <row r="48" spans="1:15" x14ac:dyDescent="0.25">
      <c r="A48" s="5"/>
      <c r="B48" s="281"/>
    </row>
    <row r="49" spans="1:2" ht="23.25" x14ac:dyDescent="0.3">
      <c r="A49" s="235"/>
      <c r="B49" s="281"/>
    </row>
    <row r="50" spans="1:2" ht="23.25" x14ac:dyDescent="0.3">
      <c r="A50" s="235"/>
      <c r="B50" s="281"/>
    </row>
    <row r="51" spans="1:2" ht="23.25" x14ac:dyDescent="0.3">
      <c r="A51" s="235"/>
      <c r="B51" s="281"/>
    </row>
    <row r="52" spans="1:2" ht="23.25" x14ac:dyDescent="0.3">
      <c r="A52" s="235"/>
      <c r="B52" s="281"/>
    </row>
    <row r="53" spans="1:2" ht="23.25" x14ac:dyDescent="0.3">
      <c r="A53" s="235"/>
      <c r="B53" s="281"/>
    </row>
    <row r="54" spans="1:2" ht="23.25" x14ac:dyDescent="0.3">
      <c r="A54" s="235"/>
      <c r="B54" s="281"/>
    </row>
    <row r="55" spans="1:2" ht="23.25" x14ac:dyDescent="0.3">
      <c r="A55" s="235"/>
      <c r="B55" s="281"/>
    </row>
    <row r="56" spans="1:2" ht="23.25" x14ac:dyDescent="0.3">
      <c r="A56" s="235"/>
      <c r="B56" s="281"/>
    </row>
    <row r="57" spans="1:2" ht="23.25" x14ac:dyDescent="0.3">
      <c r="A57" s="235"/>
      <c r="B57" s="281"/>
    </row>
    <row r="58" spans="1:2" ht="23.25" x14ac:dyDescent="0.3">
      <c r="A58" s="235"/>
      <c r="B58" s="281"/>
    </row>
    <row r="59" spans="1:2" ht="23.25" x14ac:dyDescent="0.3">
      <c r="A59" s="235"/>
      <c r="B59" s="281"/>
    </row>
    <row r="60" spans="1:2" ht="23.25" x14ac:dyDescent="0.3">
      <c r="A60" s="235"/>
      <c r="B60" s="281"/>
    </row>
    <row r="61" spans="1:2" ht="23.25" x14ac:dyDescent="0.3">
      <c r="A61" s="235"/>
      <c r="B61" s="281"/>
    </row>
    <row r="62" spans="1:2" ht="23.25" x14ac:dyDescent="0.3">
      <c r="A62" s="235"/>
      <c r="B62" s="281"/>
    </row>
    <row r="63" spans="1:2" ht="23.25" x14ac:dyDescent="0.3">
      <c r="A63" s="235"/>
      <c r="B63" s="281"/>
    </row>
    <row r="64" spans="1:2" ht="23.25" x14ac:dyDescent="0.3">
      <c r="A64" s="235"/>
      <c r="B64" s="281"/>
    </row>
    <row r="65" spans="2:8" x14ac:dyDescent="0.25">
      <c r="B65" s="281"/>
    </row>
    <row r="66" spans="2:8" x14ac:dyDescent="0.25">
      <c r="B66" s="281"/>
    </row>
    <row r="67" spans="2:8" x14ac:dyDescent="0.25">
      <c r="B67" s="281"/>
    </row>
    <row r="68" spans="2:8" x14ac:dyDescent="0.25">
      <c r="B68" s="281"/>
    </row>
    <row r="69" spans="2:8" x14ac:dyDescent="0.25">
      <c r="B69" s="281"/>
    </row>
    <row r="70" spans="2:8" x14ac:dyDescent="0.25">
      <c r="B70" s="281"/>
    </row>
    <row r="71" spans="2:8" x14ac:dyDescent="0.25">
      <c r="B71" s="281"/>
    </row>
    <row r="72" spans="2:8" x14ac:dyDescent="0.25">
      <c r="B72" s="281"/>
    </row>
    <row r="73" spans="2:8" x14ac:dyDescent="0.25">
      <c r="B73" s="281"/>
      <c r="C73" s="281"/>
      <c r="D73" s="281"/>
      <c r="E73" s="281"/>
      <c r="F73" s="281"/>
      <c r="G73" s="281"/>
      <c r="H73" s="281"/>
    </row>
    <row r="74" spans="2:8" x14ac:dyDescent="0.25">
      <c r="B74" s="281"/>
      <c r="C74" s="281"/>
      <c r="D74" s="281"/>
      <c r="E74" s="281"/>
      <c r="F74" s="281"/>
      <c r="G74" s="281"/>
      <c r="H74" s="281"/>
    </row>
    <row r="75" spans="2:8" x14ac:dyDescent="0.25">
      <c r="B75" s="281"/>
      <c r="C75" s="281"/>
      <c r="D75" s="281"/>
      <c r="E75" s="281"/>
      <c r="F75" s="281"/>
      <c r="G75" s="281"/>
      <c r="H75" s="281"/>
    </row>
    <row r="76" spans="2:8" x14ac:dyDescent="0.25">
      <c r="B76" s="281"/>
      <c r="C76" s="281"/>
      <c r="D76" s="281"/>
      <c r="E76" s="281"/>
      <c r="F76" s="281"/>
      <c r="G76" s="281"/>
      <c r="H76" s="281"/>
    </row>
    <row r="77" spans="2:8" x14ac:dyDescent="0.25">
      <c r="B77" s="281"/>
      <c r="C77" s="281"/>
      <c r="D77" s="281"/>
      <c r="E77" s="281"/>
      <c r="F77" s="281"/>
      <c r="G77" s="281"/>
      <c r="H77" s="281"/>
    </row>
    <row r="78" spans="2:8" x14ac:dyDescent="0.25">
      <c r="B78" s="281"/>
      <c r="C78" s="281"/>
      <c r="D78" s="281"/>
      <c r="E78" s="281"/>
      <c r="F78" s="281"/>
      <c r="G78" s="281"/>
      <c r="H78" s="281"/>
    </row>
    <row r="79" spans="2:8" x14ac:dyDescent="0.25">
      <c r="B79" s="281"/>
      <c r="C79" s="281"/>
      <c r="D79" s="281"/>
      <c r="E79" s="281"/>
      <c r="F79" s="281"/>
      <c r="G79" s="281"/>
      <c r="H79" s="281"/>
    </row>
    <row r="80" spans="2:8" ht="23.25" customHeight="1" x14ac:dyDescent="0.25">
      <c r="B80" s="281"/>
      <c r="C80" s="281"/>
      <c r="D80" s="281"/>
      <c r="E80" s="281"/>
      <c r="F80" s="281"/>
      <c r="G80" s="281"/>
      <c r="H80" s="281"/>
    </row>
  </sheetData>
  <dataValidations count="3">
    <dataValidation type="list" allowBlank="1" showInputMessage="1" showErrorMessage="1" sqref="B10">
      <formula1>GPview</formula1>
    </dataValidation>
    <dataValidation allowBlank="1" showErrorMessage="1" promptTitle="Propgen data" prompt="Propgen data set consist of more than billion different hits; it is provided ever yyear by the Health drugs authority._x000a_" sqref="E10"/>
    <dataValidation allowBlank="1" showInputMessage="1" showErrorMessage="1" promptTitle="Source" prompt="General Practice Trends in _x000a_the UK Produced by the  Technical Steering Committee,March 2011_x000a_" sqref="K22:M22"/>
  </dataValidation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P73"/>
  <sheetViews>
    <sheetView showGridLines="0" showRowColHeaders="0" topLeftCell="A4" zoomScaleNormal="100" workbookViewId="0">
      <selection activeCell="H32" sqref="H32"/>
    </sheetView>
  </sheetViews>
  <sheetFormatPr defaultRowHeight="15" x14ac:dyDescent="0.25"/>
  <cols>
    <col min="2" max="2" width="7.85546875" customWidth="1"/>
    <col min="3" max="4" width="12" customWidth="1"/>
    <col min="5" max="5" width="13.5703125" customWidth="1"/>
    <col min="6" max="7" width="8.42578125" customWidth="1"/>
    <col min="8" max="9" width="13.7109375" customWidth="1"/>
    <col min="10" max="11" width="9.7109375" customWidth="1"/>
    <col min="12" max="12" width="26.28515625" customWidth="1"/>
    <col min="13" max="13" width="16.28515625" customWidth="1"/>
    <col min="14" max="14" width="26.28515625" bestFit="1" customWidth="1"/>
    <col min="15" max="15" width="16.28515625" bestFit="1" customWidth="1"/>
    <col min="16" max="16" width="22.5703125" bestFit="1" customWidth="1"/>
    <col min="17" max="17" width="21.28515625" bestFit="1" customWidth="1"/>
    <col min="18" max="18" width="22.28515625" bestFit="1" customWidth="1"/>
  </cols>
  <sheetData>
    <row r="1" spans="1:11" x14ac:dyDescent="0.25">
      <c r="B1" s="116"/>
      <c r="C1" s="116"/>
      <c r="D1" s="116"/>
      <c r="E1" s="116"/>
    </row>
    <row r="4" spans="1:11" ht="30" x14ac:dyDescent="0.4">
      <c r="B4" s="2" t="s">
        <v>372</v>
      </c>
    </row>
    <row r="5" spans="1:11" x14ac:dyDescent="0.25">
      <c r="B5" s="279"/>
      <c r="C5" s="281"/>
      <c r="D5" s="281"/>
      <c r="E5" s="281"/>
      <c r="F5" s="281"/>
      <c r="G5" s="281"/>
      <c r="H5" s="281"/>
      <c r="I5" s="281"/>
    </row>
    <row r="6" spans="1:11" ht="23.25" customHeight="1" x14ac:dyDescent="0.25">
      <c r="B6" s="280" t="s">
        <v>418</v>
      </c>
    </row>
    <row r="7" spans="1:11" x14ac:dyDescent="0.25">
      <c r="B7" s="279"/>
    </row>
    <row r="8" spans="1:11" x14ac:dyDescent="0.25">
      <c r="B8" s="280" t="s">
        <v>419</v>
      </c>
    </row>
    <row r="9" spans="1:11" x14ac:dyDescent="0.25">
      <c r="B9" s="693"/>
      <c r="C9" s="694"/>
      <c r="D9" s="231"/>
    </row>
    <row r="11" spans="1:11" ht="27.95" customHeight="1" x14ac:dyDescent="0.25">
      <c r="A11" s="279"/>
      <c r="B11" s="331"/>
      <c r="C11" s="691" t="s">
        <v>373</v>
      </c>
      <c r="D11" s="691"/>
      <c r="E11" s="691"/>
      <c r="F11" s="389"/>
      <c r="G11" s="692" t="s">
        <v>421</v>
      </c>
      <c r="H11" s="692"/>
      <c r="I11" s="692"/>
      <c r="J11" s="385"/>
      <c r="K11" s="385"/>
    </row>
    <row r="12" spans="1:11" x14ac:dyDescent="0.25">
      <c r="A12" s="279"/>
      <c r="B12" s="331"/>
      <c r="C12" s="390" t="s">
        <v>375</v>
      </c>
      <c r="D12" s="390" t="s">
        <v>376</v>
      </c>
      <c r="E12" s="390" t="s">
        <v>377</v>
      </c>
      <c r="F12" s="391" t="s">
        <v>378</v>
      </c>
      <c r="G12" s="390" t="s">
        <v>375</v>
      </c>
      <c r="H12" s="398" t="s">
        <v>376</v>
      </c>
      <c r="I12" s="390" t="s">
        <v>377</v>
      </c>
      <c r="J12" s="386"/>
      <c r="K12" s="382"/>
    </row>
    <row r="13" spans="1:11" x14ac:dyDescent="0.25">
      <c r="A13" s="279"/>
      <c r="B13" s="331" t="s">
        <v>74</v>
      </c>
      <c r="C13" s="393">
        <v>3.57</v>
      </c>
      <c r="D13" s="392">
        <v>1.63</v>
      </c>
      <c r="E13" s="392">
        <v>10.41</v>
      </c>
      <c r="F13" s="394"/>
      <c r="G13" s="393">
        <v>78.599999999999994</v>
      </c>
      <c r="H13" s="392">
        <v>73.13</v>
      </c>
      <c r="I13" s="392">
        <v>64.33</v>
      </c>
      <c r="J13" s="386"/>
      <c r="K13" s="382"/>
    </row>
    <row r="14" spans="1:11" x14ac:dyDescent="0.25">
      <c r="A14" s="279"/>
      <c r="B14" s="331" t="s">
        <v>75</v>
      </c>
      <c r="C14" s="393">
        <v>3.57</v>
      </c>
      <c r="D14" s="392">
        <v>1.66</v>
      </c>
      <c r="E14" s="392">
        <v>11.48</v>
      </c>
      <c r="F14" s="394"/>
      <c r="G14" s="393">
        <v>84.44</v>
      </c>
      <c r="H14" s="392">
        <v>81.22</v>
      </c>
      <c r="I14" s="392">
        <v>71.05</v>
      </c>
      <c r="J14" s="386"/>
      <c r="K14" s="382"/>
    </row>
    <row r="15" spans="1:11" x14ac:dyDescent="0.25">
      <c r="A15" s="279"/>
      <c r="B15" s="331" t="s">
        <v>76</v>
      </c>
      <c r="C15" s="393">
        <v>3.54</v>
      </c>
      <c r="D15" s="392">
        <v>1.61</v>
      </c>
      <c r="E15" s="392">
        <v>12.49</v>
      </c>
      <c r="F15" s="394"/>
      <c r="G15" s="393">
        <v>88.86</v>
      </c>
      <c r="H15" s="392">
        <v>86.92</v>
      </c>
      <c r="I15" s="392">
        <v>77.62</v>
      </c>
      <c r="J15" s="386"/>
      <c r="K15" s="382"/>
    </row>
    <row r="16" spans="1:11" x14ac:dyDescent="0.25">
      <c r="A16" s="279"/>
      <c r="B16" s="331" t="s">
        <v>4</v>
      </c>
      <c r="C16" s="393">
        <v>3.5</v>
      </c>
      <c r="D16" s="392">
        <v>1.63</v>
      </c>
      <c r="E16" s="392">
        <v>12.79</v>
      </c>
      <c r="F16" s="394"/>
      <c r="G16" s="393">
        <v>89.41</v>
      </c>
      <c r="H16" s="392">
        <v>87.51</v>
      </c>
      <c r="I16" s="392">
        <v>78.349999999999994</v>
      </c>
      <c r="J16" s="386"/>
      <c r="K16" s="382"/>
    </row>
    <row r="17" spans="1:13" x14ac:dyDescent="0.25">
      <c r="A17" s="279"/>
      <c r="B17" s="331" t="s">
        <v>5</v>
      </c>
      <c r="C17" s="393">
        <v>3.47</v>
      </c>
      <c r="D17" s="392">
        <v>1.66</v>
      </c>
      <c r="E17" s="392">
        <v>13.13</v>
      </c>
      <c r="F17" s="394"/>
      <c r="G17" s="393">
        <v>89.68</v>
      </c>
      <c r="H17" s="392">
        <v>87.88</v>
      </c>
      <c r="I17" s="392">
        <v>78.56</v>
      </c>
      <c r="J17" s="386"/>
      <c r="K17" s="382"/>
    </row>
    <row r="18" spans="1:13" x14ac:dyDescent="0.25">
      <c r="A18" s="279"/>
      <c r="B18" s="331" t="s">
        <v>6</v>
      </c>
      <c r="C18" s="393">
        <v>3.44</v>
      </c>
      <c r="D18" s="392">
        <v>1.68</v>
      </c>
      <c r="E18" s="392">
        <v>13.35</v>
      </c>
      <c r="F18" s="394"/>
      <c r="G18" s="393">
        <v>89.77</v>
      </c>
      <c r="H18" s="392">
        <v>88.12</v>
      </c>
      <c r="I18" s="392">
        <v>78.72</v>
      </c>
      <c r="J18" s="387"/>
      <c r="K18" s="383"/>
    </row>
    <row r="19" spans="1:13" x14ac:dyDescent="0.25">
      <c r="A19" s="279"/>
      <c r="B19" s="331" t="s">
        <v>7</v>
      </c>
      <c r="C19" s="393">
        <v>3.4</v>
      </c>
      <c r="D19" s="392">
        <v>1.71</v>
      </c>
      <c r="E19" s="392">
        <v>13.52</v>
      </c>
      <c r="F19" s="394"/>
      <c r="G19" s="393">
        <v>90.16</v>
      </c>
      <c r="H19" s="392">
        <v>88.57</v>
      </c>
      <c r="I19" s="392">
        <v>79.3</v>
      </c>
      <c r="J19" s="388"/>
      <c r="K19" s="324"/>
      <c r="L19" s="324"/>
    </row>
    <row r="20" spans="1:13" x14ac:dyDescent="0.25">
      <c r="B20" s="324"/>
      <c r="C20" s="324"/>
      <c r="D20" s="324"/>
      <c r="E20" s="324"/>
      <c r="F20" s="324"/>
      <c r="G20" s="324"/>
      <c r="H20" s="324"/>
      <c r="I20" s="324"/>
      <c r="J20" s="324"/>
      <c r="K20" s="324"/>
      <c r="L20" s="324"/>
    </row>
    <row r="21" spans="1:13" x14ac:dyDescent="0.25">
      <c r="B21" s="448" t="s">
        <v>420</v>
      </c>
      <c r="C21" s="449"/>
      <c r="D21" s="449"/>
      <c r="E21" s="324"/>
      <c r="F21" s="324"/>
      <c r="G21" s="324"/>
      <c r="H21" s="324"/>
      <c r="I21" s="324"/>
      <c r="J21" s="324"/>
      <c r="K21" s="324"/>
      <c r="L21" s="324"/>
    </row>
    <row r="22" spans="1:13" x14ac:dyDescent="0.25">
      <c r="A22" s="262">
        <v>2</v>
      </c>
      <c r="B22" s="397"/>
      <c r="C22" s="377"/>
      <c r="D22" s="377"/>
      <c r="E22" s="324"/>
      <c r="F22" s="324"/>
      <c r="G22" s="324"/>
      <c r="H22" s="324"/>
      <c r="I22" s="324"/>
      <c r="J22" s="324"/>
      <c r="K22" s="324"/>
      <c r="L22" s="324"/>
    </row>
    <row r="23" spans="1:13" x14ac:dyDescent="0.25">
      <c r="B23" s="381"/>
      <c r="C23" s="446"/>
      <c r="D23" s="446"/>
    </row>
    <row r="24" spans="1:13" x14ac:dyDescent="0.25">
      <c r="B24" s="381"/>
      <c r="C24" s="446"/>
      <c r="D24" s="446"/>
    </row>
    <row r="25" spans="1:13" x14ac:dyDescent="0.25">
      <c r="B25" s="395" t="s">
        <v>425</v>
      </c>
      <c r="C25" s="324"/>
      <c r="D25" s="324"/>
    </row>
    <row r="26" spans="1:13" x14ac:dyDescent="0.25">
      <c r="B26" s="399"/>
      <c r="C26" s="323" t="s">
        <v>263</v>
      </c>
      <c r="D26" s="323">
        <f>IF(A22=1, 1.3, 1.5)</f>
        <v>1.5</v>
      </c>
    </row>
    <row r="27" spans="1:13" x14ac:dyDescent="0.25">
      <c r="B27" s="384" t="s">
        <v>74</v>
      </c>
      <c r="C27" s="225">
        <v>265600</v>
      </c>
      <c r="D27" s="374">
        <f>IF($D$26=1.3,D36/1000,E36/1000)</f>
        <v>279802.68377599999</v>
      </c>
    </row>
    <row r="28" spans="1:13" x14ac:dyDescent="0.25">
      <c r="A28" s="231"/>
      <c r="B28" s="384" t="s">
        <v>75</v>
      </c>
      <c r="C28" s="225">
        <v>283100</v>
      </c>
      <c r="D28" s="374">
        <f t="shared" ref="D28:D33" si="0">IF($D$26=1.3,D37/1000,E37/1000)</f>
        <v>300821.06915000005</v>
      </c>
    </row>
    <row r="29" spans="1:13" x14ac:dyDescent="0.25">
      <c r="A29" s="231"/>
      <c r="B29" s="384" t="s">
        <v>76</v>
      </c>
      <c r="C29" s="225">
        <v>293000</v>
      </c>
      <c r="D29" s="374">
        <f t="shared" si="0"/>
        <v>313861.29820999998</v>
      </c>
    </row>
    <row r="30" spans="1:13" x14ac:dyDescent="0.25">
      <c r="A30" s="231"/>
      <c r="B30" s="384" t="s">
        <v>4</v>
      </c>
      <c r="C30" s="225">
        <v>292500</v>
      </c>
      <c r="D30" s="374">
        <f t="shared" si="0"/>
        <v>313818.46470000001</v>
      </c>
    </row>
    <row r="31" spans="1:13" x14ac:dyDescent="0.25">
      <c r="A31" s="231"/>
      <c r="B31" s="384" t="s">
        <v>5</v>
      </c>
      <c r="C31" s="225">
        <v>300400</v>
      </c>
      <c r="D31" s="374">
        <f t="shared" si="0"/>
        <v>322758.21926400007</v>
      </c>
    </row>
    <row r="32" spans="1:13" x14ac:dyDescent="0.25">
      <c r="A32" s="452"/>
      <c r="B32" s="453" t="s">
        <v>6</v>
      </c>
      <c r="C32" s="454">
        <v>300400</v>
      </c>
      <c r="D32" s="450">
        <f t="shared" si="0"/>
        <v>323046.59124799998</v>
      </c>
      <c r="E32" s="435"/>
      <c r="F32" s="435"/>
      <c r="G32" s="435"/>
      <c r="H32" s="435"/>
      <c r="I32" s="435"/>
      <c r="J32" s="435"/>
      <c r="K32" s="435"/>
      <c r="L32" s="435"/>
      <c r="M32" s="435"/>
    </row>
    <row r="33" spans="1:16" x14ac:dyDescent="0.25">
      <c r="A33" s="452"/>
      <c r="B33" s="453" t="s">
        <v>7</v>
      </c>
      <c r="C33" s="225">
        <v>292567</v>
      </c>
      <c r="D33" s="450">
        <f t="shared" si="0"/>
        <v>314950.67104377894</v>
      </c>
      <c r="E33" s="447"/>
      <c r="F33" s="447"/>
      <c r="G33" s="447"/>
      <c r="H33" s="447"/>
      <c r="I33" s="447"/>
      <c r="J33" s="447"/>
      <c r="K33" s="447"/>
      <c r="L33" s="447"/>
      <c r="M33" s="435"/>
    </row>
    <row r="34" spans="1:16" x14ac:dyDescent="0.25">
      <c r="A34" s="452"/>
      <c r="B34" s="433"/>
      <c r="C34" s="435"/>
      <c r="D34" s="455"/>
      <c r="E34" s="447"/>
      <c r="F34" s="447"/>
      <c r="G34" s="447"/>
      <c r="H34" s="447"/>
      <c r="I34" s="447"/>
      <c r="J34" s="447"/>
      <c r="K34" s="447"/>
      <c r="L34" s="447"/>
      <c r="M34" s="441"/>
      <c r="N34" s="8"/>
      <c r="O34" s="8"/>
      <c r="P34" s="8"/>
    </row>
    <row r="35" spans="1:16" x14ac:dyDescent="0.25">
      <c r="A35" s="452"/>
      <c r="B35" s="433"/>
      <c r="C35" s="455"/>
      <c r="D35" s="461"/>
      <c r="E35" s="462"/>
      <c r="F35" s="462"/>
      <c r="G35" s="451"/>
      <c r="H35" s="451"/>
      <c r="I35" s="451"/>
      <c r="J35" s="451"/>
      <c r="K35" s="451"/>
      <c r="L35" s="447"/>
      <c r="M35" s="441"/>
      <c r="N35" s="8"/>
      <c r="O35" s="8"/>
      <c r="P35" s="8"/>
    </row>
    <row r="36" spans="1:16" x14ac:dyDescent="0.25">
      <c r="A36" s="456"/>
      <c r="B36" s="433"/>
      <c r="C36" s="455"/>
      <c r="D36" s="463">
        <v>274121610.26560003</v>
      </c>
      <c r="E36" s="463">
        <v>279802683.77599996</v>
      </c>
      <c r="F36" s="462"/>
      <c r="G36" s="451"/>
      <c r="H36" s="451"/>
      <c r="I36" s="451"/>
      <c r="J36" s="451"/>
      <c r="K36" s="451"/>
      <c r="L36" s="447"/>
      <c r="M36" s="441"/>
      <c r="N36" s="8"/>
      <c r="O36" s="8"/>
      <c r="P36" s="8"/>
    </row>
    <row r="37" spans="1:16" x14ac:dyDescent="0.25">
      <c r="A37" s="456"/>
      <c r="B37" s="433"/>
      <c r="C37" s="455"/>
      <c r="D37" s="463">
        <v>293732641.49000001</v>
      </c>
      <c r="E37" s="463">
        <v>300821069.15000004</v>
      </c>
      <c r="F37" s="462"/>
      <c r="G37" s="451"/>
      <c r="H37" s="451"/>
      <c r="I37" s="451"/>
      <c r="J37" s="451"/>
      <c r="K37" s="451"/>
      <c r="L37" s="447"/>
      <c r="M37" s="441"/>
      <c r="N37" s="8"/>
      <c r="O37" s="8"/>
      <c r="P37" s="8"/>
    </row>
    <row r="38" spans="1:16" x14ac:dyDescent="0.25">
      <c r="A38" s="456"/>
      <c r="B38" s="433"/>
      <c r="C38" s="455"/>
      <c r="D38" s="463">
        <v>305516778.926</v>
      </c>
      <c r="E38" s="463">
        <v>313861298.20999998</v>
      </c>
      <c r="F38" s="462"/>
      <c r="G38" s="451"/>
      <c r="H38" s="451"/>
      <c r="I38" s="451"/>
      <c r="J38" s="451"/>
      <c r="K38" s="451"/>
      <c r="L38" s="447"/>
      <c r="M38" s="441"/>
      <c r="N38" s="8"/>
      <c r="O38" s="8"/>
      <c r="P38" s="8"/>
    </row>
    <row r="39" spans="1:16" x14ac:dyDescent="0.25">
      <c r="A39" s="457"/>
      <c r="B39" s="433"/>
      <c r="C39" s="455"/>
      <c r="D39" s="463">
        <v>305291078.81999999</v>
      </c>
      <c r="E39" s="463">
        <v>313818464.69999999</v>
      </c>
      <c r="F39" s="264"/>
      <c r="G39" s="435"/>
      <c r="H39" s="435"/>
      <c r="I39" s="435"/>
      <c r="J39" s="435"/>
      <c r="K39" s="435"/>
      <c r="L39" s="435"/>
      <c r="M39" s="435"/>
    </row>
    <row r="40" spans="1:16" x14ac:dyDescent="0.25">
      <c r="A40" s="457"/>
      <c r="B40" s="458"/>
      <c r="C40" s="452"/>
      <c r="D40" s="463">
        <v>313814931.55840003</v>
      </c>
      <c r="E40" s="463">
        <v>322758219.26400006</v>
      </c>
      <c r="F40" s="264"/>
      <c r="G40" s="435"/>
      <c r="H40" s="435"/>
      <c r="I40" s="435"/>
      <c r="J40" s="435"/>
      <c r="K40" s="435"/>
      <c r="L40" s="435"/>
      <c r="M40" s="435"/>
    </row>
    <row r="41" spans="1:16" x14ac:dyDescent="0.25">
      <c r="A41" s="457"/>
      <c r="B41" s="459"/>
      <c r="C41" s="435"/>
      <c r="D41" s="463">
        <v>313987954.74879998</v>
      </c>
      <c r="E41" s="463">
        <v>323046591.24799997</v>
      </c>
      <c r="F41" s="264"/>
      <c r="G41" s="435"/>
      <c r="H41" s="435"/>
      <c r="I41" s="435"/>
      <c r="J41" s="435"/>
      <c r="K41" s="435"/>
      <c r="L41" s="435"/>
      <c r="M41" s="435"/>
    </row>
    <row r="42" spans="1:16" ht="23.25" x14ac:dyDescent="0.3">
      <c r="A42" s="460"/>
      <c r="B42" s="459"/>
      <c r="C42" s="435"/>
      <c r="D42" s="463">
        <v>305997323.42626739</v>
      </c>
      <c r="E42" s="463">
        <v>314950671.04377896</v>
      </c>
      <c r="F42" s="264"/>
      <c r="G42" s="435"/>
      <c r="H42" s="435"/>
      <c r="I42" s="435"/>
      <c r="J42" s="435"/>
      <c r="K42" s="435"/>
      <c r="L42" s="435"/>
      <c r="M42" s="435"/>
    </row>
    <row r="43" spans="1:16" ht="23.25" x14ac:dyDescent="0.3">
      <c r="A43" s="460"/>
      <c r="B43" s="459"/>
      <c r="C43" s="435"/>
      <c r="D43" s="264"/>
      <c r="E43" s="264"/>
      <c r="F43" s="264"/>
      <c r="G43" s="435"/>
      <c r="H43" s="435"/>
      <c r="I43" s="435"/>
      <c r="J43" s="435"/>
      <c r="K43" s="435"/>
      <c r="L43" s="435"/>
      <c r="M43" s="435"/>
    </row>
    <row r="44" spans="1:16" ht="23.25" x14ac:dyDescent="0.3">
      <c r="A44" s="460"/>
      <c r="B44" s="459"/>
      <c r="C44" s="435"/>
      <c r="D44" s="435"/>
      <c r="E44" s="435"/>
      <c r="F44" s="435"/>
      <c r="G44" s="435"/>
      <c r="H44" s="435"/>
      <c r="I44" s="435"/>
      <c r="J44" s="435"/>
      <c r="K44" s="435"/>
      <c r="L44" s="435"/>
      <c r="M44" s="435"/>
    </row>
    <row r="45" spans="1:16" ht="23.25" x14ac:dyDescent="0.3">
      <c r="A45" s="235"/>
      <c r="B45" s="281"/>
      <c r="G45" s="435"/>
      <c r="H45" s="435"/>
      <c r="I45" s="435"/>
      <c r="J45" s="435"/>
      <c r="K45" s="435"/>
      <c r="L45" s="435"/>
      <c r="M45" s="435"/>
    </row>
    <row r="46" spans="1:16" ht="23.25" x14ac:dyDescent="0.3">
      <c r="A46" s="235"/>
      <c r="B46" s="281"/>
    </row>
    <row r="47" spans="1:16" ht="23.25" x14ac:dyDescent="0.3">
      <c r="A47" s="235"/>
      <c r="B47" s="281"/>
    </row>
    <row r="48" spans="1:16" ht="23.25" x14ac:dyDescent="0.3">
      <c r="A48" s="235"/>
      <c r="B48" s="281"/>
    </row>
    <row r="49" spans="1:2" ht="23.25" x14ac:dyDescent="0.3">
      <c r="A49" s="235"/>
      <c r="B49" s="281"/>
    </row>
    <row r="50" spans="1:2" ht="23.25" x14ac:dyDescent="0.3">
      <c r="A50" s="235"/>
      <c r="B50" s="281"/>
    </row>
    <row r="51" spans="1:2" ht="23.25" x14ac:dyDescent="0.3">
      <c r="A51" s="235"/>
      <c r="B51" s="281"/>
    </row>
    <row r="52" spans="1:2" ht="23.25" x14ac:dyDescent="0.3">
      <c r="A52" s="235"/>
      <c r="B52" s="281"/>
    </row>
    <row r="53" spans="1:2" ht="23.25" x14ac:dyDescent="0.3">
      <c r="A53" s="235"/>
      <c r="B53" s="281"/>
    </row>
    <row r="54" spans="1:2" ht="23.25" x14ac:dyDescent="0.3">
      <c r="A54" s="235"/>
      <c r="B54" s="281"/>
    </row>
    <row r="55" spans="1:2" ht="23.25" x14ac:dyDescent="0.3">
      <c r="A55" s="235"/>
      <c r="B55" s="281"/>
    </row>
    <row r="56" spans="1:2" ht="23.25" x14ac:dyDescent="0.3">
      <c r="A56" s="235"/>
      <c r="B56" s="281"/>
    </row>
    <row r="57" spans="1:2" ht="23.25" x14ac:dyDescent="0.3">
      <c r="A57" s="235"/>
      <c r="B57" s="281"/>
    </row>
    <row r="58" spans="1:2" x14ac:dyDescent="0.25">
      <c r="B58" s="281"/>
    </row>
    <row r="59" spans="1:2" x14ac:dyDescent="0.25">
      <c r="B59" s="281"/>
    </row>
    <row r="60" spans="1:2" x14ac:dyDescent="0.25">
      <c r="B60" s="281"/>
    </row>
    <row r="61" spans="1:2" x14ac:dyDescent="0.25">
      <c r="B61" s="281"/>
    </row>
    <row r="62" spans="1:2" x14ac:dyDescent="0.25">
      <c r="B62" s="281"/>
    </row>
    <row r="63" spans="1:2" x14ac:dyDescent="0.25">
      <c r="B63" s="281"/>
    </row>
    <row r="64" spans="1:2" x14ac:dyDescent="0.25">
      <c r="B64" s="281"/>
    </row>
    <row r="65" spans="2:9" x14ac:dyDescent="0.25">
      <c r="B65" s="281"/>
    </row>
    <row r="66" spans="2:9" x14ac:dyDescent="0.25">
      <c r="B66" s="281"/>
      <c r="C66" s="281"/>
      <c r="D66" s="281"/>
      <c r="E66" s="281"/>
      <c r="F66" s="281"/>
      <c r="G66" s="281"/>
      <c r="H66" s="281"/>
      <c r="I66" s="281"/>
    </row>
    <row r="67" spans="2:9" x14ac:dyDescent="0.25">
      <c r="B67" s="281"/>
      <c r="C67" s="281"/>
      <c r="D67" s="281"/>
      <c r="E67" s="281"/>
      <c r="F67" s="281"/>
      <c r="G67" s="281"/>
      <c r="H67" s="281"/>
      <c r="I67" s="281"/>
    </row>
    <row r="68" spans="2:9" x14ac:dyDescent="0.25">
      <c r="B68" s="281"/>
      <c r="C68" s="281"/>
      <c r="D68" s="281"/>
      <c r="E68" s="281"/>
      <c r="F68" s="281"/>
      <c r="G68" s="281"/>
      <c r="H68" s="281"/>
      <c r="I68" s="281"/>
    </row>
    <row r="69" spans="2:9" x14ac:dyDescent="0.25">
      <c r="B69" s="281"/>
      <c r="C69" s="281"/>
      <c r="D69" s="281"/>
      <c r="E69" s="281"/>
      <c r="F69" s="281"/>
      <c r="G69" s="281"/>
      <c r="H69" s="281"/>
      <c r="I69" s="281"/>
    </row>
    <row r="70" spans="2:9" x14ac:dyDescent="0.25">
      <c r="B70" s="281"/>
      <c r="C70" s="281"/>
      <c r="D70" s="281"/>
      <c r="E70" s="281"/>
      <c r="F70" s="281"/>
      <c r="G70" s="281"/>
      <c r="H70" s="281"/>
      <c r="I70" s="281"/>
    </row>
    <row r="71" spans="2:9" x14ac:dyDescent="0.25">
      <c r="B71" s="281"/>
      <c r="C71" s="281"/>
      <c r="D71" s="281"/>
      <c r="E71" s="281"/>
      <c r="F71" s="281"/>
      <c r="G71" s="281"/>
      <c r="H71" s="281"/>
      <c r="I71" s="281"/>
    </row>
    <row r="72" spans="2:9" x14ac:dyDescent="0.25">
      <c r="B72" s="281"/>
      <c r="C72" s="281"/>
      <c r="D72" s="281"/>
      <c r="E72" s="281"/>
      <c r="F72" s="281"/>
      <c r="G72" s="281"/>
      <c r="H72" s="281"/>
      <c r="I72" s="281"/>
    </row>
    <row r="73" spans="2:9" ht="23.25" customHeight="1" x14ac:dyDescent="0.25">
      <c r="B73" s="281"/>
      <c r="C73" s="281"/>
      <c r="D73" s="281"/>
      <c r="E73" s="281"/>
      <c r="F73" s="281"/>
      <c r="G73" s="281"/>
      <c r="H73" s="281"/>
      <c r="I73" s="281"/>
    </row>
  </sheetData>
  <mergeCells count="3">
    <mergeCell ref="C11:E11"/>
    <mergeCell ref="G11:I11"/>
    <mergeCell ref="B9:C9"/>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6" r:id="rId4" name="Option Button 2">
              <controlPr defaultSize="0" autoFill="0" autoLine="0" autoPict="0">
                <anchor moveWithCells="1">
                  <from>
                    <xdr:col>1</xdr:col>
                    <xdr:colOff>0</xdr:colOff>
                    <xdr:row>21</xdr:row>
                    <xdr:rowOff>0</xdr:rowOff>
                  </from>
                  <to>
                    <xdr:col>2</xdr:col>
                    <xdr:colOff>419100</xdr:colOff>
                    <xdr:row>22</xdr:row>
                    <xdr:rowOff>19050</xdr:rowOff>
                  </to>
                </anchor>
              </controlPr>
            </control>
          </mc:Choice>
        </mc:AlternateContent>
        <mc:AlternateContent xmlns:mc="http://schemas.openxmlformats.org/markup-compatibility/2006">
          <mc:Choice Requires="x14">
            <control shapeId="31747" r:id="rId5" name="Option Button 3">
              <controlPr defaultSize="0" autoFill="0" autoLine="0" autoPict="0">
                <anchor moveWithCells="1">
                  <from>
                    <xdr:col>0</xdr:col>
                    <xdr:colOff>600075</xdr:colOff>
                    <xdr:row>22</xdr:row>
                    <xdr:rowOff>19050</xdr:rowOff>
                  </from>
                  <to>
                    <xdr:col>2</xdr:col>
                    <xdr:colOff>409575</xdr:colOff>
                    <xdr:row>23</xdr:row>
                    <xdr:rowOff>38100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4:P80"/>
  <sheetViews>
    <sheetView showGridLines="0" showRowColHeaders="0" zoomScaleNormal="100" workbookViewId="0">
      <selection activeCell="I31" sqref="I31"/>
    </sheetView>
  </sheetViews>
  <sheetFormatPr defaultRowHeight="15" x14ac:dyDescent="0.25"/>
  <cols>
    <col min="2" max="2" width="8.42578125" customWidth="1"/>
    <col min="3" max="3" width="5.28515625" customWidth="1"/>
    <col min="4" max="4" width="7.140625" customWidth="1"/>
    <col min="5" max="5" width="13.5703125" customWidth="1"/>
    <col min="6" max="6" width="3.85546875" customWidth="1"/>
    <col min="7" max="7" width="6.140625" customWidth="1"/>
    <col min="8" max="8" width="7.140625" customWidth="1"/>
    <col min="9" max="9" width="13.5703125" customWidth="1"/>
    <col min="10" max="11" width="9.7109375" customWidth="1"/>
    <col min="12" max="12" width="26.28515625" customWidth="1"/>
    <col min="13" max="13" width="16.28515625" customWidth="1"/>
    <col min="14" max="14" width="26.28515625" bestFit="1" customWidth="1"/>
    <col min="15" max="15" width="16.28515625" bestFit="1" customWidth="1"/>
    <col min="16" max="16" width="22.5703125" bestFit="1" customWidth="1"/>
    <col min="17" max="17" width="21.28515625" bestFit="1" customWidth="1"/>
    <col min="18" max="18" width="22.28515625" bestFit="1" customWidth="1"/>
  </cols>
  <sheetData>
    <row r="4" spans="1:11" ht="30" x14ac:dyDescent="0.4">
      <c r="B4" s="2" t="s">
        <v>372</v>
      </c>
    </row>
    <row r="5" spans="1:11" x14ac:dyDescent="0.25">
      <c r="B5" s="279"/>
      <c r="C5" s="281"/>
      <c r="D5" s="281"/>
      <c r="E5" s="281"/>
      <c r="F5" s="281"/>
      <c r="G5" s="281"/>
      <c r="H5" s="281"/>
      <c r="I5" s="281"/>
    </row>
    <row r="6" spans="1:11" ht="23.25" customHeight="1" x14ac:dyDescent="0.25">
      <c r="B6" s="280" t="s">
        <v>265</v>
      </c>
    </row>
    <row r="7" spans="1:11" x14ac:dyDescent="0.25">
      <c r="B7" s="279"/>
    </row>
    <row r="8" spans="1:11" x14ac:dyDescent="0.25">
      <c r="B8" s="280" t="s">
        <v>266</v>
      </c>
    </row>
    <row r="9" spans="1:11" x14ac:dyDescent="0.25">
      <c r="B9" s="279" t="s">
        <v>229</v>
      </c>
    </row>
    <row r="10" spans="1:11" x14ac:dyDescent="0.25">
      <c r="B10" s="283" t="s">
        <v>368</v>
      </c>
    </row>
    <row r="12" spans="1:11" x14ac:dyDescent="0.25">
      <c r="A12" s="279"/>
      <c r="B12" s="331"/>
      <c r="C12" s="692" t="s">
        <v>373</v>
      </c>
      <c r="D12" s="692"/>
      <c r="E12" s="692"/>
      <c r="F12" s="389"/>
      <c r="G12" s="692" t="s">
        <v>374</v>
      </c>
      <c r="H12" s="692"/>
      <c r="I12" s="692"/>
      <c r="J12" s="385"/>
      <c r="K12" s="385"/>
    </row>
    <row r="13" spans="1:11" x14ac:dyDescent="0.25">
      <c r="A13" s="279"/>
      <c r="B13" s="331"/>
      <c r="C13" s="390" t="s">
        <v>375</v>
      </c>
      <c r="D13" s="390" t="s">
        <v>376</v>
      </c>
      <c r="E13" s="390" t="s">
        <v>377</v>
      </c>
      <c r="F13" s="391" t="s">
        <v>378</v>
      </c>
      <c r="G13" s="390" t="s">
        <v>375</v>
      </c>
      <c r="H13" s="390" t="s">
        <v>376</v>
      </c>
      <c r="I13" s="390" t="s">
        <v>377</v>
      </c>
      <c r="J13" s="386"/>
      <c r="K13" s="382"/>
    </row>
    <row r="14" spans="1:11" x14ac:dyDescent="0.25">
      <c r="A14" s="279"/>
      <c r="B14" s="331" t="s">
        <v>74</v>
      </c>
      <c r="C14" s="393">
        <v>3.57</v>
      </c>
      <c r="D14" s="393">
        <v>1.63</v>
      </c>
      <c r="E14" s="392">
        <v>10.41</v>
      </c>
      <c r="F14" s="394"/>
      <c r="G14" s="393">
        <v>78.599999999999994</v>
      </c>
      <c r="H14" s="393">
        <v>73.13</v>
      </c>
      <c r="I14" s="392">
        <v>64.33</v>
      </c>
      <c r="J14" s="386"/>
      <c r="K14" s="382"/>
    </row>
    <row r="15" spans="1:11" x14ac:dyDescent="0.25">
      <c r="A15" s="279"/>
      <c r="B15" s="331" t="s">
        <v>75</v>
      </c>
      <c r="C15" s="393">
        <v>3.57</v>
      </c>
      <c r="D15" s="393">
        <v>1.66</v>
      </c>
      <c r="E15" s="392">
        <v>11.48</v>
      </c>
      <c r="F15" s="394"/>
      <c r="G15" s="393">
        <v>84.44</v>
      </c>
      <c r="H15" s="393">
        <v>81.22</v>
      </c>
      <c r="I15" s="392">
        <v>71.05</v>
      </c>
      <c r="J15" s="386"/>
      <c r="K15" s="382"/>
    </row>
    <row r="16" spans="1:11" x14ac:dyDescent="0.25">
      <c r="A16" s="279"/>
      <c r="B16" s="331" t="s">
        <v>76</v>
      </c>
      <c r="C16" s="393">
        <v>3.54</v>
      </c>
      <c r="D16" s="393">
        <v>1.61</v>
      </c>
      <c r="E16" s="392">
        <v>12.49</v>
      </c>
      <c r="F16" s="394"/>
      <c r="G16" s="393">
        <v>88.86</v>
      </c>
      <c r="H16" s="393">
        <v>86.92</v>
      </c>
      <c r="I16" s="392">
        <v>77.62</v>
      </c>
      <c r="J16" s="386"/>
      <c r="K16" s="382"/>
    </row>
    <row r="17" spans="1:12" x14ac:dyDescent="0.25">
      <c r="A17" s="279"/>
      <c r="B17" s="331" t="s">
        <v>4</v>
      </c>
      <c r="C17" s="393">
        <v>3.5</v>
      </c>
      <c r="D17" s="393">
        <v>1.63</v>
      </c>
      <c r="E17" s="392">
        <v>12.79</v>
      </c>
      <c r="F17" s="394"/>
      <c r="G17" s="393">
        <v>89.41</v>
      </c>
      <c r="H17" s="393">
        <v>87.51</v>
      </c>
      <c r="I17" s="392">
        <v>78.349999999999994</v>
      </c>
      <c r="J17" s="386"/>
      <c r="K17" s="382"/>
    </row>
    <row r="18" spans="1:12" x14ac:dyDescent="0.25">
      <c r="A18" s="279"/>
      <c r="B18" s="331" t="s">
        <v>5</v>
      </c>
      <c r="C18" s="393">
        <v>3.47</v>
      </c>
      <c r="D18" s="393">
        <v>1.66</v>
      </c>
      <c r="E18" s="392">
        <v>13.13</v>
      </c>
      <c r="F18" s="394"/>
      <c r="G18" s="393">
        <v>89.68</v>
      </c>
      <c r="H18" s="393">
        <v>87.88</v>
      </c>
      <c r="I18" s="392">
        <v>78.56</v>
      </c>
      <c r="J18" s="386"/>
      <c r="K18" s="382"/>
    </row>
    <row r="19" spans="1:12" x14ac:dyDescent="0.25">
      <c r="A19" s="279"/>
      <c r="B19" s="331" t="s">
        <v>6</v>
      </c>
      <c r="C19" s="393">
        <v>3.44</v>
      </c>
      <c r="D19" s="393">
        <v>1.68</v>
      </c>
      <c r="E19" s="392">
        <v>13.35</v>
      </c>
      <c r="F19" s="394"/>
      <c r="G19" s="393">
        <v>89.77</v>
      </c>
      <c r="H19" s="393">
        <v>88.12</v>
      </c>
      <c r="I19" s="392">
        <v>78.72</v>
      </c>
      <c r="J19" s="387"/>
      <c r="K19" s="383"/>
    </row>
    <row r="20" spans="1:12" x14ac:dyDescent="0.25">
      <c r="A20" s="279"/>
      <c r="B20" s="331" t="s">
        <v>7</v>
      </c>
      <c r="C20" s="393">
        <v>3.4</v>
      </c>
      <c r="D20" s="393">
        <v>1.71</v>
      </c>
      <c r="E20" s="392">
        <v>13.52</v>
      </c>
      <c r="F20" s="394"/>
      <c r="G20" s="393">
        <v>90.16</v>
      </c>
      <c r="H20" s="393">
        <v>88.57</v>
      </c>
      <c r="I20" s="392">
        <v>79.3</v>
      </c>
      <c r="J20" s="388"/>
      <c r="K20" s="324"/>
      <c r="L20" s="324"/>
    </row>
    <row r="21" spans="1:12" x14ac:dyDescent="0.25">
      <c r="B21" s="324"/>
      <c r="C21" s="324"/>
      <c r="D21" s="324"/>
      <c r="E21" s="324"/>
      <c r="F21" s="324"/>
      <c r="G21" s="324"/>
      <c r="H21" s="324"/>
      <c r="I21" s="324"/>
      <c r="J21" s="324"/>
      <c r="K21" s="324"/>
      <c r="L21" s="324"/>
    </row>
    <row r="22" spans="1:12" x14ac:dyDescent="0.25">
      <c r="B22" s="395" t="s">
        <v>379</v>
      </c>
      <c r="C22" s="324"/>
      <c r="D22" s="324"/>
      <c r="E22" s="324"/>
      <c r="F22" s="324"/>
      <c r="G22" s="324"/>
      <c r="H22" s="324"/>
      <c r="I22" s="324"/>
      <c r="J22" s="324"/>
      <c r="K22" s="324"/>
      <c r="L22" s="324"/>
    </row>
    <row r="23" spans="1:12" x14ac:dyDescent="0.25">
      <c r="B23" s="395"/>
      <c r="C23" s="324"/>
      <c r="D23" s="324"/>
      <c r="E23" s="324"/>
      <c r="F23" s="324"/>
      <c r="G23" s="324"/>
      <c r="H23" s="324"/>
      <c r="I23" s="324"/>
      <c r="J23" s="324"/>
      <c r="K23" s="324"/>
      <c r="L23" s="324"/>
    </row>
    <row r="24" spans="1:12" x14ac:dyDescent="0.25">
      <c r="B24" s="395" t="s">
        <v>380</v>
      </c>
      <c r="C24" s="324"/>
      <c r="D24" s="324"/>
      <c r="E24" s="324"/>
      <c r="F24" s="324"/>
      <c r="G24" s="324"/>
      <c r="H24" s="324"/>
      <c r="I24" s="324"/>
      <c r="J24" s="324"/>
      <c r="K24" s="324"/>
      <c r="L24" s="324"/>
    </row>
    <row r="25" spans="1:12" x14ac:dyDescent="0.25">
      <c r="B25" s="324"/>
      <c r="C25" s="324"/>
      <c r="D25" s="324"/>
      <c r="E25" s="324"/>
      <c r="F25" s="324"/>
      <c r="G25" s="324"/>
      <c r="H25" s="324"/>
      <c r="I25" s="324"/>
      <c r="J25" s="324"/>
      <c r="K25" s="324"/>
      <c r="L25" s="324"/>
    </row>
    <row r="26" spans="1:12" x14ac:dyDescent="0.25">
      <c r="B26" s="324"/>
      <c r="C26" s="324"/>
      <c r="D26" s="324"/>
      <c r="E26" s="324"/>
      <c r="F26" s="324"/>
      <c r="G26" s="324"/>
      <c r="H26" s="324"/>
      <c r="I26" s="324"/>
      <c r="J26" s="324"/>
      <c r="K26" s="324"/>
      <c r="L26" s="324"/>
    </row>
    <row r="27" spans="1:12" x14ac:dyDescent="0.25">
      <c r="B27" s="324"/>
      <c r="C27" s="324"/>
      <c r="D27" s="324"/>
      <c r="E27" s="324"/>
      <c r="F27" s="324"/>
      <c r="G27" s="324"/>
      <c r="H27" s="324"/>
      <c r="I27" s="324"/>
      <c r="J27" s="324"/>
      <c r="K27" s="324"/>
      <c r="L27" s="324"/>
    </row>
    <row r="28" spans="1:12" x14ac:dyDescent="0.25">
      <c r="B28" s="324"/>
      <c r="C28" s="324"/>
      <c r="D28" s="324"/>
      <c r="E28" s="324"/>
      <c r="F28" s="324"/>
      <c r="G28" s="324"/>
      <c r="H28" s="324"/>
      <c r="I28" s="324"/>
      <c r="J28" s="324"/>
      <c r="K28" s="324"/>
      <c r="L28" s="324"/>
    </row>
    <row r="29" spans="1:12" x14ac:dyDescent="0.25">
      <c r="A29" s="231"/>
      <c r="B29" s="377"/>
      <c r="C29" s="377"/>
      <c r="D29" s="377"/>
      <c r="E29" s="377"/>
      <c r="F29" s="377"/>
      <c r="G29" s="377"/>
      <c r="H29" s="377"/>
      <c r="I29" s="377"/>
      <c r="J29" s="377"/>
      <c r="K29" s="377"/>
      <c r="L29" s="377"/>
    </row>
    <row r="30" spans="1:12" x14ac:dyDescent="0.25">
      <c r="A30" s="231"/>
      <c r="B30" s="377"/>
      <c r="C30" s="377"/>
      <c r="D30" s="377"/>
      <c r="E30" s="377"/>
      <c r="F30" s="377"/>
      <c r="G30" s="377"/>
      <c r="H30" s="377"/>
      <c r="I30" s="377"/>
      <c r="J30" s="377"/>
      <c r="K30" s="377"/>
      <c r="L30" s="377"/>
    </row>
    <row r="31" spans="1:12" x14ac:dyDescent="0.25">
      <c r="A31" s="231"/>
      <c r="B31" s="377"/>
      <c r="C31" s="377"/>
      <c r="D31" s="377"/>
      <c r="E31" s="377"/>
      <c r="F31" s="377"/>
      <c r="G31" s="377"/>
      <c r="H31" s="377"/>
      <c r="I31" s="377"/>
      <c r="J31" s="377"/>
      <c r="K31" s="377"/>
      <c r="L31" s="377"/>
    </row>
    <row r="32" spans="1:12" x14ac:dyDescent="0.25">
      <c r="A32" s="231"/>
      <c r="B32" s="377"/>
      <c r="C32" s="377"/>
      <c r="D32" s="377"/>
      <c r="E32" s="377"/>
      <c r="F32" s="377"/>
      <c r="G32" s="377"/>
      <c r="H32" s="377"/>
      <c r="I32" s="377"/>
      <c r="J32" s="377"/>
      <c r="K32" s="377"/>
      <c r="L32" s="377"/>
    </row>
    <row r="33" spans="1:16" x14ac:dyDescent="0.25">
      <c r="A33" s="231"/>
      <c r="B33" s="377"/>
      <c r="C33" s="377"/>
      <c r="D33" s="377"/>
      <c r="E33" s="377"/>
      <c r="F33" s="377"/>
      <c r="G33" s="377"/>
      <c r="H33" s="377"/>
      <c r="I33" s="377"/>
      <c r="J33" s="377"/>
      <c r="K33" s="377"/>
      <c r="L33" s="377"/>
    </row>
    <row r="34" spans="1:16" x14ac:dyDescent="0.25">
      <c r="A34" s="231"/>
      <c r="B34" s="377"/>
      <c r="C34" s="377"/>
      <c r="D34" s="377"/>
      <c r="E34" s="377"/>
      <c r="F34" s="377"/>
      <c r="G34" s="377"/>
      <c r="H34" s="377"/>
      <c r="I34" s="377"/>
      <c r="J34" s="377"/>
      <c r="K34" s="377"/>
      <c r="L34" s="377"/>
    </row>
    <row r="35" spans="1:16" x14ac:dyDescent="0.25">
      <c r="A35" s="231"/>
      <c r="B35" s="377"/>
      <c r="C35" s="377"/>
      <c r="D35" s="377"/>
      <c r="E35" s="377"/>
      <c r="F35" s="377"/>
      <c r="G35" s="377"/>
      <c r="H35" s="377"/>
      <c r="I35" s="377"/>
      <c r="J35" s="377"/>
      <c r="K35" s="377"/>
      <c r="L35" s="377"/>
      <c r="M35" s="8"/>
      <c r="N35" s="8"/>
      <c r="O35" s="8"/>
      <c r="P35" s="8"/>
    </row>
    <row r="36" spans="1:16" x14ac:dyDescent="0.25">
      <c r="A36" s="231"/>
      <c r="B36" s="378"/>
      <c r="C36" s="379"/>
      <c r="D36" s="379"/>
      <c r="E36" s="379"/>
      <c r="F36" s="379"/>
      <c r="G36" s="379"/>
      <c r="H36" s="379"/>
      <c r="I36" s="379"/>
      <c r="J36" s="379"/>
      <c r="K36" s="379"/>
      <c r="L36" s="377"/>
      <c r="M36" s="8"/>
      <c r="N36" s="8"/>
      <c r="O36" s="8"/>
      <c r="P36" s="8"/>
    </row>
    <row r="37" spans="1:16" x14ac:dyDescent="0.25">
      <c r="A37" s="380"/>
      <c r="B37" s="378"/>
      <c r="C37" s="379"/>
      <c r="D37" s="379"/>
      <c r="E37" s="379"/>
      <c r="F37" s="379"/>
      <c r="G37" s="379"/>
      <c r="H37" s="379"/>
      <c r="I37" s="379"/>
      <c r="J37" s="379"/>
      <c r="K37" s="379"/>
      <c r="L37" s="377"/>
      <c r="M37" s="8"/>
      <c r="N37" s="8"/>
      <c r="O37" s="8"/>
      <c r="P37" s="8"/>
    </row>
    <row r="38" spans="1:16" x14ac:dyDescent="0.25">
      <c r="A38" s="380"/>
      <c r="B38" s="378"/>
      <c r="C38" s="379"/>
      <c r="D38" s="379"/>
      <c r="E38" s="379"/>
      <c r="F38" s="379"/>
      <c r="G38" s="379"/>
      <c r="H38" s="379"/>
      <c r="I38" s="379"/>
      <c r="J38" s="379"/>
      <c r="K38" s="379"/>
      <c r="L38" s="377"/>
      <c r="M38" s="8"/>
      <c r="N38" s="8"/>
      <c r="O38" s="8"/>
      <c r="P38" s="8"/>
    </row>
    <row r="39" spans="1:16" x14ac:dyDescent="0.25">
      <c r="A39" s="380"/>
      <c r="B39" s="378"/>
      <c r="C39" s="379"/>
      <c r="D39" s="379"/>
      <c r="E39" s="379"/>
      <c r="F39" s="379"/>
      <c r="G39" s="379"/>
      <c r="H39" s="379"/>
      <c r="I39" s="379"/>
      <c r="J39" s="379"/>
      <c r="K39" s="379"/>
      <c r="L39" s="377"/>
      <c r="M39" s="8"/>
      <c r="N39" s="8"/>
      <c r="O39" s="8"/>
      <c r="P39" s="8"/>
    </row>
    <row r="40" spans="1:16" x14ac:dyDescent="0.25">
      <c r="A40" s="381"/>
      <c r="B40" s="378"/>
      <c r="C40" s="379"/>
      <c r="D40" s="379"/>
      <c r="E40" s="379"/>
      <c r="F40" s="379"/>
      <c r="G40" s="379"/>
      <c r="H40" s="379"/>
      <c r="I40" s="379"/>
      <c r="J40" s="379"/>
      <c r="K40" s="379"/>
      <c r="L40" s="377"/>
      <c r="M40" s="8"/>
      <c r="N40" s="8"/>
      <c r="O40" s="8"/>
      <c r="P40" s="8"/>
    </row>
    <row r="41" spans="1:16" x14ac:dyDescent="0.25">
      <c r="A41" s="381"/>
      <c r="B41" s="323"/>
      <c r="C41" s="323">
        <v>2004</v>
      </c>
      <c r="D41" s="323">
        <v>2005</v>
      </c>
      <c r="E41" s="323">
        <v>2006</v>
      </c>
      <c r="F41" s="323"/>
      <c r="G41" s="323">
        <v>2007</v>
      </c>
      <c r="H41" s="323">
        <v>2008</v>
      </c>
      <c r="I41" s="323">
        <v>2009</v>
      </c>
      <c r="J41" s="323">
        <v>2010</v>
      </c>
      <c r="K41" s="323">
        <v>2011</v>
      </c>
      <c r="L41" s="377"/>
      <c r="M41" s="8"/>
      <c r="N41" s="8"/>
      <c r="O41" s="8"/>
      <c r="P41" s="8"/>
    </row>
    <row r="42" spans="1:16" ht="51.75" x14ac:dyDescent="0.25">
      <c r="A42" s="381"/>
      <c r="B42" s="376" t="s">
        <v>369</v>
      </c>
      <c r="C42" s="319">
        <v>8542</v>
      </c>
      <c r="D42" s="319">
        <v>8451</v>
      </c>
      <c r="E42" s="319">
        <v>8325</v>
      </c>
      <c r="F42" s="319"/>
      <c r="G42" s="319">
        <v>8261</v>
      </c>
      <c r="H42" s="319">
        <v>8230</v>
      </c>
      <c r="I42" s="319">
        <v>8228</v>
      </c>
      <c r="J42" s="375">
        <v>8313</v>
      </c>
      <c r="K42" s="319">
        <v>8317</v>
      </c>
      <c r="L42" s="377"/>
      <c r="M42" s="8"/>
      <c r="N42" s="8"/>
      <c r="O42" s="8"/>
      <c r="P42" s="8"/>
    </row>
    <row r="43" spans="1:16" ht="90" x14ac:dyDescent="0.25">
      <c r="A43" s="381"/>
      <c r="B43" s="376" t="s">
        <v>370</v>
      </c>
      <c r="C43" s="319">
        <v>52.527999999999999</v>
      </c>
      <c r="D43" s="319">
        <v>52.817999999999998</v>
      </c>
      <c r="E43" s="319">
        <v>53.283999999999999</v>
      </c>
      <c r="F43" s="319"/>
      <c r="G43" s="319">
        <v>53.588000000000001</v>
      </c>
      <c r="H43" s="319">
        <v>53.945</v>
      </c>
      <c r="I43" s="319">
        <v>54.609000000000002</v>
      </c>
      <c r="J43" s="375">
        <v>55.02</v>
      </c>
      <c r="K43" s="319">
        <v>55.308</v>
      </c>
      <c r="L43" s="377"/>
      <c r="M43" s="8"/>
      <c r="N43" s="8"/>
      <c r="O43" s="8"/>
      <c r="P43" s="8"/>
    </row>
    <row r="44" spans="1:16" ht="102.75" x14ac:dyDescent="0.25">
      <c r="A44" s="381"/>
      <c r="B44" s="376" t="s">
        <v>371</v>
      </c>
      <c r="C44" s="319">
        <v>6149</v>
      </c>
      <c r="D44" s="319">
        <v>6250</v>
      </c>
      <c r="E44" s="319">
        <v>6400</v>
      </c>
      <c r="F44" s="319"/>
      <c r="G44" s="319">
        <v>6487</v>
      </c>
      <c r="H44" s="319">
        <v>6555</v>
      </c>
      <c r="I44" s="319">
        <v>6637</v>
      </c>
      <c r="J44" s="375">
        <v>6622</v>
      </c>
      <c r="K44" s="319">
        <v>6650</v>
      </c>
      <c r="L44" s="377"/>
    </row>
    <row r="45" spans="1:16" x14ac:dyDescent="0.25">
      <c r="A45" s="381"/>
      <c r="B45" s="377"/>
      <c r="C45" s="377"/>
      <c r="D45" s="377"/>
      <c r="E45" s="377"/>
      <c r="F45" s="377"/>
      <c r="G45" s="377"/>
      <c r="H45" s="377"/>
      <c r="I45" s="377"/>
      <c r="J45" s="377"/>
      <c r="K45" s="377"/>
      <c r="L45" s="377"/>
    </row>
    <row r="46" spans="1:16" x14ac:dyDescent="0.25">
      <c r="A46" s="5"/>
      <c r="B46" s="281"/>
    </row>
    <row r="47" spans="1:16" x14ac:dyDescent="0.25">
      <c r="A47" s="5"/>
      <c r="B47" s="281"/>
    </row>
    <row r="48" spans="1:16" x14ac:dyDescent="0.25">
      <c r="A48" s="5"/>
      <c r="B48" s="281"/>
    </row>
    <row r="49" spans="1:2" ht="23.25" x14ac:dyDescent="0.3">
      <c r="A49" s="235"/>
      <c r="B49" s="281"/>
    </row>
    <row r="50" spans="1:2" ht="23.25" x14ac:dyDescent="0.3">
      <c r="A50" s="235"/>
      <c r="B50" s="281"/>
    </row>
    <row r="51" spans="1:2" ht="23.25" x14ac:dyDescent="0.3">
      <c r="A51" s="235"/>
      <c r="B51" s="281"/>
    </row>
    <row r="52" spans="1:2" ht="23.25" x14ac:dyDescent="0.3">
      <c r="A52" s="235"/>
      <c r="B52" s="281"/>
    </row>
    <row r="53" spans="1:2" ht="23.25" x14ac:dyDescent="0.3">
      <c r="A53" s="235"/>
      <c r="B53" s="281"/>
    </row>
    <row r="54" spans="1:2" ht="23.25" x14ac:dyDescent="0.3">
      <c r="A54" s="235"/>
      <c r="B54" s="281"/>
    </row>
    <row r="55" spans="1:2" ht="23.25" x14ac:dyDescent="0.3">
      <c r="A55" s="235"/>
      <c r="B55" s="281"/>
    </row>
    <row r="56" spans="1:2" ht="23.25" x14ac:dyDescent="0.3">
      <c r="A56" s="235"/>
      <c r="B56" s="281"/>
    </row>
    <row r="57" spans="1:2" ht="23.25" x14ac:dyDescent="0.3">
      <c r="A57" s="235"/>
      <c r="B57" s="281"/>
    </row>
    <row r="58" spans="1:2" ht="23.25" x14ac:dyDescent="0.3">
      <c r="A58" s="235"/>
      <c r="B58" s="281"/>
    </row>
    <row r="59" spans="1:2" ht="23.25" x14ac:dyDescent="0.3">
      <c r="A59" s="235"/>
      <c r="B59" s="281"/>
    </row>
    <row r="60" spans="1:2" ht="23.25" x14ac:dyDescent="0.3">
      <c r="A60" s="235"/>
      <c r="B60" s="281"/>
    </row>
    <row r="61" spans="1:2" ht="23.25" x14ac:dyDescent="0.3">
      <c r="A61" s="235"/>
      <c r="B61" s="281"/>
    </row>
    <row r="62" spans="1:2" ht="23.25" x14ac:dyDescent="0.3">
      <c r="A62" s="235"/>
      <c r="B62" s="281"/>
    </row>
    <row r="63" spans="1:2" ht="23.25" x14ac:dyDescent="0.3">
      <c r="A63" s="235"/>
      <c r="B63" s="281"/>
    </row>
    <row r="64" spans="1:2" ht="23.25" x14ac:dyDescent="0.3">
      <c r="A64" s="235"/>
      <c r="B64" s="281"/>
    </row>
    <row r="65" spans="2:9" x14ac:dyDescent="0.25">
      <c r="B65" s="281"/>
    </row>
    <row r="66" spans="2:9" x14ac:dyDescent="0.25">
      <c r="B66" s="281"/>
    </row>
    <row r="67" spans="2:9" x14ac:dyDescent="0.25">
      <c r="B67" s="281"/>
    </row>
    <row r="68" spans="2:9" x14ac:dyDescent="0.25">
      <c r="B68" s="281"/>
    </row>
    <row r="69" spans="2:9" x14ac:dyDescent="0.25">
      <c r="B69" s="281"/>
    </row>
    <row r="70" spans="2:9" x14ac:dyDescent="0.25">
      <c r="B70" s="281"/>
    </row>
    <row r="71" spans="2:9" x14ac:dyDescent="0.25">
      <c r="B71" s="281"/>
    </row>
    <row r="72" spans="2:9" x14ac:dyDescent="0.25">
      <c r="B72" s="281"/>
    </row>
    <row r="73" spans="2:9" x14ac:dyDescent="0.25">
      <c r="B73" s="281"/>
      <c r="C73" s="281"/>
      <c r="D73" s="281"/>
      <c r="E73" s="281"/>
      <c r="F73" s="281"/>
      <c r="G73" s="281"/>
      <c r="H73" s="281"/>
      <c r="I73" s="281"/>
    </row>
    <row r="74" spans="2:9" x14ac:dyDescent="0.25">
      <c r="B74" s="281"/>
      <c r="C74" s="281"/>
      <c r="D74" s="281"/>
      <c r="E74" s="281"/>
      <c r="F74" s="281"/>
      <c r="G74" s="281"/>
      <c r="H74" s="281"/>
      <c r="I74" s="281"/>
    </row>
    <row r="75" spans="2:9" x14ac:dyDescent="0.25">
      <c r="B75" s="281"/>
      <c r="C75" s="281"/>
      <c r="D75" s="281"/>
      <c r="E75" s="281"/>
      <c r="F75" s="281"/>
      <c r="G75" s="281"/>
      <c r="H75" s="281"/>
      <c r="I75" s="281"/>
    </row>
    <row r="76" spans="2:9" x14ac:dyDescent="0.25">
      <c r="B76" s="281"/>
      <c r="C76" s="281"/>
      <c r="D76" s="281"/>
      <c r="E76" s="281"/>
      <c r="F76" s="281"/>
      <c r="G76" s="281"/>
      <c r="H76" s="281"/>
      <c r="I76" s="281"/>
    </row>
    <row r="77" spans="2:9" x14ac:dyDescent="0.25">
      <c r="B77" s="281"/>
      <c r="C77" s="281"/>
      <c r="D77" s="281"/>
      <c r="E77" s="281"/>
      <c r="F77" s="281"/>
      <c r="G77" s="281"/>
      <c r="H77" s="281"/>
      <c r="I77" s="281"/>
    </row>
    <row r="78" spans="2:9" x14ac:dyDescent="0.25">
      <c r="B78" s="281"/>
      <c r="C78" s="281"/>
      <c r="D78" s="281"/>
      <c r="E78" s="281"/>
      <c r="F78" s="281"/>
      <c r="G78" s="281"/>
      <c r="H78" s="281"/>
      <c r="I78" s="281"/>
    </row>
    <row r="79" spans="2:9" x14ac:dyDescent="0.25">
      <c r="B79" s="281"/>
      <c r="C79" s="281"/>
      <c r="D79" s="281"/>
      <c r="E79" s="281"/>
      <c r="F79" s="281"/>
      <c r="G79" s="281"/>
      <c r="H79" s="281"/>
      <c r="I79" s="281"/>
    </row>
    <row r="80" spans="2:9" ht="23.25" customHeight="1" x14ac:dyDescent="0.25">
      <c r="B80" s="281"/>
      <c r="C80" s="281"/>
      <c r="D80" s="281"/>
      <c r="E80" s="281"/>
      <c r="F80" s="281"/>
      <c r="G80" s="281"/>
      <c r="H80" s="281"/>
      <c r="I80" s="281"/>
    </row>
  </sheetData>
  <mergeCells count="2">
    <mergeCell ref="C12:E12"/>
    <mergeCell ref="G12:I12"/>
  </mergeCells>
  <dataValidations count="1">
    <dataValidation type="list" allowBlank="1" showInputMessage="1" showErrorMessage="1" sqref="B10">
      <formula1>GPview</formula1>
    </dataValidation>
  </dataValidation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C4:M48"/>
  <sheetViews>
    <sheetView topLeftCell="C16" workbookViewId="0">
      <selection activeCell="L41" sqref="L41"/>
    </sheetView>
  </sheetViews>
  <sheetFormatPr defaultRowHeight="15" x14ac:dyDescent="0.25"/>
  <sheetData>
    <row r="4" spans="3:13" ht="22.5" x14ac:dyDescent="0.3">
      <c r="C4" s="226" t="s">
        <v>1</v>
      </c>
      <c r="D4" s="226" t="s">
        <v>286</v>
      </c>
      <c r="E4" s="226" t="s">
        <v>287</v>
      </c>
      <c r="F4" s="226" t="s">
        <v>288</v>
      </c>
      <c r="G4" s="226" t="s">
        <v>289</v>
      </c>
      <c r="H4" s="226" t="s">
        <v>290</v>
      </c>
      <c r="I4" s="226" t="s">
        <v>291</v>
      </c>
      <c r="J4" s="226" t="s">
        <v>292</v>
      </c>
    </row>
    <row r="5" spans="3:13" ht="22.5" x14ac:dyDescent="0.3">
      <c r="C5" s="226" t="s">
        <v>4</v>
      </c>
      <c r="D5" s="249">
        <v>0.92500000000000004</v>
      </c>
      <c r="E5" s="249">
        <v>0.93700000000000006</v>
      </c>
      <c r="F5" s="249">
        <v>0.92900000000000005</v>
      </c>
      <c r="G5" s="107"/>
      <c r="H5" s="107">
        <v>0.91</v>
      </c>
      <c r="I5" s="249">
        <v>0.97</v>
      </c>
      <c r="J5" s="107">
        <v>0.89</v>
      </c>
    </row>
    <row r="6" spans="3:13" ht="22.5" x14ac:dyDescent="0.3">
      <c r="C6" s="226" t="s">
        <v>5</v>
      </c>
      <c r="D6" s="249">
        <v>0.95299999999999996</v>
      </c>
      <c r="E6" s="249">
        <v>0.98599999999999999</v>
      </c>
      <c r="F6" s="249">
        <v>0.96499999999999997</v>
      </c>
      <c r="G6" s="107"/>
      <c r="H6" s="107">
        <v>0.95</v>
      </c>
      <c r="I6" s="249">
        <v>0.94</v>
      </c>
      <c r="J6" s="107">
        <v>0.95</v>
      </c>
    </row>
    <row r="7" spans="3:13" ht="22.5" x14ac:dyDescent="0.3">
      <c r="C7" s="226" t="s">
        <v>6</v>
      </c>
      <c r="D7" s="249">
        <v>0.97</v>
      </c>
      <c r="E7" s="249">
        <v>0.97299999999999998</v>
      </c>
      <c r="F7" s="249">
        <v>0.97099999999999997</v>
      </c>
      <c r="G7" s="107"/>
      <c r="H7" s="107">
        <v>0.97</v>
      </c>
      <c r="I7" s="107">
        <v>0.98</v>
      </c>
      <c r="J7" s="107">
        <v>0.98</v>
      </c>
    </row>
    <row r="8" spans="3:13" ht="22.5" x14ac:dyDescent="0.3">
      <c r="C8" s="226" t="s">
        <v>7</v>
      </c>
      <c r="D8" s="249">
        <v>1</v>
      </c>
      <c r="E8" s="249">
        <v>1</v>
      </c>
      <c r="F8" s="249">
        <v>1</v>
      </c>
      <c r="G8" s="249"/>
      <c r="H8" s="249">
        <v>1</v>
      </c>
      <c r="I8" s="249">
        <v>1</v>
      </c>
      <c r="J8" s="249">
        <v>1</v>
      </c>
    </row>
    <row r="11" spans="3:13" ht="15.75" thickBot="1" x14ac:dyDescent="0.3"/>
    <row r="12" spans="3:13" ht="26.25" thickBot="1" x14ac:dyDescent="0.35">
      <c r="C12" s="226" t="s">
        <v>286</v>
      </c>
      <c r="K12" s="250" t="s">
        <v>293</v>
      </c>
      <c r="L12" s="251" t="s">
        <v>294</v>
      </c>
      <c r="M12" s="251" t="s">
        <v>295</v>
      </c>
    </row>
    <row r="13" spans="3:13" ht="51.75" thickBot="1" x14ac:dyDescent="0.35">
      <c r="C13" s="226" t="s">
        <v>287</v>
      </c>
      <c r="K13" s="252" t="s">
        <v>219</v>
      </c>
      <c r="L13" s="253" t="s">
        <v>296</v>
      </c>
      <c r="M13" s="253" t="s">
        <v>297</v>
      </c>
    </row>
    <row r="14" spans="3:13" ht="51.75" thickBot="1" x14ac:dyDescent="0.35">
      <c r="C14" s="226" t="s">
        <v>288</v>
      </c>
      <c r="K14" s="252" t="s">
        <v>219</v>
      </c>
      <c r="L14" s="253" t="s">
        <v>298</v>
      </c>
      <c r="M14" s="253" t="s">
        <v>299</v>
      </c>
    </row>
    <row r="15" spans="3:13" ht="51.75" thickBot="1" x14ac:dyDescent="0.35">
      <c r="C15" s="226" t="s">
        <v>289</v>
      </c>
      <c r="K15" s="252" t="s">
        <v>220</v>
      </c>
      <c r="L15" s="253" t="s">
        <v>298</v>
      </c>
      <c r="M15" s="253" t="s">
        <v>299</v>
      </c>
    </row>
    <row r="16" spans="3:13" ht="51.75" thickBot="1" x14ac:dyDescent="0.35">
      <c r="C16" s="226" t="s">
        <v>290</v>
      </c>
      <c r="K16" s="252" t="s">
        <v>57</v>
      </c>
      <c r="L16" s="253" t="s">
        <v>298</v>
      </c>
      <c r="M16" s="253" t="s">
        <v>300</v>
      </c>
    </row>
    <row r="17" spans="3:13" ht="140.25" x14ac:dyDescent="0.3">
      <c r="C17" s="226" t="s">
        <v>291</v>
      </c>
      <c r="K17" s="695" t="s">
        <v>47</v>
      </c>
      <c r="L17" s="695" t="s">
        <v>298</v>
      </c>
      <c r="M17" s="254" t="s">
        <v>301</v>
      </c>
    </row>
    <row r="18" spans="3:13" ht="281.25" thickBot="1" x14ac:dyDescent="0.35">
      <c r="C18" s="226" t="s">
        <v>292</v>
      </c>
      <c r="K18" s="696"/>
      <c r="L18" s="696"/>
      <c r="M18" s="253" t="s">
        <v>302</v>
      </c>
    </row>
    <row r="19" spans="3:13" ht="102.75" thickBot="1" x14ac:dyDescent="0.3">
      <c r="K19" s="252" t="s">
        <v>303</v>
      </c>
      <c r="L19" s="253" t="s">
        <v>304</v>
      </c>
      <c r="M19" s="253" t="s">
        <v>305</v>
      </c>
    </row>
    <row r="20" spans="3:13" ht="51.75" thickBot="1" x14ac:dyDescent="0.3">
      <c r="K20" s="252" t="s">
        <v>140</v>
      </c>
      <c r="L20" s="253" t="s">
        <v>306</v>
      </c>
      <c r="M20" s="253" t="s">
        <v>307</v>
      </c>
    </row>
    <row r="21" spans="3:13" ht="39" thickBot="1" x14ac:dyDescent="0.3">
      <c r="K21" s="252" t="s">
        <v>308</v>
      </c>
      <c r="L21" s="253" t="s">
        <v>304</v>
      </c>
      <c r="M21" s="253" t="s">
        <v>309</v>
      </c>
    </row>
    <row r="25" spans="3:13" x14ac:dyDescent="0.25">
      <c r="C25" t="s">
        <v>218</v>
      </c>
      <c r="D25" t="s">
        <v>196</v>
      </c>
      <c r="E25" t="s">
        <v>197</v>
      </c>
      <c r="F25" t="s">
        <v>198</v>
      </c>
      <c r="G25" t="s">
        <v>199</v>
      </c>
      <c r="H25" t="s">
        <v>200</v>
      </c>
      <c r="I25" t="s">
        <v>6</v>
      </c>
      <c r="J25" t="s">
        <v>7</v>
      </c>
    </row>
    <row r="26" spans="3:13" x14ac:dyDescent="0.25">
      <c r="C26" t="s">
        <v>219</v>
      </c>
      <c r="D26">
        <v>31334252.480110005</v>
      </c>
      <c r="E26">
        <v>33926746.314999998</v>
      </c>
      <c r="F26">
        <v>35177509.125</v>
      </c>
      <c r="G26">
        <v>36539983.701629996</v>
      </c>
      <c r="H26">
        <v>39213453.649081036</v>
      </c>
      <c r="I26">
        <v>42145100.102129996</v>
      </c>
      <c r="J26">
        <v>43513839</v>
      </c>
    </row>
    <row r="27" spans="3:13" x14ac:dyDescent="0.25">
      <c r="C27" t="s">
        <v>220</v>
      </c>
      <c r="D27">
        <v>1557282.4487299998</v>
      </c>
      <c r="E27">
        <v>1459935.5</v>
      </c>
      <c r="F27">
        <v>1185244</v>
      </c>
      <c r="G27">
        <v>1354520.29837</v>
      </c>
      <c r="H27">
        <v>1895451.8837600001</v>
      </c>
      <c r="I27">
        <v>2195295.3909299998</v>
      </c>
      <c r="J27">
        <v>2127889</v>
      </c>
    </row>
    <row r="28" spans="3:13" x14ac:dyDescent="0.25">
      <c r="C28" t="s">
        <v>310</v>
      </c>
      <c r="D28">
        <v>11981995</v>
      </c>
      <c r="E28">
        <v>14214691</v>
      </c>
      <c r="F28">
        <v>15833718</v>
      </c>
      <c r="G28">
        <v>18565596</v>
      </c>
      <c r="H28">
        <v>20184852</v>
      </c>
      <c r="I28">
        <v>22017445</v>
      </c>
      <c r="J28">
        <v>23931309</v>
      </c>
    </row>
    <row r="29" spans="3:13" x14ac:dyDescent="0.25">
      <c r="C29" t="s">
        <v>311</v>
      </c>
      <c r="D29">
        <v>8757990</v>
      </c>
      <c r="E29">
        <v>10271344</v>
      </c>
      <c r="F29">
        <v>11378727</v>
      </c>
      <c r="G29">
        <v>13036200</v>
      </c>
      <c r="H29">
        <v>13991803</v>
      </c>
      <c r="I29">
        <v>14911074</v>
      </c>
      <c r="J29">
        <v>16077609</v>
      </c>
    </row>
    <row r="30" spans="3:13" x14ac:dyDescent="0.25">
      <c r="C30" t="s">
        <v>47</v>
      </c>
      <c r="D30">
        <v>5115514.2809764491</v>
      </c>
      <c r="E30">
        <v>5839664.3710000003</v>
      </c>
      <c r="F30">
        <v>6568362.6799999997</v>
      </c>
      <c r="G30">
        <v>7784592.0729</v>
      </c>
      <c r="H30">
        <v>7426030.9178999998</v>
      </c>
      <c r="I30">
        <v>7635390.1285600001</v>
      </c>
      <c r="J30">
        <v>8025361</v>
      </c>
    </row>
    <row r="31" spans="3:13" x14ac:dyDescent="0.25">
      <c r="C31" t="s">
        <v>312</v>
      </c>
      <c r="D31">
        <v>8094174.9440000001</v>
      </c>
      <c r="E31">
        <v>8013483.2259999998</v>
      </c>
      <c r="F31">
        <v>8250323.8930000002</v>
      </c>
      <c r="G31">
        <v>8303500.9179999996</v>
      </c>
      <c r="H31">
        <v>8376264.432</v>
      </c>
      <c r="I31">
        <v>8621421.1300000008</v>
      </c>
      <c r="J31">
        <v>8880735.3440000005</v>
      </c>
    </row>
    <row r="32" spans="3:13" x14ac:dyDescent="0.25">
      <c r="C32" t="s">
        <v>222</v>
      </c>
      <c r="D32">
        <v>9569836</v>
      </c>
      <c r="E32">
        <v>11162141</v>
      </c>
      <c r="F32">
        <v>11209422</v>
      </c>
      <c r="G32">
        <v>11697639</v>
      </c>
      <c r="H32">
        <v>12074672</v>
      </c>
      <c r="I32">
        <v>12683418</v>
      </c>
      <c r="J32">
        <v>12962081</v>
      </c>
    </row>
    <row r="33" spans="3:10" x14ac:dyDescent="0.25">
      <c r="C33" t="s">
        <v>223</v>
      </c>
      <c r="D33">
        <v>278000</v>
      </c>
      <c r="E33">
        <v>262000</v>
      </c>
      <c r="F33">
        <v>229000</v>
      </c>
      <c r="G33">
        <v>226000</v>
      </c>
      <c r="H33">
        <v>242958</v>
      </c>
      <c r="I33">
        <v>241608</v>
      </c>
      <c r="J33">
        <v>212245</v>
      </c>
    </row>
    <row r="34" spans="3:10" x14ac:dyDescent="0.25">
      <c r="C34" t="s">
        <v>313</v>
      </c>
      <c r="D34">
        <v>67931055.153816462</v>
      </c>
      <c r="E34">
        <v>74878661.412</v>
      </c>
      <c r="F34">
        <v>78453579.697999999</v>
      </c>
      <c r="G34">
        <v>84471831.990899995</v>
      </c>
      <c r="H34">
        <v>89413682.882741034</v>
      </c>
      <c r="I34">
        <v>95539677.751619995</v>
      </c>
      <c r="J34">
        <v>99653459.343999997</v>
      </c>
    </row>
    <row r="35" spans="3:10" x14ac:dyDescent="0.25">
      <c r="C35" t="s">
        <v>314</v>
      </c>
      <c r="D35">
        <v>64707050.153816454</v>
      </c>
      <c r="E35">
        <v>70935314.412</v>
      </c>
      <c r="F35">
        <v>73998588.697999999</v>
      </c>
      <c r="G35">
        <v>78942435.990899995</v>
      </c>
      <c r="H35">
        <v>83220633.882741034</v>
      </c>
      <c r="I35">
        <v>88433306.751619995</v>
      </c>
      <c r="J35">
        <v>91799759.343999997</v>
      </c>
    </row>
    <row r="38" spans="3:10" x14ac:dyDescent="0.25">
      <c r="C38" t="s">
        <v>225</v>
      </c>
    </row>
    <row r="39" spans="3:10" x14ac:dyDescent="0.25">
      <c r="C39" t="s">
        <v>219</v>
      </c>
      <c r="D39">
        <v>38212088</v>
      </c>
      <c r="E39">
        <v>39516362</v>
      </c>
      <c r="F39">
        <v>39359457</v>
      </c>
      <c r="G39">
        <v>39525586</v>
      </c>
      <c r="H39">
        <v>41200614</v>
      </c>
      <c r="I39">
        <v>43406879</v>
      </c>
      <c r="J39">
        <v>43513839</v>
      </c>
    </row>
    <row r="40" spans="3:10" x14ac:dyDescent="0.25">
      <c r="C40" t="s">
        <v>220</v>
      </c>
      <c r="D40">
        <v>1669078</v>
      </c>
      <c r="E40">
        <v>1440740</v>
      </c>
      <c r="F40">
        <v>1089513</v>
      </c>
      <c r="G40">
        <v>1305572</v>
      </c>
      <c r="H40">
        <v>1988902</v>
      </c>
      <c r="I40">
        <v>2373791</v>
      </c>
      <c r="J40">
        <v>2127889</v>
      </c>
    </row>
    <row r="41" spans="3:10" x14ac:dyDescent="0.25">
      <c r="C41" t="s">
        <v>315</v>
      </c>
      <c r="D41">
        <v>12585219</v>
      </c>
      <c r="E41">
        <v>15063465</v>
      </c>
      <c r="F41">
        <v>16481702</v>
      </c>
      <c r="G41">
        <v>19256774</v>
      </c>
      <c r="H41">
        <v>20421390</v>
      </c>
      <c r="I41">
        <v>22731361</v>
      </c>
      <c r="J41">
        <v>23931309</v>
      </c>
    </row>
    <row r="42" spans="3:10" x14ac:dyDescent="0.25">
      <c r="C42" t="s">
        <v>316</v>
      </c>
      <c r="D42">
        <v>8908327</v>
      </c>
      <c r="E42">
        <v>10650038</v>
      </c>
      <c r="F42">
        <v>11640863</v>
      </c>
      <c r="G42">
        <v>13367264.856002657</v>
      </c>
      <c r="H42">
        <v>14140508.469508</v>
      </c>
      <c r="I42">
        <v>15427876.675999999</v>
      </c>
      <c r="J42">
        <v>16077604</v>
      </c>
    </row>
    <row r="43" spans="3:10" x14ac:dyDescent="0.25">
      <c r="C43" t="s">
        <v>47</v>
      </c>
      <c r="D43">
        <v>3308036</v>
      </c>
      <c r="E43">
        <v>3578676</v>
      </c>
      <c r="F43">
        <v>4190683</v>
      </c>
      <c r="G43">
        <v>4292293</v>
      </c>
      <c r="H43">
        <v>3994568</v>
      </c>
      <c r="I43">
        <v>3958031</v>
      </c>
      <c r="J43">
        <v>3893374</v>
      </c>
    </row>
    <row r="44" spans="3:10" x14ac:dyDescent="0.25">
      <c r="C44" t="s">
        <v>140</v>
      </c>
      <c r="D44">
        <v>5931102.0326811802</v>
      </c>
      <c r="E44">
        <v>6514497.3790748697</v>
      </c>
      <c r="F44">
        <v>6944132.5587071804</v>
      </c>
      <c r="G44">
        <v>7454440.1813448202</v>
      </c>
      <c r="H44">
        <v>7927564.2930153301</v>
      </c>
      <c r="I44">
        <v>8477306.9124877099</v>
      </c>
      <c r="J44">
        <v>8880735.3440000005</v>
      </c>
    </row>
    <row r="45" spans="3:10" x14ac:dyDescent="0.25">
      <c r="C45" t="s">
        <v>222</v>
      </c>
      <c r="D45">
        <v>11660794</v>
      </c>
      <c r="E45">
        <v>12994731</v>
      </c>
      <c r="F45">
        <v>12536001</v>
      </c>
      <c r="G45">
        <v>12642512</v>
      </c>
      <c r="H45">
        <v>12663273</v>
      </c>
      <c r="I45">
        <v>13075835</v>
      </c>
      <c r="J45">
        <v>12962081</v>
      </c>
    </row>
    <row r="46" spans="3:10" x14ac:dyDescent="0.25">
      <c r="C46" t="s">
        <v>223</v>
      </c>
      <c r="D46">
        <v>331183</v>
      </c>
      <c r="E46">
        <v>300986</v>
      </c>
      <c r="F46">
        <v>253689</v>
      </c>
      <c r="G46">
        <v>243310</v>
      </c>
      <c r="H46">
        <v>251748</v>
      </c>
      <c r="I46">
        <v>248856</v>
      </c>
      <c r="J46">
        <v>212245</v>
      </c>
    </row>
    <row r="47" spans="3:10" x14ac:dyDescent="0.25">
      <c r="C47" t="s">
        <v>313</v>
      </c>
      <c r="D47">
        <v>73697500.032681182</v>
      </c>
      <c r="E47">
        <v>78105717.379074872</v>
      </c>
      <c r="F47">
        <v>81361204.558707178</v>
      </c>
      <c r="G47">
        <v>84624355.181344822</v>
      </c>
      <c r="H47">
        <v>88418860.293015331</v>
      </c>
      <c r="I47">
        <v>93862389.912487715</v>
      </c>
      <c r="J47">
        <v>95671837.343999997</v>
      </c>
    </row>
    <row r="48" spans="3:10" x14ac:dyDescent="0.25">
      <c r="C48" t="s">
        <v>317</v>
      </c>
      <c r="D48">
        <v>70020608.032681182</v>
      </c>
      <c r="E48">
        <v>73692290.379074872</v>
      </c>
      <c r="F48">
        <v>76520365.558707178</v>
      </c>
      <c r="G48">
        <v>78734846.037347481</v>
      </c>
      <c r="H48">
        <v>82137978.762523323</v>
      </c>
      <c r="I48">
        <v>86558905.588487715</v>
      </c>
      <c r="J48">
        <v>87818132.343999997</v>
      </c>
    </row>
  </sheetData>
  <customSheetViews>
    <customSheetView guid="{9EA95E61-FCA5-4867-AEB4-B8C24058ACDD}" state="hidden" topLeftCell="C16">
      <selection activeCell="L41" sqref="L41"/>
      <pageMargins left="0.7" right="0.7" top="0.75" bottom="0.75" header="0.3" footer="0.3"/>
    </customSheetView>
  </customSheetViews>
  <mergeCells count="2">
    <mergeCell ref="K17:K18"/>
    <mergeCell ref="L17:L18"/>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
  <sheetViews>
    <sheetView workbookViewId="0"/>
  </sheetViews>
  <sheetFormatPr defaultRowHeight="15" x14ac:dyDescent="0.25"/>
  <sheetData/>
  <customSheetViews>
    <customSheetView guid="{9EA95E61-FCA5-4867-AEB4-B8C24058ACDD}" state="hidden">
      <pageMargins left="0.7" right="0.7" top="0.75" bottom="0.75" header="0.3" footer="0.3"/>
    </customSheetView>
  </customSheetView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4:W94"/>
  <sheetViews>
    <sheetView showGridLines="0" showRowColHeaders="0" zoomScale="60" zoomScaleNormal="60" workbookViewId="0">
      <selection activeCell="E15" sqref="E15"/>
    </sheetView>
  </sheetViews>
  <sheetFormatPr defaultRowHeight="15" x14ac:dyDescent="0.25"/>
  <cols>
    <col min="4" max="4" width="18.42578125" customWidth="1"/>
    <col min="5" max="5" width="20.140625" customWidth="1"/>
    <col min="6" max="9" width="25.42578125" customWidth="1"/>
    <col min="10" max="10" width="43.42578125" customWidth="1"/>
    <col min="11" max="11" width="39.42578125" customWidth="1"/>
    <col min="12" max="12" width="28.28515625" customWidth="1"/>
    <col min="13" max="13" width="32.7109375" customWidth="1"/>
    <col min="14" max="14" width="16.28515625" customWidth="1"/>
    <col min="15" max="15" width="26.28515625" bestFit="1" customWidth="1"/>
    <col min="16" max="16" width="16.28515625" bestFit="1" customWidth="1"/>
    <col min="17" max="17" width="22.5703125" bestFit="1" customWidth="1"/>
    <col min="18" max="18" width="21.28515625" bestFit="1" customWidth="1"/>
    <col min="19" max="19" width="22.28515625" bestFit="1" customWidth="1"/>
  </cols>
  <sheetData>
    <row r="4" spans="2:23" ht="59.25" x14ac:dyDescent="0.75">
      <c r="D4" s="4" t="s">
        <v>254</v>
      </c>
    </row>
    <row r="5" spans="2:23" ht="59.25" x14ac:dyDescent="0.75">
      <c r="D5" s="4"/>
    </row>
    <row r="6" spans="2:23" ht="23.25" customHeight="1" x14ac:dyDescent="0.3">
      <c r="D6" s="12" t="s">
        <v>253</v>
      </c>
    </row>
    <row r="7" spans="2:23" ht="22.5" x14ac:dyDescent="0.3">
      <c r="D7" s="11"/>
      <c r="E7" s="11"/>
    </row>
    <row r="8" spans="2:23" ht="23.25" customHeight="1" x14ac:dyDescent="0.3">
      <c r="B8" s="8"/>
      <c r="D8" s="12" t="s">
        <v>252</v>
      </c>
      <c r="E8" s="11"/>
      <c r="T8" s="8"/>
      <c r="U8" s="8"/>
      <c r="V8" s="8"/>
      <c r="W8" s="8"/>
    </row>
    <row r="9" spans="2:23" ht="22.5" x14ac:dyDescent="0.3">
      <c r="B9" s="8"/>
      <c r="D9" s="11" t="s">
        <v>251</v>
      </c>
      <c r="E9" s="11"/>
      <c r="T9" s="8"/>
      <c r="U9" s="8"/>
      <c r="V9" s="8"/>
      <c r="W9" s="8"/>
    </row>
    <row r="10" spans="2:23" ht="22.5" x14ac:dyDescent="0.3">
      <c r="B10" s="8"/>
      <c r="D10" s="226" t="s">
        <v>155</v>
      </c>
      <c r="E10" s="226"/>
      <c r="T10" s="8"/>
      <c r="U10" s="8"/>
      <c r="V10" s="8"/>
      <c r="W10" s="8"/>
    </row>
    <row r="11" spans="2:23" ht="22.5" x14ac:dyDescent="0.3">
      <c r="B11" s="8"/>
      <c r="D11" s="68"/>
      <c r="E11" s="68"/>
      <c r="F11" s="5"/>
      <c r="G11" s="5"/>
      <c r="H11" s="5"/>
      <c r="I11" s="5"/>
      <c r="T11" s="8"/>
      <c r="U11" s="8"/>
      <c r="V11" s="8"/>
      <c r="W11" s="8"/>
    </row>
    <row r="12" spans="2:23" x14ac:dyDescent="0.25">
      <c r="B12" s="8"/>
      <c r="D12" s="5"/>
      <c r="E12" s="5"/>
      <c r="F12" s="5"/>
      <c r="G12" s="5"/>
      <c r="H12" s="5"/>
      <c r="I12" s="5"/>
      <c r="T12" s="8"/>
      <c r="U12" s="8"/>
      <c r="V12" s="8"/>
      <c r="W12" s="8"/>
    </row>
    <row r="13" spans="2:23" ht="15.75" customHeight="1" x14ac:dyDescent="0.25">
      <c r="B13" s="8"/>
      <c r="D13" s="229" t="s">
        <v>255</v>
      </c>
      <c r="E13" s="229"/>
      <c r="F13" s="229"/>
      <c r="G13" s="229"/>
      <c r="H13" s="229"/>
      <c r="I13" s="229"/>
      <c r="T13" s="8"/>
      <c r="U13" s="8"/>
      <c r="V13" s="8"/>
      <c r="W13" s="8"/>
    </row>
    <row r="14" spans="2:23" ht="22.5" x14ac:dyDescent="0.3">
      <c r="B14" s="8"/>
      <c r="D14" s="228" t="s">
        <v>1</v>
      </c>
      <c r="E14" s="230" t="s">
        <v>143</v>
      </c>
      <c r="F14" s="230" t="s">
        <v>92</v>
      </c>
      <c r="G14" s="230" t="s">
        <v>144</v>
      </c>
      <c r="H14" s="230" t="s">
        <v>145</v>
      </c>
      <c r="I14" s="230" t="s">
        <v>146</v>
      </c>
      <c r="T14" s="8"/>
      <c r="U14" s="8"/>
      <c r="V14" s="8"/>
      <c r="W14" s="8"/>
    </row>
    <row r="15" spans="2:23" ht="22.5" x14ac:dyDescent="0.3">
      <c r="B15" s="8"/>
      <c r="D15" s="228" t="s">
        <v>4</v>
      </c>
      <c r="E15" s="230">
        <v>546407985</v>
      </c>
      <c r="F15" s="230">
        <v>24141900962</v>
      </c>
      <c r="G15" s="230"/>
      <c r="H15" s="230"/>
      <c r="I15" s="230"/>
      <c r="T15" s="8"/>
      <c r="U15" s="8"/>
      <c r="V15" s="8"/>
      <c r="W15" s="8"/>
    </row>
    <row r="16" spans="2:23" ht="22.5" x14ac:dyDescent="0.3">
      <c r="B16" s="8"/>
      <c r="D16" s="228" t="s">
        <v>5</v>
      </c>
      <c r="E16" s="230">
        <v>587473623</v>
      </c>
      <c r="F16" s="230">
        <v>26995447013.5</v>
      </c>
      <c r="G16" s="230">
        <v>26193448254.5</v>
      </c>
      <c r="H16" s="230">
        <v>25135524672</v>
      </c>
      <c r="I16" s="230">
        <v>24135973124</v>
      </c>
      <c r="T16" s="8"/>
      <c r="U16" s="8"/>
      <c r="V16" s="8"/>
      <c r="W16" s="8"/>
    </row>
    <row r="17" spans="1:23" ht="22.5" x14ac:dyDescent="0.3">
      <c r="B17" s="8"/>
      <c r="D17" s="228" t="s">
        <v>6</v>
      </c>
      <c r="E17" s="230">
        <v>606738376</v>
      </c>
      <c r="F17" s="230">
        <v>28902737855</v>
      </c>
      <c r="G17" s="230">
        <v>28210361133</v>
      </c>
      <c r="H17" s="230">
        <v>28225576497.5</v>
      </c>
      <c r="I17" s="230">
        <v>27002021701.5</v>
      </c>
      <c r="T17" s="8"/>
      <c r="U17" s="8"/>
      <c r="V17" s="8"/>
      <c r="W17" s="8"/>
    </row>
    <row r="18" spans="1:23" x14ac:dyDescent="0.25">
      <c r="B18" s="8"/>
      <c r="D18" t="s">
        <v>7</v>
      </c>
      <c r="E18">
        <v>625076448</v>
      </c>
      <c r="F18">
        <v>30243952851.900002</v>
      </c>
      <c r="G18">
        <v>30233131555.900002</v>
      </c>
      <c r="H18">
        <v>29316418821</v>
      </c>
      <c r="I18">
        <v>28930379660</v>
      </c>
      <c r="T18" s="8"/>
      <c r="U18" s="8"/>
      <c r="V18" s="8"/>
      <c r="W18" s="8"/>
    </row>
    <row r="19" spans="1:23" x14ac:dyDescent="0.25">
      <c r="B19" s="8"/>
      <c r="T19" s="8"/>
      <c r="U19" s="8"/>
      <c r="V19" s="8"/>
      <c r="W19" s="8"/>
    </row>
    <row r="20" spans="1:23" x14ac:dyDescent="0.25">
      <c r="B20" s="8"/>
      <c r="T20" s="8"/>
      <c r="U20" s="8"/>
      <c r="V20" s="8"/>
      <c r="W20" s="8"/>
    </row>
    <row r="21" spans="1:23" ht="15.75" customHeight="1" x14ac:dyDescent="0.25">
      <c r="B21" s="8"/>
      <c r="D21" t="s">
        <v>256</v>
      </c>
      <c r="T21" s="8"/>
      <c r="U21" s="8"/>
      <c r="V21" s="8"/>
      <c r="W21" s="8"/>
    </row>
    <row r="22" spans="1:23" x14ac:dyDescent="0.25">
      <c r="B22" s="8"/>
      <c r="D22" t="s">
        <v>1</v>
      </c>
      <c r="E22" t="s">
        <v>143</v>
      </c>
      <c r="F22" t="s">
        <v>92</v>
      </c>
      <c r="G22" t="s">
        <v>257</v>
      </c>
      <c r="H22" t="s">
        <v>145</v>
      </c>
      <c r="I22" t="s">
        <v>146</v>
      </c>
      <c r="T22" s="8"/>
      <c r="U22" s="8"/>
      <c r="V22" s="8"/>
      <c r="W22" s="8"/>
    </row>
    <row r="23" spans="1:23" ht="23.25" customHeight="1" x14ac:dyDescent="0.25">
      <c r="B23" s="8"/>
      <c r="D23" t="s">
        <v>4</v>
      </c>
      <c r="E23">
        <v>546407985</v>
      </c>
      <c r="F23">
        <v>24141900962</v>
      </c>
      <c r="T23" s="8"/>
      <c r="U23" s="8"/>
      <c r="V23" s="8"/>
      <c r="W23" s="8"/>
    </row>
    <row r="24" spans="1:23" x14ac:dyDescent="0.25">
      <c r="B24" s="8"/>
      <c r="D24" t="s">
        <v>5</v>
      </c>
      <c r="E24">
        <v>587473623</v>
      </c>
      <c r="F24">
        <v>26995447013.5</v>
      </c>
      <c r="G24">
        <v>26196351402.5</v>
      </c>
      <c r="H24">
        <v>25135524672</v>
      </c>
      <c r="I24">
        <v>24135973124</v>
      </c>
      <c r="T24" s="8"/>
      <c r="U24" s="8"/>
      <c r="V24" s="8"/>
      <c r="W24" s="8"/>
    </row>
    <row r="25" spans="1:23" x14ac:dyDescent="0.25">
      <c r="B25" s="8"/>
      <c r="D25" t="s">
        <v>6</v>
      </c>
      <c r="E25">
        <v>606738376</v>
      </c>
      <c r="F25">
        <v>28902737855</v>
      </c>
      <c r="G25">
        <v>28208823096</v>
      </c>
      <c r="H25">
        <v>28225576497.5</v>
      </c>
      <c r="I25">
        <v>27002021701.5</v>
      </c>
      <c r="T25" s="8"/>
      <c r="U25" s="8"/>
      <c r="V25" s="8"/>
      <c r="W25" s="8"/>
    </row>
    <row r="26" spans="1:23" x14ac:dyDescent="0.25">
      <c r="A26" s="5"/>
      <c r="B26" s="52"/>
      <c r="C26" s="6"/>
      <c r="D26" t="s">
        <v>7</v>
      </c>
      <c r="E26">
        <v>625076448</v>
      </c>
      <c r="F26">
        <v>30243952851.900002</v>
      </c>
      <c r="G26">
        <v>30231499469.900002</v>
      </c>
      <c r="H26">
        <v>29316418821</v>
      </c>
      <c r="I26">
        <v>28930379660</v>
      </c>
      <c r="T26" s="8"/>
      <c r="U26" s="8"/>
      <c r="V26" s="8"/>
      <c r="W26" s="8"/>
    </row>
    <row r="27" spans="1:23" x14ac:dyDescent="0.25">
      <c r="A27" s="5"/>
      <c r="B27" s="52"/>
      <c r="C27" s="5"/>
      <c r="T27" s="8"/>
      <c r="U27" s="8"/>
      <c r="V27" s="8"/>
      <c r="W27" s="8"/>
    </row>
    <row r="28" spans="1:23" x14ac:dyDescent="0.25">
      <c r="B28" s="8"/>
      <c r="C28" s="5"/>
      <c r="T28" s="8"/>
      <c r="U28" s="8"/>
      <c r="V28" s="8"/>
      <c r="W28" s="8"/>
    </row>
    <row r="29" spans="1:23" x14ac:dyDescent="0.25">
      <c r="C29" s="5"/>
    </row>
    <row r="30" spans="1:23" ht="23.25" customHeight="1" x14ac:dyDescent="0.25">
      <c r="C30" s="5"/>
    </row>
    <row r="31" spans="1:23" x14ac:dyDescent="0.25">
      <c r="C31" s="5"/>
    </row>
    <row r="32" spans="1:23" x14ac:dyDescent="0.25">
      <c r="C32" s="5"/>
    </row>
    <row r="33" spans="1:3" x14ac:dyDescent="0.25">
      <c r="C33" s="5"/>
    </row>
    <row r="34" spans="1:3" x14ac:dyDescent="0.25">
      <c r="A34" s="5"/>
      <c r="B34" s="5"/>
      <c r="C34" s="5"/>
    </row>
    <row r="35" spans="1:3" x14ac:dyDescent="0.25">
      <c r="C35" s="5"/>
    </row>
    <row r="36" spans="1:3" x14ac:dyDescent="0.25">
      <c r="C36" s="5"/>
    </row>
    <row r="37" spans="1:3" ht="23.25" customHeight="1" x14ac:dyDescent="0.25"/>
    <row r="44" spans="1:3" ht="23.25" customHeight="1" x14ac:dyDescent="0.25"/>
    <row r="58" ht="23.25" customHeight="1" x14ac:dyDescent="0.25"/>
    <row r="65" ht="23.25" customHeight="1" x14ac:dyDescent="0.25"/>
    <row r="72" ht="23.25" customHeight="1" x14ac:dyDescent="0.25"/>
    <row r="79" ht="23.25" customHeight="1" x14ac:dyDescent="0.25"/>
    <row r="86" ht="23.25" customHeight="1" x14ac:dyDescent="0.25"/>
    <row r="94" ht="23.25" customHeight="1" x14ac:dyDescent="0.25"/>
  </sheetData>
  <dataConsolidate/>
  <customSheetViews>
    <customSheetView guid="{9EA95E61-FCA5-4867-AEB4-B8C24058ACDD}" scale="60" showGridLines="0" showRowCol="0" state="hidden">
      <selection activeCell="E15" sqref="E15"/>
      <pageMargins left="0.7" right="0.7" top="0.75" bottom="0.75" header="0.3" footer="0.3"/>
      <pageSetup paperSize="9" orientation="portrait" r:id="rId1"/>
    </customSheetView>
  </customSheetViews>
  <dataValidations count="1">
    <dataValidation type="list" allowBlank="1" showInputMessage="1" showErrorMessage="1" sqref="D10">
      <formula1>Reference_costs</formula1>
    </dataValidation>
  </dataValidations>
  <pageMargins left="0.7" right="0.7" top="0.75" bottom="0.75" header="0.3" footer="0.3"/>
  <pageSetup paperSize="9" orientation="portrait" r:id="rId2"/>
  <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dimension ref="A4:Z94"/>
  <sheetViews>
    <sheetView showGridLines="0" showRowColHeaders="0" topLeftCell="E10" zoomScale="55" zoomScaleNormal="55" workbookViewId="0">
      <selection activeCell="L54" sqref="L54"/>
    </sheetView>
  </sheetViews>
  <sheetFormatPr defaultRowHeight="15" x14ac:dyDescent="0.25"/>
  <cols>
    <col min="4" max="4" width="78.140625" customWidth="1"/>
    <col min="5" max="6" width="26.140625" customWidth="1"/>
    <col min="7" max="9" width="23.28515625" customWidth="1"/>
    <col min="10" max="11" width="20.42578125" customWidth="1"/>
    <col min="12" max="12" width="32.5703125" customWidth="1"/>
    <col min="13" max="13" width="35.42578125" customWidth="1"/>
    <col min="14" max="14" width="39.42578125" customWidth="1"/>
    <col min="15" max="15" width="28.28515625" customWidth="1"/>
    <col min="16" max="16" width="32.7109375" customWidth="1"/>
    <col min="17" max="17" width="16.28515625" customWidth="1"/>
    <col min="18" max="18" width="26.28515625" bestFit="1" customWidth="1"/>
    <col min="19" max="19" width="16.28515625" bestFit="1" customWidth="1"/>
    <col min="20" max="20" width="22.5703125" bestFit="1" customWidth="1"/>
    <col min="21" max="21" width="21.28515625" bestFit="1" customWidth="1"/>
    <col min="22" max="22" width="22.28515625" bestFit="1" customWidth="1"/>
  </cols>
  <sheetData>
    <row r="4" spans="2:26" ht="59.25" x14ac:dyDescent="0.75">
      <c r="D4" s="4" t="s">
        <v>159</v>
      </c>
    </row>
    <row r="5" spans="2:26" ht="59.25" x14ac:dyDescent="0.75">
      <c r="D5" s="4"/>
    </row>
    <row r="6" spans="2:26" ht="23.25" customHeight="1" x14ac:dyDescent="0.25"/>
    <row r="7" spans="2:26" ht="22.5" x14ac:dyDescent="0.3">
      <c r="D7" s="68"/>
      <c r="E7" s="68"/>
      <c r="F7" s="68"/>
      <c r="G7" s="117"/>
      <c r="H7" s="117" t="s">
        <v>160</v>
      </c>
      <c r="I7" s="117"/>
      <c r="J7" s="117"/>
      <c r="K7" s="117"/>
      <c r="L7" s="117"/>
      <c r="M7" s="117"/>
    </row>
    <row r="8" spans="2:26" ht="22.5" x14ac:dyDescent="0.3">
      <c r="B8" s="8"/>
      <c r="D8" s="68"/>
      <c r="E8" s="68"/>
      <c r="F8" s="68"/>
      <c r="G8" s="117"/>
      <c r="H8" s="117" t="s">
        <v>160</v>
      </c>
      <c r="I8" s="117"/>
      <c r="J8" s="117"/>
      <c r="K8" s="117"/>
      <c r="L8" s="117"/>
      <c r="M8" s="117"/>
      <c r="W8" s="8"/>
      <c r="X8" s="8"/>
      <c r="Y8" s="8"/>
      <c r="Z8" s="8"/>
    </row>
    <row r="9" spans="2:26" ht="23.25" thickBot="1" x14ac:dyDescent="0.35">
      <c r="B9" s="8"/>
      <c r="D9" s="121"/>
      <c r="E9" s="68"/>
      <c r="F9" s="68"/>
      <c r="G9" s="117"/>
      <c r="H9" s="117" t="s">
        <v>161</v>
      </c>
      <c r="I9" s="117"/>
      <c r="J9" s="117"/>
      <c r="K9" s="117"/>
      <c r="L9" s="118"/>
      <c r="M9" s="117"/>
      <c r="W9" s="8"/>
      <c r="X9" s="8"/>
      <c r="Y9" s="8"/>
      <c r="Z9" s="8"/>
    </row>
    <row r="10" spans="2:26" ht="23.25" thickBot="1" x14ac:dyDescent="0.35">
      <c r="B10" s="8"/>
      <c r="D10" s="135" t="s">
        <v>162</v>
      </c>
      <c r="E10" s="135" t="s">
        <v>163</v>
      </c>
      <c r="F10" s="136" t="s">
        <v>164</v>
      </c>
      <c r="G10" s="136" t="s">
        <v>164</v>
      </c>
      <c r="H10" s="136" t="s">
        <v>165</v>
      </c>
      <c r="I10" s="137" t="s">
        <v>166</v>
      </c>
      <c r="J10" s="137" t="s">
        <v>166</v>
      </c>
      <c r="K10" s="136" t="s">
        <v>167</v>
      </c>
      <c r="L10" s="136" t="s">
        <v>167</v>
      </c>
      <c r="M10" s="138" t="s">
        <v>168</v>
      </c>
      <c r="W10" s="8"/>
      <c r="X10" s="8"/>
      <c r="Y10" s="8"/>
      <c r="Z10" s="8"/>
    </row>
    <row r="11" spans="2:26" ht="22.5" x14ac:dyDescent="0.3">
      <c r="B11" s="8"/>
      <c r="D11" s="125" t="s">
        <v>169</v>
      </c>
      <c r="E11" s="134">
        <v>7.1108041068716377E-2</v>
      </c>
      <c r="F11" s="119">
        <f>G11/G$11</f>
        <v>1</v>
      </c>
      <c r="G11" s="119">
        <v>1</v>
      </c>
      <c r="H11" s="122">
        <v>7.1906989401470958E-2</v>
      </c>
      <c r="I11" s="119">
        <f>J11/J$11</f>
        <v>1</v>
      </c>
      <c r="J11" s="119">
        <v>1</v>
      </c>
      <c r="K11" s="119">
        <f>L11/L$11</f>
        <v>1</v>
      </c>
      <c r="L11" s="119">
        <v>0.99925464770670003</v>
      </c>
      <c r="M11" s="126">
        <v>-7.4535229329997232E-4</v>
      </c>
      <c r="W11" s="8"/>
      <c r="X11" s="8"/>
      <c r="Y11" s="8"/>
      <c r="Z11" s="8"/>
    </row>
    <row r="12" spans="2:26" ht="22.5" x14ac:dyDescent="0.3">
      <c r="B12" s="8"/>
      <c r="D12" s="125" t="s">
        <v>170</v>
      </c>
      <c r="E12" s="134">
        <v>6.4976766300360644E-2</v>
      </c>
      <c r="F12" s="119">
        <f t="shared" ref="F12:F16" si="0">G12/G$11</f>
        <v>1.0649767663003606</v>
      </c>
      <c r="G12" s="119">
        <v>1.0649767663003606</v>
      </c>
      <c r="H12" s="122">
        <v>1.9157083327264832E-2</v>
      </c>
      <c r="I12" s="119">
        <f t="shared" ref="I12:I16" si="1">J12/J$11</f>
        <v>1.0191570833272647</v>
      </c>
      <c r="J12" s="119">
        <v>1.0191570833272647</v>
      </c>
      <c r="K12" s="119">
        <f t="shared" ref="K12:K16" si="2">L12/L$11</f>
        <v>1.0449584109482979</v>
      </c>
      <c r="L12" s="119">
        <v>1.0441795488002945</v>
      </c>
      <c r="M12" s="126">
        <v>4.4958410948297889E-2</v>
      </c>
      <c r="W12" s="8"/>
      <c r="X12" s="8"/>
      <c r="Y12" s="8"/>
      <c r="Z12" s="8"/>
    </row>
    <row r="13" spans="2:26" ht="22.5" x14ac:dyDescent="0.3">
      <c r="B13" s="8"/>
      <c r="D13" s="125" t="s">
        <v>171</v>
      </c>
      <c r="E13" s="134">
        <v>3.6553041824910038E-2</v>
      </c>
      <c r="F13" s="119">
        <f t="shared" si="0"/>
        <v>1.103904906581495</v>
      </c>
      <c r="G13" s="119">
        <v>1.103904906581495</v>
      </c>
      <c r="H13" s="122">
        <v>3.8782596283798848E-2</v>
      </c>
      <c r="I13" s="119">
        <f t="shared" si="1"/>
        <v>1.0586826410397201</v>
      </c>
      <c r="J13" s="119">
        <v>1.0586826410397201</v>
      </c>
      <c r="K13" s="119">
        <f t="shared" si="2"/>
        <v>1.0427156012470016</v>
      </c>
      <c r="L13" s="119">
        <v>1.0419384107823524</v>
      </c>
      <c r="M13" s="126">
        <v>-2.1463147985584241E-3</v>
      </c>
      <c r="W13" s="8"/>
      <c r="X13" s="8"/>
      <c r="Y13" s="8"/>
      <c r="Z13" s="8"/>
    </row>
    <row r="14" spans="2:26" ht="22.5" x14ac:dyDescent="0.3">
      <c r="B14" s="8"/>
      <c r="D14" s="125" t="s">
        <v>172</v>
      </c>
      <c r="E14" s="134">
        <v>5.7329999999999999E-2</v>
      </c>
      <c r="F14" s="119">
        <f t="shared" si="0"/>
        <v>1.1671917748758123</v>
      </c>
      <c r="G14" s="119">
        <v>1.1671917748758123</v>
      </c>
      <c r="H14" s="122">
        <v>4.2324032477537042E-2</v>
      </c>
      <c r="I14" s="119">
        <f t="shared" si="1"/>
        <v>1.1034903595224901</v>
      </c>
      <c r="J14" s="119">
        <v>1.1034903595224901</v>
      </c>
      <c r="K14" s="119">
        <f t="shared" si="2"/>
        <v>1.0577272060454499</v>
      </c>
      <c r="L14" s="119">
        <v>1.0569388266467381</v>
      </c>
      <c r="M14" s="126">
        <v>1.4396643514775986E-2</v>
      </c>
      <c r="W14" s="8"/>
      <c r="X14" s="8"/>
      <c r="Y14" s="8"/>
      <c r="Z14" s="8"/>
    </row>
    <row r="15" spans="2:26" ht="22.5" x14ac:dyDescent="0.3">
      <c r="B15" s="8"/>
      <c r="D15" s="132" t="s">
        <v>173</v>
      </c>
      <c r="E15" s="134">
        <v>4.1099999999999998E-2</v>
      </c>
      <c r="F15" s="119">
        <f t="shared" si="0"/>
        <v>1.2151633568232081</v>
      </c>
      <c r="G15" s="119">
        <v>1.2151633568232081</v>
      </c>
      <c r="H15" s="122">
        <v>5.4316951423546034E-2</v>
      </c>
      <c r="I15" s="119">
        <f t="shared" si="1"/>
        <v>1.1634285917770244</v>
      </c>
      <c r="J15" s="119">
        <v>1.1634285917770244</v>
      </c>
      <c r="K15" s="119">
        <f t="shared" si="2"/>
        <v>1.0444675035595987</v>
      </c>
      <c r="L15" s="119">
        <v>1.0436890073105434</v>
      </c>
      <c r="M15" s="126">
        <v>-1.2536032362659322E-2</v>
      </c>
      <c r="N15" t="s">
        <v>322</v>
      </c>
      <c r="W15" s="8"/>
      <c r="X15" s="8"/>
      <c r="Y15" s="8"/>
      <c r="Z15" s="8"/>
    </row>
    <row r="16" spans="2:26" ht="23.25" thickBot="1" x14ac:dyDescent="0.35">
      <c r="B16" s="8"/>
      <c r="D16" s="133" t="s">
        <v>174</v>
      </c>
      <c r="E16" s="150">
        <v>4.5699999999999998E-2</v>
      </c>
      <c r="F16" s="119">
        <f t="shared" si="0"/>
        <v>1.2706963222300287</v>
      </c>
      <c r="G16" s="151">
        <v>1.2706963222300287</v>
      </c>
      <c r="H16" s="127">
        <v>1.32501700232337E-2</v>
      </c>
      <c r="I16" s="119">
        <f t="shared" si="1"/>
        <v>1.1788442184279613</v>
      </c>
      <c r="J16" s="151">
        <v>1.1788442184279613</v>
      </c>
      <c r="K16" s="119">
        <f t="shared" si="2"/>
        <v>1.0779170838404384</v>
      </c>
      <c r="L16" s="151">
        <v>1.0771136558700107</v>
      </c>
      <c r="M16" s="152">
        <v>3.2099999999999997E-2</v>
      </c>
      <c r="N16" t="s">
        <v>176</v>
      </c>
      <c r="W16" s="8"/>
      <c r="X16" s="8"/>
      <c r="Y16" s="8"/>
      <c r="Z16" s="8"/>
    </row>
    <row r="17" spans="1:26" ht="22.5" x14ac:dyDescent="0.3">
      <c r="B17" s="8"/>
      <c r="D17" s="68"/>
      <c r="E17" s="68"/>
      <c r="F17" s="68"/>
      <c r="G17" s="117"/>
      <c r="H17" s="117"/>
      <c r="I17" s="117"/>
      <c r="J17" s="117"/>
      <c r="K17" s="117"/>
      <c r="L17" s="117"/>
      <c r="M17" s="117"/>
      <c r="W17" s="8"/>
      <c r="X17" s="8"/>
      <c r="Y17" s="8"/>
      <c r="Z17" s="8"/>
    </row>
    <row r="18" spans="1:26" ht="22.5" x14ac:dyDescent="0.3">
      <c r="B18" s="8"/>
      <c r="D18" s="68" t="s">
        <v>175</v>
      </c>
      <c r="E18" s="68"/>
      <c r="F18" s="68"/>
      <c r="G18" s="117"/>
      <c r="H18" s="117" t="s">
        <v>160</v>
      </c>
      <c r="I18" s="117"/>
      <c r="J18" s="117"/>
      <c r="K18" s="117"/>
      <c r="L18" s="117"/>
      <c r="M18" s="117"/>
      <c r="N18" t="s">
        <v>472</v>
      </c>
      <c r="W18" s="8"/>
      <c r="X18" s="8"/>
      <c r="Y18" s="8"/>
      <c r="Z18" s="8"/>
    </row>
    <row r="19" spans="1:26" ht="23.25" thickBot="1" x14ac:dyDescent="0.35">
      <c r="B19" s="8"/>
      <c r="D19" s="121"/>
      <c r="E19" s="68"/>
      <c r="F19" s="68"/>
      <c r="G19" s="117"/>
      <c r="H19" s="117" t="s">
        <v>176</v>
      </c>
      <c r="I19" s="117"/>
      <c r="J19" s="117"/>
      <c r="K19" s="117"/>
      <c r="L19" s="118"/>
      <c r="M19" s="117"/>
      <c r="N19" t="s">
        <v>473</v>
      </c>
      <c r="W19" s="8"/>
      <c r="X19" s="8"/>
      <c r="Y19" s="8"/>
      <c r="Z19" s="8"/>
    </row>
    <row r="20" spans="1:26" ht="23.25" thickBot="1" x14ac:dyDescent="0.35">
      <c r="B20" s="8"/>
      <c r="D20" s="123" t="s">
        <v>162</v>
      </c>
      <c r="E20" s="123" t="s">
        <v>163</v>
      </c>
      <c r="F20" s="136" t="s">
        <v>164</v>
      </c>
      <c r="G20" s="124" t="s">
        <v>164</v>
      </c>
      <c r="H20" s="124" t="s">
        <v>165</v>
      </c>
      <c r="I20" s="130" t="s">
        <v>166</v>
      </c>
      <c r="J20" s="130" t="s">
        <v>166</v>
      </c>
      <c r="K20" s="136" t="s">
        <v>167</v>
      </c>
      <c r="L20" s="124" t="s">
        <v>167</v>
      </c>
      <c r="M20" s="131" t="s">
        <v>168</v>
      </c>
      <c r="W20" s="8"/>
      <c r="X20" s="8"/>
      <c r="Y20" s="8"/>
      <c r="Z20" s="8"/>
    </row>
    <row r="21" spans="1:26" ht="22.5" x14ac:dyDescent="0.3">
      <c r="B21" s="8"/>
      <c r="D21" s="139" t="s">
        <v>169</v>
      </c>
      <c r="E21" s="142">
        <v>7.1108041068716377E-2</v>
      </c>
      <c r="F21" s="119">
        <f>G21/G$21</f>
        <v>1</v>
      </c>
      <c r="G21" s="140">
        <v>1</v>
      </c>
      <c r="H21" s="128">
        <v>7.852562675935662E-2</v>
      </c>
      <c r="I21" s="119">
        <f>J21/J$21</f>
        <v>1</v>
      </c>
      <c r="J21" s="140">
        <v>1</v>
      </c>
      <c r="K21" s="119">
        <f>L21/L$21</f>
        <v>1</v>
      </c>
      <c r="L21" s="140">
        <v>0.99312247617803218</v>
      </c>
      <c r="M21" s="141">
        <v>-6.8775238219678236E-3</v>
      </c>
      <c r="W21" s="8"/>
      <c r="X21" s="8"/>
      <c r="Y21" s="8"/>
      <c r="Z21" s="8"/>
    </row>
    <row r="22" spans="1:26" ht="22.5" x14ac:dyDescent="0.3">
      <c r="A22" s="5"/>
      <c r="B22" s="52"/>
      <c r="C22" s="6"/>
      <c r="D22" s="125" t="s">
        <v>170</v>
      </c>
      <c r="E22" s="134">
        <v>6.4976766300360644E-2</v>
      </c>
      <c r="F22" s="119">
        <f t="shared" ref="F22" si="3">G22/G$21</f>
        <v>1.0649767663003606</v>
      </c>
      <c r="G22" s="119">
        <v>1.0649767663003606</v>
      </c>
      <c r="H22" s="122">
        <v>2.3542268277659175E-2</v>
      </c>
      <c r="I22" s="119">
        <f t="shared" ref="I22:K26" si="4">J22/J$21</f>
        <v>1.0235422682776592</v>
      </c>
      <c r="J22" s="119">
        <v>1.0235422682776592</v>
      </c>
      <c r="K22" s="119">
        <f t="shared" si="4"/>
        <v>1.0404814723405846</v>
      </c>
      <c r="L22" s="119">
        <v>1.0333255362282461</v>
      </c>
      <c r="M22" s="126">
        <v>4.0481472340584634E-2</v>
      </c>
      <c r="W22" s="8"/>
      <c r="X22" s="8"/>
      <c r="Y22" s="8"/>
      <c r="Z22" s="8"/>
    </row>
    <row r="23" spans="1:26" ht="22.5" x14ac:dyDescent="0.3">
      <c r="A23" s="5"/>
      <c r="B23" s="52"/>
      <c r="C23" s="5"/>
      <c r="D23" s="125" t="s">
        <v>171</v>
      </c>
      <c r="E23" s="134">
        <v>3.6553041824910038E-2</v>
      </c>
      <c r="F23" s="119">
        <f t="shared" ref="F23" si="5">G23/G$21</f>
        <v>1.103904906581495</v>
      </c>
      <c r="G23" s="119">
        <v>1.103904906581495</v>
      </c>
      <c r="H23" s="122">
        <v>4.5436083247232029E-2</v>
      </c>
      <c r="I23" s="119">
        <f t="shared" si="4"/>
        <v>1.0700480199861837</v>
      </c>
      <c r="J23" s="119">
        <v>1.0700480199861837</v>
      </c>
      <c r="K23" s="119">
        <f t="shared" si="4"/>
        <v>1.0316405301098064</v>
      </c>
      <c r="L23" s="119">
        <v>1.0245453977882686</v>
      </c>
      <c r="M23" s="126">
        <v>-8.4969722823515781E-3</v>
      </c>
      <c r="W23" s="8"/>
      <c r="X23" s="8"/>
      <c r="Y23" s="8"/>
      <c r="Z23" s="8"/>
    </row>
    <row r="24" spans="1:26" ht="22.5" x14ac:dyDescent="0.3">
      <c r="B24" s="8"/>
      <c r="C24" s="5"/>
      <c r="D24" s="125" t="s">
        <v>172</v>
      </c>
      <c r="E24" s="134">
        <v>5.7329999999999999E-2</v>
      </c>
      <c r="F24" s="119">
        <f t="shared" ref="F24" si="6">G24/G$21</f>
        <v>1.1671917748758123</v>
      </c>
      <c r="G24" s="119">
        <v>1.1671917748758123</v>
      </c>
      <c r="H24" s="122">
        <v>4.4002569271591116E-2</v>
      </c>
      <c r="I24" s="119">
        <f t="shared" si="4"/>
        <v>1.1171328821095545</v>
      </c>
      <c r="J24" s="119">
        <v>1.1171328821095545</v>
      </c>
      <c r="K24" s="119">
        <f t="shared" si="4"/>
        <v>1.044810150670463</v>
      </c>
      <c r="L24" s="119">
        <v>1.037624443969793</v>
      </c>
      <c r="M24" s="126">
        <v>1.2765706829349632E-2</v>
      </c>
      <c r="W24" s="8"/>
      <c r="X24" s="8"/>
      <c r="Y24" s="8"/>
      <c r="Z24" s="8"/>
    </row>
    <row r="25" spans="1:26" ht="22.5" x14ac:dyDescent="0.3">
      <c r="C25" s="5"/>
      <c r="D25" s="132" t="s">
        <v>173</v>
      </c>
      <c r="E25" s="134">
        <v>4.1099999999999998E-2</v>
      </c>
      <c r="F25" s="119">
        <f t="shared" ref="F25" si="7">G25/G$21</f>
        <v>1.2151633568232081</v>
      </c>
      <c r="G25" s="119">
        <v>1.2151633568232081</v>
      </c>
      <c r="H25" s="122">
        <v>6.208422588508903E-2</v>
      </c>
      <c r="I25" s="119">
        <f t="shared" si="4"/>
        <v>1.1864892123061048</v>
      </c>
      <c r="J25" s="119">
        <v>1.1864892123061048</v>
      </c>
      <c r="K25" s="119">
        <f t="shared" si="4"/>
        <v>1.0241672189006854</v>
      </c>
      <c r="L25" s="119">
        <v>1.0171234844550174</v>
      </c>
      <c r="M25" s="126">
        <v>-1.9757591134169972E-2</v>
      </c>
      <c r="W25" s="8"/>
      <c r="X25" s="8"/>
      <c r="Y25" s="8"/>
      <c r="Z25" s="8"/>
    </row>
    <row r="26" spans="1:26" ht="23.25" thickBot="1" x14ac:dyDescent="0.35">
      <c r="C26" s="5"/>
      <c r="D26" s="133" t="s">
        <v>174</v>
      </c>
      <c r="E26" s="150">
        <v>4.5699999999999998E-2</v>
      </c>
      <c r="F26" s="119">
        <f t="shared" ref="F26" si="8">G26/G$21</f>
        <v>1.2706963222300287</v>
      </c>
      <c r="G26" s="147">
        <v>1.2706963222300287</v>
      </c>
      <c r="H26" s="149">
        <v>1.8082623037791335E-2</v>
      </c>
      <c r="I26" s="119">
        <f t="shared" si="4"/>
        <v>1.2079440494706419</v>
      </c>
      <c r="J26" s="147">
        <v>1.2079440494706419</v>
      </c>
      <c r="K26" s="119">
        <f t="shared" si="4"/>
        <v>1.0519496517962788</v>
      </c>
      <c r="L26" s="147">
        <v>1.0447148430065392</v>
      </c>
      <c r="M26" s="148">
        <v>2.7199999999999998E-2</v>
      </c>
      <c r="W26" s="8"/>
      <c r="X26" s="8"/>
      <c r="Y26" s="8"/>
      <c r="Z26" s="8"/>
    </row>
    <row r="27" spans="1:26" ht="22.5" x14ac:dyDescent="0.3">
      <c r="C27" s="5"/>
      <c r="D27" s="68"/>
      <c r="E27" s="68"/>
      <c r="F27" s="68"/>
      <c r="G27" s="117"/>
      <c r="H27" s="117"/>
      <c r="I27" s="117"/>
      <c r="J27" s="117"/>
      <c r="K27" s="117"/>
      <c r="L27" s="117"/>
      <c r="M27" s="117"/>
      <c r="W27" s="8"/>
      <c r="X27" s="8"/>
      <c r="Y27" s="8"/>
      <c r="Z27" s="8"/>
    </row>
    <row r="28" spans="1:26" ht="22.5" x14ac:dyDescent="0.3">
      <c r="C28" s="5"/>
      <c r="D28" s="68" t="s">
        <v>175</v>
      </c>
      <c r="E28" s="68"/>
      <c r="F28" s="68"/>
      <c r="G28" s="117"/>
      <c r="H28" s="117" t="s">
        <v>177</v>
      </c>
      <c r="I28" s="117"/>
      <c r="J28" s="117"/>
      <c r="K28" s="117"/>
      <c r="L28" s="117"/>
      <c r="M28" s="117"/>
      <c r="W28" s="8"/>
      <c r="X28" s="8"/>
      <c r="Y28" s="8"/>
      <c r="Z28" s="8"/>
    </row>
    <row r="29" spans="1:26" ht="23.25" thickBot="1" x14ac:dyDescent="0.35">
      <c r="C29" s="5"/>
      <c r="D29" s="121"/>
      <c r="E29" s="68"/>
      <c r="F29" s="68"/>
      <c r="G29" s="117"/>
      <c r="H29" s="117" t="s">
        <v>161</v>
      </c>
      <c r="I29" s="117"/>
      <c r="J29" s="117"/>
      <c r="K29" s="117"/>
      <c r="L29" s="118"/>
      <c r="M29" s="117"/>
    </row>
    <row r="30" spans="1:26" ht="23.25" thickBot="1" x14ac:dyDescent="0.35">
      <c r="A30" s="5"/>
      <c r="B30" s="5"/>
      <c r="C30" s="5"/>
      <c r="D30" s="135" t="s">
        <v>162</v>
      </c>
      <c r="E30" s="135" t="s">
        <v>163</v>
      </c>
      <c r="F30" s="136" t="s">
        <v>164</v>
      </c>
      <c r="G30" s="136" t="s">
        <v>164</v>
      </c>
      <c r="H30" s="136" t="s">
        <v>165</v>
      </c>
      <c r="I30" s="130" t="s">
        <v>166</v>
      </c>
      <c r="J30" s="137" t="s">
        <v>166</v>
      </c>
      <c r="K30" s="136" t="s">
        <v>167</v>
      </c>
      <c r="L30" s="136" t="s">
        <v>167</v>
      </c>
      <c r="M30" s="138" t="s">
        <v>168</v>
      </c>
    </row>
    <row r="31" spans="1:26" ht="22.5" x14ac:dyDescent="0.3">
      <c r="C31" s="5"/>
      <c r="D31" s="139" t="s">
        <v>169</v>
      </c>
      <c r="E31" s="144">
        <v>7.1108041068716377E-2</v>
      </c>
      <c r="F31" s="119">
        <f>G31/G$31</f>
        <v>1</v>
      </c>
      <c r="G31" s="140">
        <v>1</v>
      </c>
      <c r="H31" s="143">
        <v>7.1001412679317935E-2</v>
      </c>
      <c r="I31" s="119">
        <f>J31/J$31</f>
        <v>1</v>
      </c>
      <c r="J31" s="140">
        <v>1</v>
      </c>
      <c r="K31" s="119">
        <f>L31/L$31</f>
        <v>1</v>
      </c>
      <c r="L31" s="140">
        <v>1.000099559522645</v>
      </c>
      <c r="M31" s="141">
        <v>9.9559522644954157E-5</v>
      </c>
    </row>
    <row r="32" spans="1:26" ht="22.5" x14ac:dyDescent="0.3">
      <c r="C32" s="5"/>
      <c r="D32" s="125" t="s">
        <v>170</v>
      </c>
      <c r="E32" s="145">
        <v>6.4976766300360644E-2</v>
      </c>
      <c r="F32" s="119">
        <f t="shared" ref="F32:F36" si="9">G32/G$31</f>
        <v>1.0649767663003606</v>
      </c>
      <c r="G32" s="119">
        <v>1.0649767663003606</v>
      </c>
      <c r="H32" s="129">
        <v>1.3571374548118404E-2</v>
      </c>
      <c r="I32" s="119">
        <f t="shared" ref="I32:I36" si="10">J32/J$31</f>
        <v>1.0135713745481183</v>
      </c>
      <c r="J32" s="119">
        <v>1.0135713745481183</v>
      </c>
      <c r="K32" s="119">
        <f t="shared" ref="K32:K36" si="11">L32/L$31</f>
        <v>1.0507170911127601</v>
      </c>
      <c r="L32" s="119">
        <v>1.0508217000047861</v>
      </c>
      <c r="M32" s="126">
        <v>5.0717091112760126E-2</v>
      </c>
    </row>
    <row r="33" spans="4:13" ht="22.5" x14ac:dyDescent="0.3">
      <c r="D33" s="125" t="s">
        <v>171</v>
      </c>
      <c r="E33" s="146">
        <v>3.6553041824910038E-2</v>
      </c>
      <c r="F33" s="119">
        <f t="shared" si="9"/>
        <v>1.103904906581495</v>
      </c>
      <c r="G33" s="119">
        <v>1.103904906581495</v>
      </c>
      <c r="H33" s="129">
        <v>3.7013594916159749E-2</v>
      </c>
      <c r="I33" s="119">
        <f t="shared" si="10"/>
        <v>1.0510872948242576</v>
      </c>
      <c r="J33" s="119">
        <v>1.0510872948242576</v>
      </c>
      <c r="K33" s="119">
        <f t="shared" si="11"/>
        <v>1.050250452095959</v>
      </c>
      <c r="L33" s="119">
        <v>1.0503550145296274</v>
      </c>
      <c r="M33" s="126">
        <v>-4.441148057340305E-4</v>
      </c>
    </row>
    <row r="34" spans="4:13" ht="22.5" x14ac:dyDescent="0.3">
      <c r="D34" s="125" t="s">
        <v>172</v>
      </c>
      <c r="E34" s="146">
        <v>5.7329999999999999E-2</v>
      </c>
      <c r="F34" s="119">
        <f t="shared" si="9"/>
        <v>1.1671917748758123</v>
      </c>
      <c r="G34" s="119">
        <v>1.1671917748758123</v>
      </c>
      <c r="H34" s="129">
        <v>4.2403410017562211E-2</v>
      </c>
      <c r="I34" s="119">
        <f t="shared" si="10"/>
        <v>1.0956569803509408</v>
      </c>
      <c r="J34" s="119">
        <v>1.0956569803509408</v>
      </c>
      <c r="K34" s="119">
        <f t="shared" si="11"/>
        <v>1.0652894070021428</v>
      </c>
      <c r="L34" s="119">
        <v>1.0653954667069827</v>
      </c>
      <c r="M34" s="126">
        <v>1.4319398650265658E-2</v>
      </c>
    </row>
    <row r="35" spans="4:13" ht="22.5" x14ac:dyDescent="0.3">
      <c r="D35" s="132" t="s">
        <v>173</v>
      </c>
      <c r="E35" s="532">
        <v>4.1099999999999998E-2</v>
      </c>
      <c r="F35" s="119">
        <f t="shared" si="9"/>
        <v>1.2151633568232081</v>
      </c>
      <c r="G35" s="638">
        <v>1.2151633568232081</v>
      </c>
      <c r="H35" s="639">
        <v>5.8317696493849658E-2</v>
      </c>
      <c r="I35" s="119">
        <f t="shared" si="10"/>
        <v>1.1595531715924148</v>
      </c>
      <c r="J35" s="638">
        <v>1.1595531715924148</v>
      </c>
      <c r="K35" s="119">
        <f>L35/L$31</f>
        <v>1.047958288238239</v>
      </c>
      <c r="L35" s="638">
        <v>1.0480626224651679</v>
      </c>
      <c r="M35" s="640">
        <v>-1.6268929973382251E-2</v>
      </c>
    </row>
    <row r="36" spans="4:13" ht="23.25" thickBot="1" x14ac:dyDescent="0.35">
      <c r="D36" s="133" t="s">
        <v>174</v>
      </c>
      <c r="E36" s="532">
        <v>4.5699999999999998E-2</v>
      </c>
      <c r="F36" s="119">
        <f t="shared" si="9"/>
        <v>1.2706963222300287</v>
      </c>
      <c r="G36" s="638">
        <v>1.2706963222300287</v>
      </c>
      <c r="H36" s="641">
        <v>8.0306796102240924E-3</v>
      </c>
      <c r="I36" s="119">
        <f t="shared" si="10"/>
        <v>1.1688651716044927</v>
      </c>
      <c r="J36" s="638">
        <v>1.1688651716044927</v>
      </c>
      <c r="K36" s="119">
        <f t="shared" si="11"/>
        <v>1.0871196722251151</v>
      </c>
      <c r="L36" s="638">
        <v>1.0872279053407397</v>
      </c>
      <c r="M36" s="640">
        <v>3.7369220155423877E-2</v>
      </c>
    </row>
    <row r="37" spans="4:13" ht="22.5" x14ac:dyDescent="0.3">
      <c r="D37" s="68"/>
      <c r="E37" s="68"/>
      <c r="F37" s="68"/>
      <c r="G37" s="117"/>
      <c r="H37" s="117"/>
      <c r="I37" s="117"/>
      <c r="J37" s="117"/>
      <c r="K37" s="117"/>
      <c r="L37" s="117"/>
      <c r="M37" s="117"/>
    </row>
    <row r="38" spans="4:13" ht="22.5" x14ac:dyDescent="0.3">
      <c r="D38" s="68" t="s">
        <v>175</v>
      </c>
      <c r="E38" s="68"/>
      <c r="F38" s="68"/>
      <c r="G38" s="117"/>
      <c r="H38" s="117" t="s">
        <v>177</v>
      </c>
      <c r="I38" s="117"/>
      <c r="J38" s="117"/>
      <c r="K38" s="117"/>
      <c r="L38" s="117"/>
      <c r="M38" s="117"/>
    </row>
    <row r="39" spans="4:13" ht="23.25" thickBot="1" x14ac:dyDescent="0.35">
      <c r="D39" s="121"/>
      <c r="E39" s="68"/>
      <c r="F39" s="68"/>
      <c r="G39" s="117"/>
      <c r="H39" s="117" t="s">
        <v>176</v>
      </c>
      <c r="I39" s="117"/>
      <c r="J39" s="117"/>
      <c r="K39" s="117"/>
      <c r="L39" s="118"/>
      <c r="M39" s="117"/>
    </row>
    <row r="40" spans="4:13" ht="23.25" thickBot="1" x14ac:dyDescent="0.35">
      <c r="D40" s="123" t="s">
        <v>162</v>
      </c>
      <c r="E40" s="123" t="s">
        <v>163</v>
      </c>
      <c r="F40" s="136" t="s">
        <v>164</v>
      </c>
      <c r="G40" s="124" t="s">
        <v>164</v>
      </c>
      <c r="H40" s="124" t="s">
        <v>165</v>
      </c>
      <c r="I40" s="130" t="s">
        <v>166</v>
      </c>
      <c r="J40" s="130" t="s">
        <v>166</v>
      </c>
      <c r="K40" s="136" t="s">
        <v>167</v>
      </c>
      <c r="L40" s="124" t="s">
        <v>167</v>
      </c>
      <c r="M40" s="131" t="s">
        <v>168</v>
      </c>
    </row>
    <row r="41" spans="4:13" ht="22.5" x14ac:dyDescent="0.3">
      <c r="D41" s="139" t="s">
        <v>169</v>
      </c>
      <c r="E41" s="142">
        <v>7.1108041068716377E-2</v>
      </c>
      <c r="F41" s="119">
        <f>G41/G$41</f>
        <v>1</v>
      </c>
      <c r="G41" s="140">
        <v>1</v>
      </c>
      <c r="H41" s="143">
        <v>7.7452221369281815E-2</v>
      </c>
      <c r="I41" s="119">
        <f>J41/J$41</f>
        <v>1</v>
      </c>
      <c r="J41" s="140">
        <v>1</v>
      </c>
      <c r="K41" s="119">
        <f>L41/L$41</f>
        <v>1</v>
      </c>
      <c r="L41" s="140">
        <v>1</v>
      </c>
      <c r="M41" s="141">
        <v>-5.888131440764055E-3</v>
      </c>
    </row>
    <row r="42" spans="4:13" ht="22.5" x14ac:dyDescent="0.3">
      <c r="D42" s="125" t="s">
        <v>170</v>
      </c>
      <c r="E42" s="134">
        <v>6.4976766300360644E-2</v>
      </c>
      <c r="F42" s="119">
        <f t="shared" ref="F42" si="12">G42/G$41</f>
        <v>1.0649767663003606</v>
      </c>
      <c r="G42" s="119">
        <v>1.0649767663003606</v>
      </c>
      <c r="H42" s="129">
        <v>1.8199109951079064E-2</v>
      </c>
      <c r="I42" s="119">
        <f t="shared" ref="I42:K46" si="13">J42/J$41</f>
        <v>1.018199109951079</v>
      </c>
      <c r="J42" s="119">
        <v>1.018199109951079</v>
      </c>
      <c r="K42" s="119">
        <f t="shared" si="13"/>
        <v>1.0459415608323692</v>
      </c>
      <c r="L42" s="119">
        <v>1.0459415608323692</v>
      </c>
      <c r="M42" s="126">
        <v>4.5941560832369222E-2</v>
      </c>
    </row>
    <row r="43" spans="4:13" ht="22.5" x14ac:dyDescent="0.3">
      <c r="D43" s="125" t="s">
        <v>171</v>
      </c>
      <c r="E43" s="134">
        <v>3.6553041824910038E-2</v>
      </c>
      <c r="F43" s="119">
        <f t="shared" ref="F43" si="14">G43/G$41</f>
        <v>1.103904906581495</v>
      </c>
      <c r="G43" s="119">
        <v>1.103904906581495</v>
      </c>
      <c r="H43" s="129">
        <v>4.776650738328303E-2</v>
      </c>
      <c r="I43" s="119">
        <f t="shared" si="13"/>
        <v>1.0668349252542095</v>
      </c>
      <c r="J43" s="119">
        <v>1.0668349252542095</v>
      </c>
      <c r="K43" s="119">
        <f t="shared" si="13"/>
        <v>1.034747626319463</v>
      </c>
      <c r="L43" s="119">
        <v>1.034747626319463</v>
      </c>
      <c r="M43" s="126">
        <v>-1.0702256160466606E-2</v>
      </c>
    </row>
    <row r="44" spans="4:13" ht="22.5" x14ac:dyDescent="0.3">
      <c r="D44" s="125" t="s">
        <v>172</v>
      </c>
      <c r="E44" s="134">
        <v>5.7329999999999999E-2</v>
      </c>
      <c r="F44" s="119">
        <f t="shared" ref="F44" si="15">G44/G$41</f>
        <v>1.1671917748758123</v>
      </c>
      <c r="G44" s="119">
        <v>1.1671917748758123</v>
      </c>
      <c r="H44" s="129">
        <v>4.4075164272427553E-2</v>
      </c>
      <c r="I44" s="119">
        <f t="shared" si="13"/>
        <v>1.1138558498363518</v>
      </c>
      <c r="J44" s="119">
        <v>1.1138558498363518</v>
      </c>
      <c r="K44" s="119">
        <f t="shared" si="13"/>
        <v>1.0478840462590349</v>
      </c>
      <c r="L44" s="119">
        <v>1.0478840462590349</v>
      </c>
      <c r="M44" s="126">
        <v>1.2695288788723724E-2</v>
      </c>
    </row>
    <row r="45" spans="4:13" ht="22.5" x14ac:dyDescent="0.3">
      <c r="D45" s="132" t="s">
        <v>173</v>
      </c>
      <c r="E45" s="532">
        <v>4.1099999999999998E-2</v>
      </c>
      <c r="F45" s="119">
        <f t="shared" ref="F45" si="16">G45/G$41</f>
        <v>1.2151633568232081</v>
      </c>
      <c r="G45" s="638">
        <v>1.2151633568232081</v>
      </c>
      <c r="H45" s="639">
        <v>6.5737232662948189E-2</v>
      </c>
      <c r="I45" s="119">
        <f t="shared" si="13"/>
        <v>1.1870776509900298</v>
      </c>
      <c r="J45" s="638">
        <v>1.1870776509900298</v>
      </c>
      <c r="K45" s="119">
        <f t="shared" si="13"/>
        <v>1.0236595355070113</v>
      </c>
      <c r="L45" s="638">
        <v>1.0236595355070113</v>
      </c>
      <c r="M45" s="640">
        <v>-2.3117548967851453E-2</v>
      </c>
    </row>
    <row r="46" spans="4:13" ht="23.25" thickBot="1" x14ac:dyDescent="0.35">
      <c r="D46" s="7" t="s">
        <v>174</v>
      </c>
      <c r="E46" s="532">
        <v>4.5699999999999998E-2</v>
      </c>
      <c r="F46" s="119">
        <f t="shared" ref="F46" si="17">G46/G$41</f>
        <v>1.2706963222300287</v>
      </c>
      <c r="G46" s="638">
        <v>1.2706963222300287</v>
      </c>
      <c r="H46" s="641">
        <v>1.3244999986511734E-2</v>
      </c>
      <c r="I46" s="119">
        <f t="shared" si="13"/>
        <v>1.202800494461381</v>
      </c>
      <c r="J46" s="638">
        <v>1.202800494461381</v>
      </c>
      <c r="K46" s="119">
        <f t="shared" si="13"/>
        <v>1.0564481209321848</v>
      </c>
      <c r="L46" s="638">
        <v>1.0564481209321848</v>
      </c>
      <c r="M46" s="640">
        <v>3.2099999999999997E-2</v>
      </c>
    </row>
    <row r="47" spans="4:13" x14ac:dyDescent="0.25">
      <c r="D47" s="5"/>
      <c r="E47" s="5"/>
      <c r="F47" s="5"/>
      <c r="G47" s="5"/>
      <c r="H47" s="5"/>
      <c r="I47" s="5"/>
      <c r="J47" s="5"/>
      <c r="K47" s="5"/>
      <c r="L47" s="5"/>
      <c r="M47" s="5"/>
    </row>
    <row r="48" spans="4:13" x14ac:dyDescent="0.25">
      <c r="D48" s="5"/>
      <c r="E48" s="5"/>
      <c r="F48" s="5"/>
      <c r="G48" s="5"/>
      <c r="H48" s="5"/>
      <c r="I48" s="5"/>
      <c r="J48" s="5"/>
      <c r="K48" s="5"/>
      <c r="L48" s="5"/>
      <c r="M48" s="5"/>
    </row>
    <row r="58" ht="23.25" customHeight="1" x14ac:dyDescent="0.25"/>
    <row r="65" ht="23.25" customHeight="1" x14ac:dyDescent="0.25"/>
    <row r="72" ht="23.25" customHeight="1" x14ac:dyDescent="0.25"/>
    <row r="79" ht="23.25" customHeight="1" x14ac:dyDescent="0.25"/>
    <row r="86" ht="23.25" customHeight="1" x14ac:dyDescent="0.25"/>
    <row r="94" ht="23.25" customHeight="1" x14ac:dyDescent="0.25"/>
  </sheetData>
  <customSheetViews>
    <customSheetView guid="{9EA95E61-FCA5-4867-AEB4-B8C24058ACDD}" scale="55" showGridLines="0" showRowCol="0" state="hidden">
      <selection activeCell="E31" sqref="E31"/>
      <pageMargins left="0.7" right="0.7" top="0.75" bottom="0.75" header="0.3" footer="0.3"/>
      <pageSetup paperSize="9" orientation="portrait" r:id="rId1"/>
    </customSheetView>
  </customSheetViews>
  <pageMargins left="0.7" right="0.7" top="0.75" bottom="0.75" header="0.3" footer="0.3"/>
  <pageSetup paperSize="9" orientation="portrait" r:id="rId2"/>
  <drawing r:id="rId3"/>
  <legacyDrawing r:id="rId4"/>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U89"/>
  <sheetViews>
    <sheetView showGridLines="0" showRowColHeaders="0" topLeftCell="A4" zoomScaleNormal="100" workbookViewId="0">
      <selection activeCell="B10" sqref="B10"/>
    </sheetView>
  </sheetViews>
  <sheetFormatPr defaultRowHeight="15" x14ac:dyDescent="0.25"/>
  <cols>
    <col min="2" max="2" width="35" customWidth="1"/>
    <col min="3" max="3" width="14.42578125" customWidth="1"/>
    <col min="4" max="5" width="12.7109375" customWidth="1"/>
    <col min="6" max="6" width="12.28515625" customWidth="1"/>
    <col min="7" max="7" width="18" customWidth="1"/>
    <col min="8" max="8" width="20.7109375" customWidth="1"/>
    <col min="9" max="9" width="39.42578125" customWidth="1"/>
    <col min="10" max="10" width="28.28515625" customWidth="1"/>
    <col min="11" max="11" width="32.7109375" customWidth="1"/>
    <col min="12" max="12" width="16.28515625" customWidth="1"/>
    <col min="13" max="13" width="26.28515625" bestFit="1" customWidth="1"/>
    <col min="14" max="14" width="16.28515625" bestFit="1" customWidth="1"/>
    <col min="15" max="15" width="22.5703125" bestFit="1" customWidth="1"/>
    <col min="16" max="16" width="21.28515625" bestFit="1" customWidth="1"/>
    <col min="17" max="17" width="22.28515625" bestFit="1" customWidth="1"/>
  </cols>
  <sheetData>
    <row r="1" spans="1:21" x14ac:dyDescent="0.25">
      <c r="A1" s="657"/>
      <c r="B1" s="657"/>
    </row>
    <row r="2" spans="1:21" x14ac:dyDescent="0.25">
      <c r="E2" s="231"/>
      <c r="F2" s="231"/>
      <c r="G2" s="231"/>
    </row>
    <row r="3" spans="1:21" x14ac:dyDescent="0.25">
      <c r="E3" s="231"/>
      <c r="F3" s="231"/>
      <c r="G3" s="231"/>
    </row>
    <row r="4" spans="1:21" ht="30" x14ac:dyDescent="0.4">
      <c r="B4" s="2" t="s">
        <v>159</v>
      </c>
    </row>
    <row r="5" spans="1:21" x14ac:dyDescent="0.25">
      <c r="B5" s="279"/>
      <c r="C5" s="281"/>
      <c r="D5" s="281"/>
      <c r="E5" s="281"/>
      <c r="F5" s="281"/>
      <c r="G5" s="281"/>
      <c r="H5" s="281"/>
    </row>
    <row r="6" spans="1:21" x14ac:dyDescent="0.25">
      <c r="B6" s="274" t="s">
        <v>449</v>
      </c>
      <c r="C6" s="467"/>
      <c r="D6" s="281"/>
      <c r="E6" s="281"/>
      <c r="F6" s="281"/>
      <c r="G6" s="281"/>
      <c r="H6" s="281"/>
      <c r="R6" s="8"/>
      <c r="S6" s="8"/>
      <c r="T6" s="8"/>
      <c r="U6" s="8"/>
    </row>
    <row r="7" spans="1:21" x14ac:dyDescent="0.25">
      <c r="B7" s="330" t="s">
        <v>473</v>
      </c>
      <c r="C7" s="281"/>
      <c r="D7" s="281"/>
      <c r="E7" s="281"/>
      <c r="F7" s="281"/>
      <c r="G7" s="281"/>
      <c r="H7" s="281"/>
      <c r="R7" s="8"/>
      <c r="S7" s="8"/>
      <c r="T7" s="8"/>
      <c r="U7" s="8"/>
    </row>
    <row r="8" spans="1:21" x14ac:dyDescent="0.25">
      <c r="B8" s="279"/>
      <c r="C8" s="281"/>
      <c r="D8" s="281"/>
      <c r="E8" s="281"/>
      <c r="F8" s="281"/>
      <c r="G8" s="281"/>
      <c r="H8" s="281"/>
      <c r="R8" s="8"/>
      <c r="S8" s="8"/>
      <c r="T8" s="8"/>
      <c r="U8" s="8"/>
    </row>
    <row r="9" spans="1:21" x14ac:dyDescent="0.25">
      <c r="B9" s="274" t="s">
        <v>450</v>
      </c>
      <c r="C9" s="467"/>
      <c r="D9" s="281"/>
      <c r="E9" s="281"/>
      <c r="F9" s="281"/>
      <c r="G9" s="281"/>
      <c r="H9" s="281"/>
      <c r="R9" s="8"/>
      <c r="S9" s="8"/>
      <c r="T9" s="8"/>
      <c r="U9" s="8"/>
    </row>
    <row r="10" spans="1:21" x14ac:dyDescent="0.25">
      <c r="B10" s="330" t="s">
        <v>176</v>
      </c>
      <c r="C10" s="281"/>
      <c r="D10" s="281"/>
      <c r="E10" s="281"/>
      <c r="F10" s="281"/>
      <c r="G10" s="281"/>
      <c r="H10" s="281"/>
      <c r="R10" s="8"/>
      <c r="S10" s="8"/>
      <c r="T10" s="8"/>
      <c r="U10" s="8"/>
    </row>
    <row r="11" spans="1:21" ht="22.5" x14ac:dyDescent="0.3">
      <c r="B11" s="315"/>
      <c r="C11" s="315"/>
      <c r="D11" s="315"/>
      <c r="E11" s="315"/>
      <c r="F11" s="315"/>
      <c r="G11" s="315"/>
      <c r="H11" s="315"/>
      <c r="I11" s="68"/>
      <c r="R11" s="8"/>
      <c r="S11" s="8"/>
      <c r="T11" s="8"/>
      <c r="U11" s="8"/>
    </row>
    <row r="12" spans="1:21" ht="22.5" x14ac:dyDescent="0.3">
      <c r="B12" s="331" t="s">
        <v>162</v>
      </c>
      <c r="C12" s="331" t="s">
        <v>163</v>
      </c>
      <c r="D12" s="331" t="s">
        <v>164</v>
      </c>
      <c r="E12" s="331" t="s">
        <v>165</v>
      </c>
      <c r="F12" s="332" t="s">
        <v>166</v>
      </c>
      <c r="G12" s="331" t="s">
        <v>167</v>
      </c>
      <c r="H12" s="332" t="s">
        <v>168</v>
      </c>
      <c r="I12" s="68"/>
      <c r="R12" s="8"/>
      <c r="S12" s="8"/>
      <c r="T12" s="8"/>
      <c r="U12" s="8"/>
    </row>
    <row r="13" spans="1:21" ht="22.5" x14ac:dyDescent="0.3">
      <c r="B13" s="333" t="s">
        <v>169</v>
      </c>
      <c r="C13" s="334">
        <f>IF(AND($B$7="Direct (FTEs)",$B$10="Reference Costs"),'Productivity (2)'!E11, IF(AND($B$7=" Direct (FTEs) ",$B$10="TFR"),'Productivity (2)'!E21, IF(AND($B$7="Indirect (Expenditure)",$B$10="TFR"),'Productivity (2)'!E41,'Productivity (2)'!E31)))</f>
        <v>7.1108041068716377E-2</v>
      </c>
      <c r="D13" s="335">
        <f>IF(AND($B$7="Direct (FTEs)",$B$10="Reference Costs"),'Productivity (2)'!G11, IF(AND($B$7=" Direct (FTEs) ",$B$10="TFR"),'Productivity (2)'!G21, IF(AND($B$7="Indirect (Expenditure)",$B$10="TFR"),'Productivity (2)'!G41,'Productivity (2)'!G31)))</f>
        <v>1</v>
      </c>
      <c r="E13" s="334">
        <f>IF(AND($B$7="Direct (FTEs)",$B$10="Reference Costs"),'Productivity (2)'!H11, IF(AND($B$7=" Direct (FTEs) ",$B$10="TFR"),'Productivity (2)'!H21, IF(AND($B$7="Indirect (Expenditure)",$B$10="TFR"),'Productivity (2)'!H41,'Productivity (2)'!H31)))</f>
        <v>7.7452221369281815E-2</v>
      </c>
      <c r="F13" s="335">
        <f>IF(AND($B$7="Direct (FTEs)",$B$10="Reference Costs"),'Productivity (2)'!J11, IF(AND($B$7=" Direct (FTEs) ",$B$10="TFR"),'Productivity (2)'!J21, IF(AND($B$7="Indirect (Expenditure)",$B$10="TFR"),'Productivity (2)'!J41,'Productivity (2)'!J31)))</f>
        <v>1</v>
      </c>
      <c r="G13" s="335">
        <f>IF(AND($B$7="Direct (FTEs)",$B$10="Reference Costs"),'Productivity (2)'!L11, IF(AND($B$7=" Direct (FTEs) ",$B$10="TFR"),'Productivity (2)'!L21, IF(AND($B$7="Indirect (Expenditure)",$B$10="TFR"),'Productivity (2)'!L41,'Productivity (2)'!L31)))</f>
        <v>1</v>
      </c>
      <c r="H13" s="334">
        <f>IF(AND($B$7="Direct (FTEs)",$B$10="Reference Costs"),'Productivity (2)'!M11, IF(AND($B$7=" Direct (FTEs) ",$B$10="TFR"),'Productivity (2)'!M21, IF(AND($B$7="Indirect (Expenditure)",$B$10="TFR"),'Productivity (2)'!M41,'Productivity (2)'!M31)))</f>
        <v>-5.888131440764055E-3</v>
      </c>
      <c r="I13" s="68"/>
      <c r="R13" s="8"/>
      <c r="S13" s="8"/>
      <c r="T13" s="8"/>
      <c r="U13" s="8"/>
    </row>
    <row r="14" spans="1:21" ht="22.5" x14ac:dyDescent="0.3">
      <c r="B14" s="333" t="s">
        <v>170</v>
      </c>
      <c r="C14" s="334">
        <f>IF(AND($B$7="Direct (FTEs)",$B$10="Reference Costs"),'Productivity (2)'!E12, IF(AND($B$7=" Direct (FTEs) ",$B$10="TFR"),'Productivity (2)'!E22, IF(AND($B$7="Indirect (Expenditure)",$B$10="TFR"),'Productivity (2)'!E42,'Productivity (2)'!E32)))</f>
        <v>6.4976766300360644E-2</v>
      </c>
      <c r="D14" s="335">
        <f>IF(AND($B$7="Direct (FTEs)",$B$10="Reference Costs"),'Productivity (2)'!G12, IF(AND($B$7=" Direct (FTEs) ",$B$10="TFR"),'Productivity (2)'!G22, IF(AND($B$7="Indirect (Expenditure)",$B$10="TFR"),'Productivity (2)'!G42,'Productivity (2)'!G32)))</f>
        <v>1.0649767663003606</v>
      </c>
      <c r="E14" s="334">
        <f>IF(AND($B$7="Direct (FTEs)",$B$10="Reference Costs"),'Productivity (2)'!H12, IF(AND($B$7=" Direct (FTEs) ",$B$10="TFR"),'Productivity (2)'!H22, IF(AND($B$7="Indirect (Expenditure)",$B$10="TFR"),'Productivity (2)'!H42,'Productivity (2)'!H32)))</f>
        <v>1.8199109951079064E-2</v>
      </c>
      <c r="F14" s="335">
        <f>IF(AND($B$7="Direct (FTEs)",$B$10="Reference Costs"),'Productivity (2)'!J12, IF(AND($B$7=" Direct (FTEs) ",$B$10="TFR"),'Productivity (2)'!J22, IF(AND($B$7="Indirect (Expenditure)",$B$10="TFR"),'Productivity (2)'!J42,'Productivity (2)'!J32)))</f>
        <v>1.018199109951079</v>
      </c>
      <c r="G14" s="335">
        <f>IF(AND($B$7="Direct (FTEs)",$B$10="Reference Costs"),'Productivity (2)'!L12, IF(AND($B$7=" Direct (FTEs) ",$B$10="TFR"),'Productivity (2)'!L22, IF(AND($B$7="Indirect (Expenditure)",$B$10="TFR"),'Productivity (2)'!L42,'Productivity (2)'!L32)))</f>
        <v>1.0459415608323692</v>
      </c>
      <c r="H14" s="334">
        <f>IF(AND($B$7="Direct (FTEs)",$B$10="Reference Costs"),'Productivity (2)'!M12, IF(AND($B$7=" Direct (FTEs) ",$B$10="TFR"),'Productivity (2)'!M22, IF(AND($B$7="Indirect (Expenditure)",$B$10="TFR"),'Productivity (2)'!M42,'Productivity (2)'!M32)))</f>
        <v>4.5941560832369222E-2</v>
      </c>
      <c r="I14" s="68"/>
      <c r="R14" s="8"/>
      <c r="S14" s="8"/>
      <c r="T14" s="8"/>
      <c r="U14" s="8"/>
    </row>
    <row r="15" spans="1:21" ht="22.5" x14ac:dyDescent="0.3">
      <c r="B15" s="333" t="s">
        <v>171</v>
      </c>
      <c r="C15" s="334">
        <f>IF(AND($B$7="Direct (FTEs)",$B$10="Reference Costs"),'Productivity (2)'!E13, IF(AND($B$7=" Direct (FTEs) ",$B$10="TFR"),'Productivity (2)'!E23, IF(AND($B$7="Indirect (Expenditure)",$B$10="TFR"),'Productivity (2)'!E43,'Productivity (2)'!E33)))</f>
        <v>3.6553041824910038E-2</v>
      </c>
      <c r="D15" s="335">
        <f>IF(AND($B$7="Direct (FTEs)",$B$10="Reference Costs"),'Productivity (2)'!G13, IF(AND($B$7=" Direct (FTEs) ",$B$10="TFR"),'Productivity (2)'!G23, IF(AND($B$7="Indirect (Expenditure)",$B$10="TFR"),'Productivity (2)'!G43,'Productivity (2)'!G33)))</f>
        <v>1.103904906581495</v>
      </c>
      <c r="E15" s="334">
        <f>IF(AND($B$7="Direct (FTEs)",$B$10="Reference Costs"),'Productivity (2)'!H13, IF(AND($B$7=" Direct (FTEs) ",$B$10="TFR"),'Productivity (2)'!H23, IF(AND($B$7="Indirect (Expenditure)",$B$10="TFR"),'Productivity (2)'!H43,'Productivity (2)'!H33)))</f>
        <v>4.776650738328303E-2</v>
      </c>
      <c r="F15" s="335">
        <f>IF(AND($B$7="Direct (FTEs)",$B$10="Reference Costs"),'Productivity (2)'!J13, IF(AND($B$7=" Direct (FTEs) ",$B$10="TFR"),'Productivity (2)'!J23, IF(AND($B$7="Indirect (Expenditure)",$B$10="TFR"),'Productivity (2)'!J43,'Productivity (2)'!J33)))</f>
        <v>1.0668349252542095</v>
      </c>
      <c r="G15" s="335">
        <f>IF(AND($B$7="Direct (FTEs)",$B$10="Reference Costs"),'Productivity (2)'!L13, IF(AND($B$7=" Direct (FTEs) ",$B$10="TFR"),'Productivity (2)'!L23, IF(AND($B$7="Indirect (Expenditure)",$B$10="TFR"),'Productivity (2)'!L43,'Productivity (2)'!L33)))</f>
        <v>1.034747626319463</v>
      </c>
      <c r="H15" s="334">
        <f>IF(AND($B$7="Direct (FTEs)",$B$10="Reference Costs"),'Productivity (2)'!M13, IF(AND($B$7=" Direct (FTEs) ",$B$10="TFR"),'Productivity (2)'!M23, IF(AND($B$7="Indirect (Expenditure)",$B$10="TFR"),'Productivity (2)'!M43,'Productivity (2)'!M33)))</f>
        <v>-1.0702256160466606E-2</v>
      </c>
      <c r="I15" s="68"/>
      <c r="R15" s="8"/>
      <c r="S15" s="8"/>
      <c r="T15" s="8"/>
      <c r="U15" s="8"/>
    </row>
    <row r="16" spans="1:21" ht="22.5" x14ac:dyDescent="0.3">
      <c r="B16" s="333" t="s">
        <v>172</v>
      </c>
      <c r="C16" s="334">
        <f>IF(AND($B$7="Direct (FTEs)",$B$10="Reference Costs"),'Productivity (2)'!E14, IF(AND($B$7=" Direct (FTEs) ",$B$10="TFR"),'Productivity (2)'!E24, IF(AND($B$7="Indirect (Expenditure)",$B$10="TFR"),'Productivity (2)'!E44,'Productivity (2)'!E34)))</f>
        <v>5.7329999999999999E-2</v>
      </c>
      <c r="D16" s="335">
        <f>IF(AND($B$7="Direct (FTEs)",$B$10="Reference Costs"),'Productivity (2)'!G14, IF(AND($B$7=" Direct (FTEs) ",$B$10="TFR"),'Productivity (2)'!G24, IF(AND($B$7="Indirect (Expenditure)",$B$10="TFR"),'Productivity (2)'!G44,'Productivity (2)'!G34)))</f>
        <v>1.1671917748758123</v>
      </c>
      <c r="E16" s="334">
        <f>IF(AND($B$7="Direct (FTEs)",$B$10="Reference Costs"),'Productivity (2)'!H14, IF(AND($B$7=" Direct (FTEs) ",$B$10="TFR"),'Productivity (2)'!H24, IF(AND($B$7="Indirect (Expenditure)",$B$10="TFR"),'Productivity (2)'!H44,'Productivity (2)'!H34)))</f>
        <v>4.4075164272427553E-2</v>
      </c>
      <c r="F16" s="335">
        <f>IF(AND($B$7="Direct (FTEs)",$B$10="Reference Costs"),'Productivity (2)'!J14, IF(AND($B$7=" Direct (FTEs) ",$B$10="TFR"),'Productivity (2)'!J24, IF(AND($B$7="Indirect (Expenditure)",$B$10="TFR"),'Productivity (2)'!J44,'Productivity (2)'!J34)))</f>
        <v>1.1138558498363518</v>
      </c>
      <c r="G16" s="335">
        <f>IF(AND($B$7="Direct (FTEs)",$B$10="Reference Costs"),'Productivity (2)'!L14, IF(AND($B$7=" Direct (FTEs) ",$B$10="TFR"),'Productivity (2)'!L24, IF(AND($B$7="Indirect (Expenditure)",$B$10="TFR"),'Productivity (2)'!L44,'Productivity (2)'!L34)))</f>
        <v>1.0478840462590349</v>
      </c>
      <c r="H16" s="334">
        <f>IF(AND($B$7="Direct (FTEs)",$B$10="Reference Costs"),'Productivity (2)'!M14, IF(AND($B$7=" Direct (FTEs) ",$B$10="TFR"),'Productivity (2)'!M24, IF(AND($B$7="Indirect (Expenditure)",$B$10="TFR"),'Productivity (2)'!M44,'Productivity (2)'!M34)))</f>
        <v>1.2695288788723724E-2</v>
      </c>
      <c r="I16" s="68"/>
      <c r="R16" s="8"/>
      <c r="S16" s="8"/>
      <c r="T16" s="8"/>
      <c r="U16" s="8"/>
    </row>
    <row r="17" spans="1:21" ht="22.5" x14ac:dyDescent="0.3">
      <c r="A17" s="6"/>
      <c r="B17" s="333" t="s">
        <v>173</v>
      </c>
      <c r="C17" s="334">
        <f>IF(AND($B$7="Direct (FTEs)",$B$10="Reference Costs"),'Productivity (2)'!E15, IF(AND($B$7=" Direct (FTEs) ",$B$10="TFR"),'Productivity (2)'!E25, IF(AND($B$7="Indirect (Expenditure)",$B$10="TFR"),'Productivity (2)'!E45,'Productivity (2)'!E35)))</f>
        <v>4.1099999999999998E-2</v>
      </c>
      <c r="D17" s="335">
        <f>IF(AND($B$7="Direct (FTEs)",$B$10="Reference Costs"),'Productivity (2)'!G15, IF(AND($B$7=" Direct (FTEs) ",$B$10="TFR"),'Productivity (2)'!G25, IF(AND($B$7="Indirect (Expenditure)",$B$10="TFR"),'Productivity (2)'!G45,'Productivity (2)'!G35)))</f>
        <v>1.2151633568232081</v>
      </c>
      <c r="E17" s="334">
        <f>IF(AND($B$7="Direct (FTEs)",$B$10="Reference Costs"),'Productivity (2)'!H15, IF(AND($B$7=" Direct (FTEs) ",$B$10="TFR"),'Productivity (2)'!H25, IF(AND($B$7="Indirect (Expenditure)",$B$10="TFR"),'Productivity (2)'!H45,'Productivity (2)'!H35)))</f>
        <v>6.5737232662948189E-2</v>
      </c>
      <c r="F17" s="335">
        <f>IF(AND($B$7="Direct (FTEs)",$B$10="Reference Costs"),'Productivity (2)'!J15, IF(AND($B$7=" Direct (FTEs) ",$B$10="TFR"),'Productivity (2)'!J25, IF(AND($B$7="Indirect (Expenditure)",$B$10="TFR"),'Productivity (2)'!J45,'Productivity (2)'!J35)))</f>
        <v>1.1870776509900298</v>
      </c>
      <c r="G17" s="335">
        <f>IF(AND($B$7="Direct (FTEs)",$B$10="Reference Costs"),'Productivity (2)'!L15, IF(AND($B$7=" Direct (FTEs) ",$B$10="TFR"),'Productivity (2)'!L25, IF(AND($B$7="Indirect (Expenditure)",$B$10="TFR"),'Productivity (2)'!L45,'Productivity (2)'!L35)))</f>
        <v>1.0236595355070113</v>
      </c>
      <c r="H17" s="334">
        <f>IF(AND($B$7="Direct (FTEs)",$B$10="Reference Costs"),'Productivity (2)'!M15, IF(AND($B$7=" Direct (FTEs) ",$B$10="TFR"),'Productivity (2)'!M25, IF(AND($B$7="Indirect (Expenditure)",$B$10="TFR"),'Productivity (2)'!M45,'Productivity (2)'!M35)))</f>
        <v>-2.3117548967851453E-2</v>
      </c>
      <c r="I17" s="68"/>
      <c r="R17" s="8"/>
      <c r="S17" s="8"/>
      <c r="T17" s="8"/>
      <c r="U17" s="8"/>
    </row>
    <row r="18" spans="1:21" ht="22.5" x14ac:dyDescent="0.3">
      <c r="A18" s="5"/>
      <c r="B18" s="323" t="s">
        <v>174</v>
      </c>
      <c r="C18" s="334">
        <f>IF(AND($B$7="Direct (FTEs)",$B$10="Reference Costs"),'Productivity (2)'!E16, IF(AND($B$7=" Direct (FTEs) ",$B$10="TFR"),'Productivity (2)'!E26, IF(AND($B$7="Indirect (Expenditure)",$B$10="TFR"),'Productivity (2)'!E46,'Productivity (2)'!E36)))</f>
        <v>4.5699999999999998E-2</v>
      </c>
      <c r="D18" s="335">
        <f>IF(AND($B$7="Direct (FTEs)",$B$10="Reference Costs"),'Productivity (2)'!G16, IF(AND($B$7=" Direct (FTEs) ",$B$10="TFR"),'Productivity (2)'!G26, IF(AND($B$7="Indirect (Expenditure)",$B$10="TFR"),'Productivity (2)'!G46,'Productivity (2)'!G36)))</f>
        <v>1.2706963222300287</v>
      </c>
      <c r="E18" s="334">
        <f>IF(AND($B$7="Direct (FTEs)",$B$10="Reference Costs"),'Productivity (2)'!H16, IF(AND($B$7=" Direct (FTEs) ",$B$10="TFR"),'Productivity (2)'!H26, IF(AND($B$7="Indirect (Expenditure)",$B$10="TFR"),'Productivity (2)'!H46,'Productivity (2)'!H36)))</f>
        <v>1.3244999986511734E-2</v>
      </c>
      <c r="F18" s="335">
        <f>IF(AND($B$7="Direct (FTEs)",$B$10="Reference Costs"),'Productivity (2)'!J16, IF(AND($B$7=" Direct (FTEs) ",$B$10="TFR"),'Productivity (2)'!J26, IF(AND($B$7="Indirect (Expenditure)",$B$10="TFR"),'Productivity (2)'!J46,'Productivity (2)'!J36)))</f>
        <v>1.202800494461381</v>
      </c>
      <c r="G18" s="335">
        <f>IF(AND($B$7="Direct (FTEs)",$B$10="Reference Costs"),'Productivity (2)'!L16, IF(AND($B$7=" Direct (FTEs) ",$B$10="TFR"),'Productivity (2)'!L26, IF(AND($B$7="Indirect (Expenditure)",$B$10="TFR"),'Productivity (2)'!L46,'Productivity (2)'!L36)))</f>
        <v>1.0564481209321848</v>
      </c>
      <c r="H18" s="334">
        <f>IF(AND($B$7="Direct (FTEs)",$B$10="Reference Costs"),'Productivity (2)'!M16, IF(AND($B$7=" Direct (FTEs) ",$B$10="TFR"),'Productivity (2)'!M26, IF(AND($B$7="Indirect (Expenditure)",$B$10="TFR"),'Productivity (2)'!M46,'Productivity (2)'!M36)))</f>
        <v>3.2099999999999997E-2</v>
      </c>
      <c r="I18" s="68"/>
      <c r="R18" s="8"/>
      <c r="S18" s="8"/>
      <c r="T18" s="8"/>
      <c r="U18" s="8"/>
    </row>
    <row r="19" spans="1:21" ht="22.5" x14ac:dyDescent="0.3">
      <c r="A19" s="5"/>
      <c r="B19" s="315"/>
      <c r="C19" s="315"/>
      <c r="D19" s="315"/>
      <c r="E19" s="315"/>
      <c r="F19" s="335"/>
      <c r="G19" s="315"/>
      <c r="H19" s="315"/>
      <c r="I19" s="68"/>
      <c r="R19" s="8"/>
      <c r="S19" s="8"/>
      <c r="T19" s="8"/>
      <c r="U19" s="8"/>
    </row>
    <row r="20" spans="1:21" x14ac:dyDescent="0.25">
      <c r="A20" s="5"/>
      <c r="B20" s="281"/>
      <c r="C20" s="281"/>
      <c r="D20" s="281"/>
      <c r="E20" s="281"/>
      <c r="F20" s="281"/>
      <c r="G20" s="281"/>
      <c r="H20" s="281"/>
      <c r="R20" s="8"/>
      <c r="S20" s="8"/>
      <c r="T20" s="8"/>
      <c r="U20" s="8"/>
    </row>
    <row r="21" spans="1:21" x14ac:dyDescent="0.25">
      <c r="A21" s="5"/>
      <c r="B21" s="281"/>
      <c r="C21" s="281"/>
      <c r="D21" s="281"/>
      <c r="E21" s="281"/>
      <c r="F21" s="281"/>
      <c r="G21" s="281"/>
      <c r="H21" s="281"/>
      <c r="R21" s="8"/>
      <c r="S21" s="8"/>
      <c r="T21" s="8"/>
      <c r="U21" s="8"/>
    </row>
    <row r="22" spans="1:21" x14ac:dyDescent="0.25">
      <c r="A22" s="5"/>
      <c r="B22" s="281"/>
      <c r="C22" s="281"/>
      <c r="D22" s="281"/>
      <c r="E22" s="281"/>
      <c r="F22" s="281"/>
      <c r="G22" s="281"/>
      <c r="H22" s="281"/>
      <c r="R22" s="8"/>
      <c r="S22" s="8"/>
      <c r="T22" s="8"/>
      <c r="U22" s="8"/>
    </row>
    <row r="23" spans="1:21" x14ac:dyDescent="0.25">
      <c r="A23" s="5"/>
      <c r="B23" s="281"/>
      <c r="C23" s="281"/>
      <c r="D23" s="281"/>
      <c r="E23" s="281"/>
      <c r="F23" s="281"/>
      <c r="G23" s="281"/>
      <c r="H23" s="281"/>
      <c r="R23" s="8"/>
      <c r="S23" s="8"/>
      <c r="T23" s="8"/>
      <c r="U23" s="8"/>
    </row>
    <row r="24" spans="1:21" x14ac:dyDescent="0.25">
      <c r="A24" s="5"/>
      <c r="B24" s="281"/>
      <c r="C24" s="281"/>
      <c r="D24" s="281"/>
      <c r="E24" s="281"/>
      <c r="F24" s="281"/>
      <c r="G24" s="281"/>
      <c r="H24" s="281"/>
    </row>
    <row r="25" spans="1:21" x14ac:dyDescent="0.25">
      <c r="A25" s="5"/>
      <c r="B25" s="281"/>
      <c r="C25" s="281"/>
      <c r="D25" s="281"/>
      <c r="E25" s="281"/>
      <c r="F25" s="281"/>
      <c r="G25" s="281"/>
      <c r="H25" s="281"/>
    </row>
    <row r="26" spans="1:21" x14ac:dyDescent="0.25">
      <c r="B26" s="281"/>
      <c r="C26" s="281"/>
      <c r="D26" s="281"/>
      <c r="E26" s="281"/>
      <c r="F26" s="281"/>
      <c r="G26" s="281"/>
      <c r="H26" s="281"/>
    </row>
    <row r="27" spans="1:21" x14ac:dyDescent="0.25">
      <c r="B27" s="281"/>
      <c r="C27" s="281"/>
      <c r="D27" s="281"/>
      <c r="E27" s="281"/>
      <c r="F27" s="281"/>
      <c r="G27" s="281"/>
      <c r="H27" s="281"/>
    </row>
    <row r="28" spans="1:21" x14ac:dyDescent="0.25">
      <c r="B28" s="281"/>
      <c r="C28" s="281"/>
      <c r="D28" s="281"/>
      <c r="E28" s="281"/>
      <c r="F28" s="281"/>
      <c r="G28" s="281"/>
      <c r="H28" s="281"/>
    </row>
    <row r="29" spans="1:21" x14ac:dyDescent="0.25">
      <c r="B29" s="281"/>
      <c r="C29" s="281"/>
      <c r="D29" s="281"/>
      <c r="E29" s="281"/>
      <c r="F29" s="281"/>
      <c r="G29" s="281"/>
      <c r="H29" s="281"/>
    </row>
    <row r="30" spans="1:21" x14ac:dyDescent="0.25">
      <c r="B30" s="281"/>
      <c r="C30" s="281"/>
      <c r="D30" s="281"/>
      <c r="E30" s="281"/>
      <c r="F30" s="281"/>
      <c r="G30" s="281"/>
      <c r="H30" s="281"/>
    </row>
    <row r="31" spans="1:21" x14ac:dyDescent="0.25">
      <c r="B31" s="281"/>
      <c r="C31" s="281"/>
      <c r="D31" s="281"/>
      <c r="E31" s="281"/>
      <c r="F31" s="281"/>
      <c r="G31" s="281"/>
      <c r="H31" s="281"/>
    </row>
    <row r="32" spans="1:21" x14ac:dyDescent="0.25">
      <c r="B32" s="281"/>
      <c r="C32" s="281"/>
      <c r="D32" s="281"/>
      <c r="E32" s="281"/>
      <c r="F32" s="281"/>
      <c r="G32" s="281"/>
      <c r="H32" s="281"/>
    </row>
    <row r="33" spans="2:8" x14ac:dyDescent="0.25">
      <c r="B33" s="281"/>
      <c r="C33" s="281"/>
      <c r="D33" s="281"/>
      <c r="E33" s="281"/>
      <c r="F33" s="281"/>
      <c r="G33" s="281"/>
      <c r="H33" s="281"/>
    </row>
    <row r="34" spans="2:8" x14ac:dyDescent="0.25">
      <c r="B34" s="281"/>
      <c r="C34" s="281"/>
      <c r="D34" s="281"/>
      <c r="E34" s="281"/>
      <c r="F34" s="281"/>
      <c r="G34" s="281"/>
      <c r="H34" s="281"/>
    </row>
    <row r="35" spans="2:8" x14ac:dyDescent="0.25">
      <c r="B35" s="281"/>
      <c r="C35" s="281"/>
      <c r="D35" s="281"/>
      <c r="E35" s="281"/>
      <c r="F35" s="281"/>
      <c r="G35" s="281"/>
      <c r="H35" s="281"/>
    </row>
    <row r="36" spans="2:8" x14ac:dyDescent="0.25">
      <c r="B36" s="281"/>
      <c r="C36" s="281"/>
      <c r="D36" s="281"/>
      <c r="E36" s="281"/>
      <c r="F36" s="281"/>
      <c r="G36" s="281"/>
      <c r="H36" s="281"/>
    </row>
    <row r="37" spans="2:8" x14ac:dyDescent="0.25">
      <c r="B37" s="281"/>
      <c r="C37" s="281"/>
      <c r="D37" s="281"/>
      <c r="E37" s="281"/>
      <c r="F37" s="281"/>
      <c r="G37" s="281"/>
      <c r="H37" s="281"/>
    </row>
    <row r="38" spans="2:8" x14ac:dyDescent="0.25">
      <c r="B38" s="281"/>
      <c r="C38" s="281"/>
      <c r="D38" s="281"/>
      <c r="E38" s="281"/>
      <c r="F38" s="281"/>
      <c r="G38" s="281"/>
      <c r="H38" s="281"/>
    </row>
    <row r="39" spans="2:8" x14ac:dyDescent="0.25">
      <c r="B39" s="281"/>
      <c r="C39" s="281"/>
      <c r="D39" s="281"/>
      <c r="E39" s="281"/>
      <c r="F39" s="281"/>
      <c r="G39" s="281"/>
      <c r="H39" s="281"/>
    </row>
    <row r="40" spans="2:8" x14ac:dyDescent="0.25">
      <c r="B40" s="281"/>
      <c r="C40" s="281"/>
      <c r="D40" s="281"/>
      <c r="E40" s="281"/>
      <c r="F40" s="281"/>
      <c r="G40" s="281"/>
      <c r="H40" s="281"/>
    </row>
    <row r="41" spans="2:8" x14ac:dyDescent="0.25">
      <c r="B41" s="281"/>
      <c r="C41" s="281"/>
      <c r="D41" s="281"/>
      <c r="E41" s="281"/>
      <c r="F41" s="281"/>
      <c r="G41" s="281"/>
      <c r="H41" s="281"/>
    </row>
    <row r="42" spans="2:8" x14ac:dyDescent="0.25">
      <c r="B42" s="281"/>
      <c r="C42" s="281"/>
      <c r="D42" s="281"/>
      <c r="E42" s="281"/>
      <c r="F42" s="281"/>
      <c r="G42" s="281"/>
      <c r="H42" s="281"/>
    </row>
    <row r="43" spans="2:8" x14ac:dyDescent="0.25">
      <c r="B43" s="281"/>
      <c r="C43" s="281"/>
      <c r="D43" s="281"/>
      <c r="E43" s="281"/>
      <c r="F43" s="281"/>
      <c r="G43" s="281"/>
      <c r="H43" s="281"/>
    </row>
    <row r="44" spans="2:8" x14ac:dyDescent="0.25">
      <c r="B44" s="281"/>
      <c r="C44" s="281"/>
      <c r="D44" s="281"/>
      <c r="E44" s="281"/>
      <c r="F44" s="281"/>
      <c r="G44" s="281"/>
      <c r="H44" s="281"/>
    </row>
    <row r="45" spans="2:8" x14ac:dyDescent="0.25">
      <c r="B45" s="281"/>
      <c r="C45" s="281"/>
      <c r="D45" s="281"/>
      <c r="E45" s="281"/>
      <c r="F45" s="281"/>
      <c r="G45" s="281"/>
      <c r="H45" s="281"/>
    </row>
    <row r="46" spans="2:8" x14ac:dyDescent="0.25">
      <c r="B46" s="281"/>
      <c r="C46" s="281"/>
      <c r="D46" s="281"/>
      <c r="E46" s="281"/>
      <c r="F46" s="281"/>
      <c r="G46" s="281"/>
      <c r="H46" s="281"/>
    </row>
    <row r="47" spans="2:8" x14ac:dyDescent="0.25">
      <c r="B47" s="281"/>
      <c r="C47" s="281"/>
      <c r="D47" s="281"/>
      <c r="E47" s="281"/>
      <c r="F47" s="281"/>
      <c r="G47" s="281"/>
      <c r="H47" s="281"/>
    </row>
    <row r="48" spans="2:8" x14ac:dyDescent="0.25">
      <c r="B48" s="281"/>
      <c r="C48" s="281"/>
      <c r="D48" s="281"/>
      <c r="E48" s="281"/>
      <c r="F48" s="281"/>
      <c r="G48" s="281"/>
      <c r="H48" s="281"/>
    </row>
    <row r="49" spans="2:8" x14ac:dyDescent="0.25">
      <c r="B49" s="281"/>
      <c r="C49" s="281"/>
      <c r="D49" s="281"/>
      <c r="E49" s="281"/>
      <c r="F49" s="281"/>
      <c r="G49" s="281"/>
      <c r="H49" s="281"/>
    </row>
    <row r="50" spans="2:8" x14ac:dyDescent="0.25">
      <c r="B50" s="281"/>
      <c r="C50" s="281"/>
      <c r="D50" s="281"/>
      <c r="E50" s="281"/>
      <c r="F50" s="281"/>
      <c r="G50" s="281"/>
      <c r="H50" s="281"/>
    </row>
    <row r="51" spans="2:8" x14ac:dyDescent="0.25">
      <c r="B51" s="281"/>
      <c r="C51" s="281"/>
      <c r="D51" s="281"/>
      <c r="E51" s="281"/>
      <c r="F51" s="281"/>
      <c r="G51" s="281"/>
      <c r="H51" s="281"/>
    </row>
    <row r="52" spans="2:8" x14ac:dyDescent="0.25">
      <c r="B52" s="281"/>
      <c r="C52" s="281"/>
      <c r="D52" s="281"/>
      <c r="E52" s="281"/>
      <c r="F52" s="281"/>
      <c r="G52" s="281"/>
      <c r="H52" s="281"/>
    </row>
    <row r="53" spans="2:8" ht="23.25" customHeight="1" x14ac:dyDescent="0.25">
      <c r="B53" s="281"/>
      <c r="C53" s="281"/>
      <c r="D53" s="281"/>
      <c r="E53" s="281"/>
      <c r="F53" s="281"/>
      <c r="G53" s="281"/>
      <c r="H53" s="281"/>
    </row>
    <row r="54" spans="2:8" x14ac:dyDescent="0.25">
      <c r="B54" s="281"/>
      <c r="C54" s="281"/>
      <c r="D54" s="281"/>
      <c r="E54" s="281"/>
      <c r="F54" s="281"/>
      <c r="G54" s="281"/>
      <c r="H54" s="281"/>
    </row>
    <row r="55" spans="2:8" x14ac:dyDescent="0.25">
      <c r="B55" s="281"/>
      <c r="C55" s="281"/>
      <c r="D55" s="281"/>
      <c r="E55" s="281"/>
      <c r="F55" s="281"/>
      <c r="G55" s="281"/>
      <c r="H55" s="281"/>
    </row>
    <row r="56" spans="2:8" x14ac:dyDescent="0.25">
      <c r="B56" s="281"/>
      <c r="C56" s="281"/>
      <c r="D56" s="281"/>
      <c r="E56" s="281"/>
      <c r="F56" s="281"/>
      <c r="G56" s="281"/>
      <c r="H56" s="281"/>
    </row>
    <row r="57" spans="2:8" x14ac:dyDescent="0.25">
      <c r="B57" s="281"/>
      <c r="C57" s="281"/>
      <c r="D57" s="281"/>
      <c r="E57" s="281"/>
      <c r="F57" s="281"/>
      <c r="G57" s="281"/>
      <c r="H57" s="281"/>
    </row>
    <row r="58" spans="2:8" x14ac:dyDescent="0.25">
      <c r="B58" s="281"/>
      <c r="C58" s="281"/>
      <c r="D58" s="281"/>
      <c r="E58" s="281"/>
      <c r="F58" s="281"/>
      <c r="G58" s="281"/>
      <c r="H58" s="281"/>
    </row>
    <row r="59" spans="2:8" x14ac:dyDescent="0.25">
      <c r="B59" s="281"/>
      <c r="C59" s="281"/>
      <c r="D59" s="281"/>
      <c r="E59" s="281"/>
      <c r="F59" s="281"/>
      <c r="G59" s="281"/>
      <c r="H59" s="281"/>
    </row>
    <row r="60" spans="2:8" ht="23.25" customHeight="1" x14ac:dyDescent="0.25">
      <c r="B60" s="281"/>
      <c r="C60" s="281"/>
      <c r="D60" s="281"/>
      <c r="E60" s="281"/>
      <c r="F60" s="281"/>
      <c r="G60" s="281"/>
      <c r="H60" s="281"/>
    </row>
    <row r="61" spans="2:8" x14ac:dyDescent="0.25">
      <c r="B61" s="281"/>
      <c r="C61" s="281"/>
      <c r="D61" s="281"/>
      <c r="E61" s="281"/>
      <c r="F61" s="281"/>
      <c r="G61" s="281"/>
      <c r="H61" s="281"/>
    </row>
    <row r="62" spans="2:8" x14ac:dyDescent="0.25">
      <c r="B62" s="281"/>
      <c r="C62" s="281"/>
      <c r="D62" s="281"/>
      <c r="E62" s="281"/>
      <c r="F62" s="281"/>
      <c r="G62" s="281"/>
      <c r="H62" s="281"/>
    </row>
    <row r="63" spans="2:8" x14ac:dyDescent="0.25">
      <c r="B63" s="281"/>
      <c r="C63" s="281"/>
      <c r="D63" s="281"/>
      <c r="E63" s="281"/>
      <c r="F63" s="281"/>
      <c r="G63" s="281"/>
      <c r="H63" s="281"/>
    </row>
    <row r="64" spans="2:8" x14ac:dyDescent="0.25">
      <c r="B64" s="281"/>
      <c r="C64" s="281"/>
      <c r="D64" s="281"/>
      <c r="E64" s="281"/>
      <c r="F64" s="281"/>
      <c r="G64" s="281"/>
      <c r="H64" s="281"/>
    </row>
    <row r="65" spans="2:8" x14ac:dyDescent="0.25">
      <c r="B65" s="281"/>
      <c r="C65" s="281"/>
      <c r="D65" s="281"/>
      <c r="E65" s="281"/>
      <c r="F65" s="281"/>
      <c r="G65" s="281"/>
      <c r="H65" s="281"/>
    </row>
    <row r="66" spans="2:8" x14ac:dyDescent="0.25">
      <c r="B66" s="281"/>
      <c r="C66" s="281"/>
      <c r="D66" s="281"/>
      <c r="E66" s="281"/>
      <c r="F66" s="281"/>
      <c r="G66" s="281"/>
      <c r="H66" s="281"/>
    </row>
    <row r="67" spans="2:8" ht="23.25" customHeight="1" x14ac:dyDescent="0.25">
      <c r="B67" s="281"/>
      <c r="C67" s="281"/>
      <c r="D67" s="281"/>
      <c r="E67" s="281"/>
      <c r="F67" s="281"/>
      <c r="G67" s="281"/>
      <c r="H67" s="281"/>
    </row>
    <row r="68" spans="2:8" x14ac:dyDescent="0.25">
      <c r="B68" s="281"/>
      <c r="C68" s="281"/>
      <c r="D68" s="281"/>
      <c r="E68" s="281"/>
      <c r="F68" s="281"/>
      <c r="G68" s="281"/>
      <c r="H68" s="281"/>
    </row>
    <row r="69" spans="2:8" x14ac:dyDescent="0.25">
      <c r="B69" s="281"/>
      <c r="C69" s="281"/>
      <c r="D69" s="281"/>
      <c r="E69" s="281"/>
      <c r="F69" s="281"/>
      <c r="G69" s="281"/>
      <c r="H69" s="281"/>
    </row>
    <row r="70" spans="2:8" x14ac:dyDescent="0.25">
      <c r="B70" s="281"/>
      <c r="C70" s="281"/>
      <c r="D70" s="281"/>
      <c r="E70" s="281"/>
      <c r="F70" s="281"/>
      <c r="G70" s="281"/>
      <c r="H70" s="281"/>
    </row>
    <row r="71" spans="2:8" x14ac:dyDescent="0.25">
      <c r="B71" s="281"/>
      <c r="C71" s="281"/>
      <c r="D71" s="281"/>
      <c r="E71" s="281"/>
      <c r="F71" s="281"/>
      <c r="G71" s="281"/>
      <c r="H71" s="281"/>
    </row>
    <row r="72" spans="2:8" x14ac:dyDescent="0.25">
      <c r="B72" s="281"/>
      <c r="C72" s="281"/>
      <c r="D72" s="281"/>
      <c r="E72" s="281"/>
      <c r="F72" s="281"/>
      <c r="G72" s="281"/>
      <c r="H72" s="281"/>
    </row>
    <row r="73" spans="2:8" x14ac:dyDescent="0.25">
      <c r="B73" s="281"/>
      <c r="C73" s="281"/>
      <c r="D73" s="281"/>
      <c r="E73" s="281"/>
      <c r="F73" s="281"/>
      <c r="G73" s="281"/>
      <c r="H73" s="281"/>
    </row>
    <row r="74" spans="2:8" ht="23.25" customHeight="1" x14ac:dyDescent="0.25">
      <c r="B74" s="281"/>
      <c r="C74" s="281"/>
      <c r="D74" s="281"/>
      <c r="E74" s="281"/>
      <c r="F74" s="281"/>
      <c r="G74" s="281"/>
      <c r="H74" s="281"/>
    </row>
    <row r="75" spans="2:8" x14ac:dyDescent="0.25">
      <c r="B75" s="281"/>
      <c r="C75" s="281"/>
      <c r="D75" s="281"/>
      <c r="E75" s="281"/>
      <c r="F75" s="281"/>
      <c r="G75" s="281"/>
      <c r="H75" s="281"/>
    </row>
    <row r="76" spans="2:8" x14ac:dyDescent="0.25">
      <c r="B76" s="281"/>
      <c r="C76" s="281"/>
      <c r="D76" s="281"/>
      <c r="E76" s="281"/>
      <c r="F76" s="281"/>
      <c r="G76" s="281"/>
      <c r="H76" s="281"/>
    </row>
    <row r="77" spans="2:8" x14ac:dyDescent="0.25">
      <c r="B77" s="281"/>
      <c r="C77" s="281"/>
      <c r="D77" s="281"/>
      <c r="E77" s="281"/>
      <c r="F77" s="281"/>
      <c r="G77" s="281"/>
      <c r="H77" s="281"/>
    </row>
    <row r="78" spans="2:8" x14ac:dyDescent="0.25">
      <c r="B78" s="281"/>
      <c r="C78" s="281"/>
      <c r="D78" s="281"/>
      <c r="E78" s="281"/>
      <c r="F78" s="281"/>
      <c r="G78" s="281"/>
      <c r="H78" s="281"/>
    </row>
    <row r="81" ht="23.25" customHeight="1" x14ac:dyDescent="0.25"/>
    <row r="89" ht="23.25" customHeight="1" x14ac:dyDescent="0.25"/>
  </sheetData>
  <customSheetViews>
    <customSheetView guid="{9EA95E61-FCA5-4867-AEB4-B8C24058ACDD}" showGridLines="0" showRowCol="0">
      <selection activeCell="G28" sqref="G28"/>
      <pageMargins left="0.7" right="0.7" top="0.75" bottom="0.75" header="0.3" footer="0.3"/>
      <pageSetup paperSize="9" orientation="portrait" r:id="rId1"/>
    </customSheetView>
  </customSheetViews>
  <mergeCells count="1">
    <mergeCell ref="A1:B1"/>
  </mergeCells>
  <dataValidations count="2">
    <dataValidation type="list" allowBlank="1" showInputMessage="1" showErrorMessage="1" sqref="B10">
      <formula1>source_inter</formula1>
    </dataValidation>
    <dataValidation type="list" allowBlank="1" showInputMessage="1" showErrorMessage="1" sqref="B7">
      <formula1>source_labour</formula1>
    </dataValidation>
  </dataValidation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4:K67"/>
  <sheetViews>
    <sheetView showGridLines="0" showRowColHeaders="0" zoomScale="60" zoomScaleNormal="60" workbookViewId="0">
      <selection activeCell="D5" sqref="D5:F10"/>
    </sheetView>
  </sheetViews>
  <sheetFormatPr defaultRowHeight="15" x14ac:dyDescent="0.25"/>
  <cols>
    <col min="4" max="4" width="37.7109375" customWidth="1"/>
    <col min="5" max="10" width="24.85546875" customWidth="1"/>
    <col min="11" max="11" width="24.85546875" bestFit="1" customWidth="1"/>
  </cols>
  <sheetData>
    <row r="4" spans="2:11" ht="59.25" x14ac:dyDescent="0.75">
      <c r="D4" s="4" t="s">
        <v>241</v>
      </c>
    </row>
    <row r="5" spans="2:11" ht="59.25" x14ac:dyDescent="0.75">
      <c r="D5" s="4"/>
    </row>
    <row r="6" spans="2:11" ht="22.5" x14ac:dyDescent="0.3">
      <c r="D6" s="12" t="s">
        <v>240</v>
      </c>
    </row>
    <row r="7" spans="2:11" ht="22.5" x14ac:dyDescent="0.3">
      <c r="D7" s="11"/>
      <c r="E7" s="11"/>
    </row>
    <row r="8" spans="2:11" ht="22.5" x14ac:dyDescent="0.3">
      <c r="D8" s="12" t="s">
        <v>228</v>
      </c>
      <c r="E8" s="11"/>
    </row>
    <row r="9" spans="2:11" ht="23.25" x14ac:dyDescent="0.35">
      <c r="C9" s="10"/>
      <c r="D9" s="11" t="s">
        <v>229</v>
      </c>
      <c r="E9" s="11"/>
    </row>
    <row r="10" spans="2:11" ht="23.25" x14ac:dyDescent="0.35">
      <c r="B10" s="5"/>
      <c r="C10" s="20"/>
      <c r="D10" s="226" t="s">
        <v>2</v>
      </c>
      <c r="E10" s="11"/>
      <c r="G10" s="5"/>
      <c r="H10" s="5"/>
      <c r="I10" s="5"/>
      <c r="J10" s="5"/>
      <c r="K10" s="5"/>
    </row>
    <row r="11" spans="2:11" ht="23.25" x14ac:dyDescent="0.35">
      <c r="B11" s="5"/>
      <c r="C11" s="20"/>
      <c r="D11" s="68"/>
      <c r="E11" s="210" t="s">
        <v>196</v>
      </c>
      <c r="F11" s="210" t="s">
        <v>197</v>
      </c>
      <c r="G11" s="210" t="s">
        <v>198</v>
      </c>
      <c r="H11" s="210" t="s">
        <v>199</v>
      </c>
      <c r="I11" s="211" t="s">
        <v>200</v>
      </c>
      <c r="J11" s="211" t="s">
        <v>6</v>
      </c>
      <c r="K11" s="211" t="s">
        <v>7</v>
      </c>
    </row>
    <row r="12" spans="2:11" ht="23.25" x14ac:dyDescent="0.35">
      <c r="B12" s="5"/>
      <c r="C12" s="20"/>
      <c r="D12" s="68"/>
      <c r="E12" s="68"/>
      <c r="F12" s="68"/>
      <c r="G12" s="68"/>
      <c r="H12" s="68"/>
      <c r="I12" s="68"/>
      <c r="J12" s="68"/>
      <c r="K12" s="68"/>
    </row>
    <row r="13" spans="2:11" ht="23.25" x14ac:dyDescent="0.35">
      <c r="B13" s="5"/>
      <c r="C13" s="20"/>
      <c r="D13" s="207" t="s">
        <v>219</v>
      </c>
      <c r="E13" s="208">
        <f>'[1]L spend'!F52</f>
        <v>66054</v>
      </c>
      <c r="F13" s="208">
        <f>'[1]L spend'!G52</f>
        <v>92667.776519999999</v>
      </c>
      <c r="G13" s="208">
        <f>'[1]L spend'!H52</f>
        <v>113276.61309</v>
      </c>
      <c r="H13" s="208">
        <f>'[1]L spend'!I52</f>
        <v>101122</v>
      </c>
      <c r="I13" s="208">
        <f>'[1]L spend'!J52</f>
        <v>0</v>
      </c>
      <c r="J13" s="208">
        <f>'[1]L spend'!K52</f>
        <v>0</v>
      </c>
      <c r="K13" s="208">
        <f>'[1]L spend'!L52</f>
        <v>0</v>
      </c>
    </row>
    <row r="14" spans="2:11" ht="23.25" x14ac:dyDescent="0.35">
      <c r="B14" s="5"/>
      <c r="C14" s="20"/>
      <c r="D14" s="207" t="s">
        <v>220</v>
      </c>
      <c r="E14" s="208">
        <f>'[1]L spend'!F90</f>
        <v>0</v>
      </c>
      <c r="F14" s="208">
        <f>'[1]L spend'!G90</f>
        <v>0</v>
      </c>
      <c r="G14" s="208">
        <f>'[1]L spend'!H90</f>
        <v>0</v>
      </c>
      <c r="H14" s="208">
        <f>'[1]L spend'!I90</f>
        <v>0</v>
      </c>
      <c r="I14" s="208">
        <f>'[1]L spend'!J90</f>
        <v>0</v>
      </c>
      <c r="J14" s="208">
        <f>'[1]L spend'!K90</f>
        <v>0</v>
      </c>
      <c r="K14" s="208">
        <f>'[1]L spend'!L90</f>
        <v>0</v>
      </c>
    </row>
    <row r="15" spans="2:11" ht="22.5" x14ac:dyDescent="0.3">
      <c r="B15" s="5"/>
      <c r="C15" s="5"/>
      <c r="D15" s="207" t="s">
        <v>221</v>
      </c>
      <c r="E15" s="208">
        <f>'[1]M spend'!E34</f>
        <v>0</v>
      </c>
      <c r="F15" s="208">
        <f>'[1]M spend'!F34</f>
        <v>0</v>
      </c>
      <c r="G15" s="208">
        <f>'[1]M spend'!G34</f>
        <v>0</v>
      </c>
      <c r="H15" s="208">
        <f>'[1]M spend'!H34</f>
        <v>0</v>
      </c>
      <c r="I15" s="208">
        <f>'[1]M spend'!I34</f>
        <v>0</v>
      </c>
      <c r="J15" s="208">
        <f>'[1]M spend'!J34</f>
        <v>0</v>
      </c>
      <c r="K15" s="208">
        <f>'[1]M spend'!K34</f>
        <v>0</v>
      </c>
    </row>
    <row r="16" spans="2:11" ht="22.5" x14ac:dyDescent="0.3">
      <c r="B16" s="5"/>
      <c r="C16" s="5"/>
      <c r="D16" s="207" t="s">
        <v>47</v>
      </c>
      <c r="E16" s="208">
        <f>'[1]K spend'!F60</f>
        <v>0</v>
      </c>
      <c r="F16" s="208">
        <f>'[1]K spend'!G60</f>
        <v>0</v>
      </c>
      <c r="G16" s="208">
        <f>'[1]K spend'!H60</f>
        <v>0</v>
      </c>
      <c r="H16" s="208">
        <f>'[1]K spend'!I60</f>
        <v>0</v>
      </c>
      <c r="I16" s="208">
        <f>'[1]K spend'!J60</f>
        <v>0</v>
      </c>
      <c r="J16" s="208">
        <f>'[1]K spend'!K60</f>
        <v>0</v>
      </c>
      <c r="K16" s="208">
        <f>'[1]K spend'!L60</f>
        <v>0</v>
      </c>
    </row>
    <row r="17" spans="1:11" ht="22.5" x14ac:dyDescent="0.3">
      <c r="B17" s="5"/>
      <c r="C17" s="5"/>
      <c r="D17" s="207" t="s">
        <v>140</v>
      </c>
      <c r="E17" s="208">
        <v>8094174.9440000001</v>
      </c>
      <c r="F17" s="208">
        <v>8013483.2259999998</v>
      </c>
      <c r="G17" s="208">
        <v>8250323.8930000002</v>
      </c>
      <c r="H17" s="208">
        <v>8303500.9179999996</v>
      </c>
      <c r="I17" s="208">
        <v>8376264.432</v>
      </c>
      <c r="J17" s="208">
        <v>8621421.1300000008</v>
      </c>
      <c r="K17" s="208">
        <v>8880735.3440000005</v>
      </c>
    </row>
    <row r="18" spans="1:11" ht="22.5" x14ac:dyDescent="0.3">
      <c r="B18" s="5"/>
      <c r="C18" s="5"/>
      <c r="D18" s="207" t="s">
        <v>222</v>
      </c>
      <c r="E18" s="208">
        <v>9569836</v>
      </c>
      <c r="F18" s="208">
        <v>11162141</v>
      </c>
      <c r="G18" s="208">
        <v>11209422</v>
      </c>
      <c r="H18" s="208">
        <v>11697639</v>
      </c>
      <c r="I18" s="208">
        <v>12074672</v>
      </c>
      <c r="J18" s="208">
        <v>12683418</v>
      </c>
      <c r="K18" s="208">
        <v>12962081</v>
      </c>
    </row>
    <row r="19" spans="1:11" ht="22.5" x14ac:dyDescent="0.3">
      <c r="B19" s="5"/>
      <c r="C19" s="5"/>
      <c r="D19" s="207" t="s">
        <v>223</v>
      </c>
      <c r="E19" s="208">
        <v>278000</v>
      </c>
      <c r="F19" s="208">
        <v>262000</v>
      </c>
      <c r="G19" s="208">
        <v>229000</v>
      </c>
      <c r="H19" s="208">
        <v>226000</v>
      </c>
      <c r="I19" s="208">
        <v>242958</v>
      </c>
      <c r="J19" s="208">
        <v>241608</v>
      </c>
      <c r="K19" s="208">
        <v>212245</v>
      </c>
    </row>
    <row r="20" spans="1:11" ht="22.5" x14ac:dyDescent="0.3">
      <c r="B20" s="5"/>
      <c r="C20" s="5"/>
      <c r="D20" s="207" t="s">
        <v>224</v>
      </c>
      <c r="E20" s="209">
        <f>SUM(E13:E19)</f>
        <v>18008064.943999998</v>
      </c>
      <c r="F20" s="209">
        <f t="shared" ref="F20:K20" si="0">SUM(F13:F19)</f>
        <v>19530292.002519999</v>
      </c>
      <c r="G20" s="209">
        <f t="shared" si="0"/>
        <v>19802022.50609</v>
      </c>
      <c r="H20" s="209">
        <f t="shared" si="0"/>
        <v>20328261.917999998</v>
      </c>
      <c r="I20" s="209">
        <f t="shared" si="0"/>
        <v>20693894.432</v>
      </c>
      <c r="J20" s="209">
        <f t="shared" si="0"/>
        <v>21546447.130000003</v>
      </c>
      <c r="K20" s="209">
        <f t="shared" si="0"/>
        <v>22055061.344000001</v>
      </c>
    </row>
    <row r="21" spans="1:11" ht="15.75" x14ac:dyDescent="0.25">
      <c r="B21" s="5"/>
      <c r="C21" s="5"/>
      <c r="D21" s="201"/>
      <c r="E21" s="201"/>
      <c r="F21" s="201"/>
      <c r="G21" s="201"/>
      <c r="H21" s="201"/>
      <c r="I21" s="201"/>
      <c r="J21" s="201"/>
      <c r="K21" s="201"/>
    </row>
    <row r="22" spans="1:11" ht="15.75" x14ac:dyDescent="0.25">
      <c r="B22" s="5"/>
      <c r="C22" s="5"/>
      <c r="D22" s="201"/>
      <c r="E22" s="201"/>
      <c r="F22" s="201"/>
      <c r="G22" s="201"/>
      <c r="H22" s="201"/>
      <c r="I22" s="201"/>
      <c r="J22" s="201"/>
      <c r="K22" s="201"/>
    </row>
    <row r="23" spans="1:11" ht="15.75" x14ac:dyDescent="0.25">
      <c r="B23" s="5"/>
      <c r="C23" s="5"/>
      <c r="D23" s="201"/>
      <c r="E23" s="196"/>
      <c r="F23" s="196"/>
      <c r="G23" s="196"/>
      <c r="H23" s="196"/>
      <c r="I23" s="196"/>
      <c r="J23" s="196"/>
      <c r="K23" s="196"/>
    </row>
    <row r="24" spans="1:11" ht="15.75" x14ac:dyDescent="0.25">
      <c r="B24" s="5"/>
      <c r="C24" s="5"/>
      <c r="D24" s="201"/>
      <c r="E24" s="196"/>
      <c r="F24" s="196"/>
      <c r="G24" s="196"/>
      <c r="H24" s="196"/>
      <c r="I24" s="196"/>
      <c r="J24" s="196"/>
      <c r="K24" s="196"/>
    </row>
    <row r="25" spans="1:11" ht="15.75" x14ac:dyDescent="0.25">
      <c r="B25" s="5"/>
      <c r="C25" s="5"/>
      <c r="D25" s="201"/>
      <c r="E25" s="196"/>
      <c r="F25" s="196"/>
      <c r="G25" s="196"/>
      <c r="H25" s="196"/>
      <c r="I25" s="196"/>
      <c r="J25" s="196"/>
      <c r="K25" s="196"/>
    </row>
    <row r="26" spans="1:11" ht="15.75" x14ac:dyDescent="0.25">
      <c r="A26" s="5"/>
      <c r="B26" s="5"/>
      <c r="C26" s="5"/>
      <c r="D26" s="201"/>
      <c r="E26" s="196"/>
      <c r="F26" s="196"/>
      <c r="G26" s="196"/>
      <c r="H26" s="196"/>
      <c r="I26" s="196"/>
      <c r="J26" s="196"/>
      <c r="K26" s="196"/>
    </row>
    <row r="27" spans="1:11" ht="15.75" x14ac:dyDescent="0.25">
      <c r="A27" s="5"/>
      <c r="B27" s="5"/>
      <c r="C27" s="5"/>
      <c r="D27" s="201"/>
      <c r="E27" s="196"/>
      <c r="F27" s="196"/>
      <c r="G27" s="196"/>
      <c r="H27" s="196"/>
      <c r="I27" s="196"/>
      <c r="J27" s="196"/>
      <c r="K27" s="196"/>
    </row>
    <row r="28" spans="1:11" ht="15.75" x14ac:dyDescent="0.25">
      <c r="B28" s="5"/>
      <c r="C28" s="5"/>
      <c r="D28" s="201"/>
      <c r="E28" s="196"/>
      <c r="F28" s="196"/>
      <c r="G28" s="196"/>
      <c r="H28" s="196"/>
      <c r="I28" s="196"/>
      <c r="J28" s="196"/>
      <c r="K28" s="196"/>
    </row>
    <row r="29" spans="1:11" ht="15.75" x14ac:dyDescent="0.25">
      <c r="B29" s="5"/>
      <c r="C29" s="5"/>
      <c r="D29" s="201"/>
      <c r="E29" s="196"/>
      <c r="F29" s="196"/>
      <c r="G29" s="196"/>
      <c r="H29" s="196"/>
      <c r="I29" s="196"/>
      <c r="J29" s="196"/>
      <c r="K29" s="196"/>
    </row>
    <row r="30" spans="1:11" ht="15.75" x14ac:dyDescent="0.25">
      <c r="B30" s="5"/>
      <c r="C30" s="5"/>
      <c r="D30" s="206"/>
      <c r="E30" s="199"/>
      <c r="F30" s="199"/>
      <c r="G30" s="199"/>
      <c r="H30" s="199"/>
      <c r="I30" s="199"/>
      <c r="J30" s="199"/>
      <c r="K30" s="199"/>
    </row>
    <row r="34" spans="1:3" x14ac:dyDescent="0.25">
      <c r="A34" s="5"/>
      <c r="B34" s="5"/>
      <c r="C34" s="5"/>
    </row>
    <row r="55" spans="4:5" x14ac:dyDescent="0.25">
      <c r="D55" s="154">
        <v>72444.2</v>
      </c>
      <c r="E55" s="154">
        <v>71817.399999999994</v>
      </c>
    </row>
    <row r="56" spans="4:5" x14ac:dyDescent="0.25">
      <c r="D56" s="154">
        <v>5654.2</v>
      </c>
      <c r="E56" s="154">
        <v>5812.9</v>
      </c>
    </row>
    <row r="57" spans="4:5" x14ac:dyDescent="0.25">
      <c r="D57" s="154">
        <v>5329.7</v>
      </c>
      <c r="E57" s="154">
        <v>5467.7</v>
      </c>
    </row>
    <row r="58" spans="4:5" x14ac:dyDescent="0.25">
      <c r="D58">
        <v>157.80000000000001</v>
      </c>
      <c r="E58">
        <v>159</v>
      </c>
    </row>
    <row r="59" spans="4:5" x14ac:dyDescent="0.25">
      <c r="D59">
        <v>74.7</v>
      </c>
      <c r="E59">
        <v>78.099999999999994</v>
      </c>
    </row>
    <row r="60" spans="4:5" x14ac:dyDescent="0.25">
      <c r="D60">
        <v>92</v>
      </c>
      <c r="E60">
        <v>108.2</v>
      </c>
    </row>
    <row r="61" spans="4:5" x14ac:dyDescent="0.25">
      <c r="D61" s="154">
        <v>1428.6</v>
      </c>
      <c r="E61" s="154">
        <v>1458.2</v>
      </c>
    </row>
    <row r="62" spans="4:5" x14ac:dyDescent="0.25">
      <c r="D62" s="154">
        <v>15502.1</v>
      </c>
      <c r="E62" s="154">
        <v>15229.5</v>
      </c>
    </row>
    <row r="63" spans="4:5" x14ac:dyDescent="0.25">
      <c r="D63" s="154">
        <v>3568.8</v>
      </c>
      <c r="E63" s="154">
        <v>3474.6</v>
      </c>
    </row>
    <row r="64" spans="4:5" x14ac:dyDescent="0.25">
      <c r="D64" s="154">
        <v>6480.2</v>
      </c>
      <c r="E64" s="154">
        <v>6236.1</v>
      </c>
    </row>
    <row r="65" spans="4:5" x14ac:dyDescent="0.25">
      <c r="D65" s="154">
        <v>28168.400000000001</v>
      </c>
      <c r="E65" s="154">
        <v>27998.799999999999</v>
      </c>
    </row>
    <row r="66" spans="4:5" x14ac:dyDescent="0.25">
      <c r="D66" s="154">
        <v>11483.2</v>
      </c>
      <c r="E66" s="154">
        <v>11450.3</v>
      </c>
    </row>
    <row r="67" spans="4:5" x14ac:dyDescent="0.25">
      <c r="D67">
        <v>144.6</v>
      </c>
      <c r="E67">
        <v>143.80000000000001</v>
      </c>
    </row>
  </sheetData>
  <customSheetViews>
    <customSheetView guid="{9EA95E61-FCA5-4867-AEB4-B8C24058ACDD}" scale="60" showGridLines="0" showRowCol="0" state="hidden">
      <selection activeCell="D5" sqref="D5:F10"/>
      <pageMargins left="0.7" right="0.7" top="0.75" bottom="0.75" header="0.3" footer="0.3"/>
      <pageSetup paperSize="9" orientation="portrait" r:id="rId1"/>
    </customSheetView>
  </customSheetViews>
  <dataValidations count="1">
    <dataValidation type="list" allowBlank="1" showInputMessage="1" showErrorMessage="1" sqref="D10">
      <formula1>view</formula1>
    </dataValidation>
  </dataValidations>
  <pageMargins left="0.7" right="0.7" top="0.75" bottom="0.75" header="0.3" footer="0.3"/>
  <pageSetup paperSize="9" orientation="portrait" r:id="rId2"/>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30"/>
  <sheetViews>
    <sheetView showGridLines="0" showRowColHeaders="0" topLeftCell="B1" zoomScaleNormal="100" workbookViewId="0">
      <selection activeCell="B27" sqref="B27"/>
    </sheetView>
  </sheetViews>
  <sheetFormatPr defaultRowHeight="15" x14ac:dyDescent="0.25"/>
  <cols>
    <col min="2" max="2" width="150.7109375" customWidth="1"/>
  </cols>
  <sheetData>
    <row r="1" spans="1:6" x14ac:dyDescent="0.25">
      <c r="A1" s="657"/>
      <c r="B1" s="657"/>
    </row>
    <row r="4" spans="1:6" ht="34.5" x14ac:dyDescent="0.45">
      <c r="B4" s="270" t="s">
        <v>349</v>
      </c>
    </row>
    <row r="5" spans="1:6" ht="34.5" x14ac:dyDescent="0.45">
      <c r="B5" s="270"/>
    </row>
    <row r="6" spans="1:6" ht="23.25" x14ac:dyDescent="0.35">
      <c r="A6" s="10"/>
      <c r="B6" s="341" t="s">
        <v>347</v>
      </c>
      <c r="C6" s="11"/>
      <c r="D6" s="11"/>
      <c r="E6" s="10"/>
      <c r="F6" s="10"/>
    </row>
    <row r="7" spans="1:6" ht="23.25" x14ac:dyDescent="0.35">
      <c r="A7" s="10"/>
      <c r="B7" s="341" t="s">
        <v>340</v>
      </c>
      <c r="C7" s="11"/>
      <c r="D7" s="11"/>
      <c r="E7" s="10"/>
      <c r="F7" s="10"/>
    </row>
    <row r="8" spans="1:6" ht="32.25" x14ac:dyDescent="0.4">
      <c r="A8" s="10"/>
      <c r="B8" s="341" t="s">
        <v>341</v>
      </c>
      <c r="C8" s="1"/>
      <c r="D8" s="1"/>
    </row>
    <row r="9" spans="1:6" ht="32.25" x14ac:dyDescent="0.4">
      <c r="B9" s="341" t="s">
        <v>339</v>
      </c>
      <c r="C9" s="1"/>
      <c r="D9" s="1"/>
    </row>
    <row r="10" spans="1:6" ht="23.25" x14ac:dyDescent="0.35">
      <c r="A10" s="10"/>
      <c r="B10" s="341" t="s">
        <v>342</v>
      </c>
      <c r="C10" s="272"/>
      <c r="D10" s="11"/>
      <c r="E10" s="11"/>
    </row>
    <row r="11" spans="1:6" ht="23.25" x14ac:dyDescent="0.35">
      <c r="A11" s="10"/>
      <c r="B11" s="341" t="s">
        <v>344</v>
      </c>
      <c r="C11" s="11"/>
      <c r="D11" s="11"/>
    </row>
    <row r="12" spans="1:6" ht="23.25" x14ac:dyDescent="0.35">
      <c r="A12" s="10"/>
      <c r="B12" s="341" t="s">
        <v>343</v>
      </c>
      <c r="C12" s="11"/>
      <c r="D12" s="11"/>
    </row>
    <row r="13" spans="1:6" ht="32.25" x14ac:dyDescent="0.4">
      <c r="A13" s="10"/>
      <c r="B13" s="341" t="s">
        <v>345</v>
      </c>
      <c r="C13" s="1"/>
      <c r="D13" s="1"/>
    </row>
    <row r="14" spans="1:6" ht="32.25" x14ac:dyDescent="0.4">
      <c r="B14" s="342" t="s">
        <v>346</v>
      </c>
      <c r="C14" s="1"/>
      <c r="D14" s="1"/>
    </row>
    <row r="15" spans="1:6" ht="18" customHeight="1" x14ac:dyDescent="0.4">
      <c r="B15" s="8"/>
      <c r="C15" s="8"/>
      <c r="D15" s="1"/>
      <c r="E15" s="1"/>
    </row>
    <row r="16" spans="1:6" ht="18" customHeight="1" x14ac:dyDescent="0.4">
      <c r="B16" s="1"/>
      <c r="C16" s="8"/>
      <c r="D16" s="1"/>
      <c r="E16" s="1"/>
    </row>
    <row r="17" spans="2:5" ht="18" customHeight="1" x14ac:dyDescent="0.4">
      <c r="B17" s="8"/>
      <c r="C17" s="1"/>
      <c r="D17" s="1"/>
      <c r="E17" s="1"/>
    </row>
    <row r="18" spans="2:5" ht="32.25" x14ac:dyDescent="0.4">
      <c r="C18" s="1"/>
      <c r="D18" s="1"/>
      <c r="E18" s="1"/>
    </row>
    <row r="30" spans="2:5" ht="44.25" x14ac:dyDescent="0.55000000000000004">
      <c r="B30" s="3"/>
    </row>
  </sheetData>
  <customSheetViews>
    <customSheetView guid="{9EA95E61-FCA5-4867-AEB4-B8C24058ACDD}" showGridLines="0" showRowCol="0">
      <selection activeCell="B20" sqref="B20"/>
      <pageMargins left="0.7" right="0.7" top="0.75" bottom="0.75" header="0.3" footer="0.3"/>
      <pageSetup paperSize="9" orientation="portrait" r:id="rId1"/>
    </customSheetView>
  </customSheetViews>
  <mergeCells count="1">
    <mergeCell ref="A1:B1"/>
  </mergeCells>
  <hyperlinks>
    <hyperlink ref="B6" r:id="rId2"/>
    <hyperlink ref="B7" r:id="rId3"/>
    <hyperlink ref="B8" r:id="rId4"/>
    <hyperlink ref="B9" r:id="rId5"/>
    <hyperlink ref="B10" r:id="rId6"/>
    <hyperlink ref="B12" r:id="rId7"/>
    <hyperlink ref="B13" r:id="rId8"/>
    <hyperlink ref="B14" r:id="rId9"/>
    <hyperlink ref="B11" r:id="rId10"/>
  </hyperlinks>
  <pageMargins left="0.7" right="0.7" top="0.75" bottom="0.75" header="0.3" footer="0.3"/>
  <pageSetup paperSize="9" orientation="portrait" r:id="rId11"/>
  <drawing r:id="rId1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dimension ref="A1:U93"/>
  <sheetViews>
    <sheetView showRowColHeaders="0" topLeftCell="A7" zoomScaleNormal="100" workbookViewId="0">
      <selection activeCell="C29" sqref="C29"/>
    </sheetView>
  </sheetViews>
  <sheetFormatPr defaultRowHeight="15" x14ac:dyDescent="0.25"/>
  <cols>
    <col min="2" max="2" width="18" customWidth="1"/>
    <col min="3" max="9" width="12" customWidth="1"/>
    <col min="10" max="10" width="28.28515625" customWidth="1"/>
    <col min="11" max="11" width="32.7109375" customWidth="1"/>
    <col min="12" max="12" width="16.28515625" customWidth="1"/>
    <col min="13" max="13" width="26.28515625" bestFit="1" customWidth="1"/>
    <col min="14" max="14" width="16.28515625" bestFit="1" customWidth="1"/>
    <col min="15" max="15" width="22.5703125" bestFit="1" customWidth="1"/>
    <col min="16" max="16" width="21.28515625" bestFit="1" customWidth="1"/>
    <col min="17" max="17" width="22.28515625" bestFit="1" customWidth="1"/>
  </cols>
  <sheetData>
    <row r="1" spans="1:21" x14ac:dyDescent="0.25">
      <c r="A1" s="657" t="s">
        <v>337</v>
      </c>
      <c r="B1" s="657"/>
    </row>
    <row r="4" spans="1:21" ht="30" x14ac:dyDescent="0.4">
      <c r="B4" s="2" t="s">
        <v>389</v>
      </c>
    </row>
    <row r="5" spans="1:21" x14ac:dyDescent="0.25">
      <c r="B5" s="279"/>
      <c r="C5" s="281"/>
      <c r="D5" s="281"/>
      <c r="E5" s="281"/>
      <c r="F5" s="281"/>
      <c r="G5" s="281"/>
      <c r="H5" s="281"/>
    </row>
    <row r="6" spans="1:21" x14ac:dyDescent="0.25">
      <c r="B6" s="326" t="s">
        <v>393</v>
      </c>
      <c r="C6" s="326"/>
      <c r="D6" s="326"/>
      <c r="E6" s="281"/>
      <c r="F6" s="281"/>
      <c r="G6" s="281"/>
      <c r="H6" s="281"/>
      <c r="R6" s="8"/>
      <c r="S6" s="8"/>
      <c r="T6" s="8"/>
      <c r="U6" s="8"/>
    </row>
    <row r="7" spans="1:21" x14ac:dyDescent="0.25">
      <c r="B7" s="326"/>
      <c r="C7" s="326"/>
      <c r="D7" s="326">
        <v>1</v>
      </c>
      <c r="E7" s="281"/>
      <c r="F7" s="281"/>
      <c r="G7" s="281"/>
      <c r="H7" s="281"/>
      <c r="R7" s="8"/>
      <c r="S7" s="8"/>
      <c r="T7" s="8"/>
      <c r="U7" s="8"/>
    </row>
    <row r="8" spans="1:21" x14ac:dyDescent="0.25">
      <c r="B8" s="326"/>
      <c r="C8" s="326"/>
      <c r="D8" s="326"/>
      <c r="E8" s="281"/>
      <c r="F8" s="281"/>
      <c r="G8" s="281"/>
      <c r="H8" s="281"/>
      <c r="R8" s="8"/>
      <c r="S8" s="8"/>
      <c r="T8" s="8"/>
      <c r="U8" s="8"/>
    </row>
    <row r="9" spans="1:21" x14ac:dyDescent="0.25">
      <c r="B9" s="326"/>
      <c r="C9" s="326"/>
      <c r="D9" s="326"/>
      <c r="E9" s="281"/>
      <c r="F9" s="281"/>
      <c r="G9" s="281"/>
      <c r="H9" s="281"/>
      <c r="R9" s="8"/>
      <c r="S9" s="8"/>
      <c r="T9" s="8"/>
      <c r="U9" s="8"/>
    </row>
    <row r="10" spans="1:21" x14ac:dyDescent="0.25">
      <c r="B10" s="326"/>
      <c r="C10" s="326"/>
      <c r="D10" s="326"/>
      <c r="E10" s="281"/>
      <c r="F10" s="281"/>
      <c r="G10" s="281"/>
      <c r="H10" s="281"/>
      <c r="R10" s="8"/>
      <c r="S10" s="8"/>
      <c r="T10" s="8"/>
      <c r="U10" s="8"/>
    </row>
    <row r="11" spans="1:21" x14ac:dyDescent="0.25">
      <c r="B11" s="326"/>
      <c r="C11" s="326"/>
      <c r="D11" s="326"/>
      <c r="E11" s="281"/>
      <c r="F11" s="281"/>
      <c r="G11" s="281"/>
      <c r="H11" s="281"/>
      <c r="R11" s="8"/>
      <c r="S11" s="8"/>
      <c r="T11" s="8"/>
      <c r="U11" s="8"/>
    </row>
    <row r="12" spans="1:21" x14ac:dyDescent="0.25">
      <c r="B12" s="326" t="s">
        <v>310</v>
      </c>
      <c r="C12" s="326">
        <v>11981995</v>
      </c>
      <c r="D12" s="326">
        <v>14214691</v>
      </c>
      <c r="E12" s="281">
        <v>15833718</v>
      </c>
      <c r="F12" s="281">
        <v>18565596</v>
      </c>
      <c r="G12" s="281">
        <v>20184852</v>
      </c>
      <c r="H12" s="281">
        <v>22017445</v>
      </c>
      <c r="I12">
        <v>23931309</v>
      </c>
      <c r="R12" s="8"/>
      <c r="S12" s="8"/>
      <c r="T12" s="8"/>
      <c r="U12" s="8"/>
    </row>
    <row r="13" spans="1:21" x14ac:dyDescent="0.25">
      <c r="B13" s="279"/>
      <c r="C13" s="279"/>
      <c r="D13" s="279"/>
      <c r="E13" s="279"/>
      <c r="F13" s="279"/>
      <c r="G13" s="279"/>
      <c r="H13" s="279"/>
      <c r="I13" s="8"/>
      <c r="R13" s="8"/>
      <c r="S13" s="8"/>
      <c r="T13" s="8"/>
      <c r="U13" s="8"/>
    </row>
    <row r="14" spans="1:21" x14ac:dyDescent="0.25">
      <c r="B14" s="279"/>
      <c r="C14" s="279"/>
      <c r="D14" s="279"/>
      <c r="E14" s="279"/>
      <c r="F14" s="279"/>
      <c r="G14" s="279"/>
      <c r="H14" s="279"/>
      <c r="I14" s="8"/>
      <c r="J14">
        <v>3</v>
      </c>
      <c r="R14" s="8"/>
      <c r="S14" s="8"/>
      <c r="T14" s="8"/>
      <c r="U14" s="8"/>
    </row>
    <row r="15" spans="1:21" x14ac:dyDescent="0.25">
      <c r="B15" s="279"/>
      <c r="C15" s="279"/>
      <c r="D15" s="279"/>
      <c r="E15" s="279"/>
      <c r="F15" s="279"/>
      <c r="G15" s="279"/>
      <c r="H15" s="279"/>
      <c r="I15" s="8"/>
      <c r="R15" s="8"/>
      <c r="S15" s="8"/>
      <c r="T15" s="8"/>
      <c r="U15" s="8"/>
    </row>
    <row r="16" spans="1:21" x14ac:dyDescent="0.25">
      <c r="B16" s="279" t="s">
        <v>218</v>
      </c>
      <c r="C16" s="279" t="s">
        <v>196</v>
      </c>
      <c r="D16" s="279" t="s">
        <v>197</v>
      </c>
      <c r="E16" s="279" t="s">
        <v>198</v>
      </c>
      <c r="F16" s="279" t="s">
        <v>199</v>
      </c>
      <c r="G16" s="279" t="s">
        <v>200</v>
      </c>
      <c r="H16" s="279" t="s">
        <v>6</v>
      </c>
      <c r="I16" s="8" t="s">
        <v>7</v>
      </c>
      <c r="R16" s="8"/>
      <c r="S16" s="8"/>
      <c r="T16" s="8"/>
      <c r="U16" s="8"/>
    </row>
    <row r="17" spans="1:21" x14ac:dyDescent="0.25">
      <c r="B17" s="279" t="s">
        <v>219</v>
      </c>
      <c r="C17" s="279">
        <v>31334252.480110005</v>
      </c>
      <c r="D17" s="279">
        <v>33926746.314999998</v>
      </c>
      <c r="E17" s="279">
        <v>35177509.125</v>
      </c>
      <c r="F17" s="279">
        <v>36539983.701629996</v>
      </c>
      <c r="G17" s="279">
        <v>39213453.649081036</v>
      </c>
      <c r="H17" s="279">
        <v>42145100.102129996</v>
      </c>
      <c r="I17" s="8">
        <v>43513839</v>
      </c>
      <c r="J17">
        <f>C17/C27</f>
        <v>0.82000890608516352</v>
      </c>
      <c r="K17">
        <f t="shared" ref="K17:O24" si="0">D17/D27</f>
        <v>0.85854933495649211</v>
      </c>
      <c r="L17">
        <f t="shared" si="0"/>
        <v>0.89374985851557864</v>
      </c>
      <c r="M17">
        <f t="shared" si="0"/>
        <v>0.92446405985302782</v>
      </c>
      <c r="N17">
        <f t="shared" si="0"/>
        <v>0.9517686714348732</v>
      </c>
      <c r="O17">
        <f t="shared" si="0"/>
        <v>0.97093136095156707</v>
      </c>
      <c r="P17">
        <f t="shared" ref="P17:P24" si="1">I17/I27</f>
        <v>1</v>
      </c>
      <c r="R17" s="8"/>
      <c r="S17" s="8"/>
      <c r="T17" s="8"/>
      <c r="U17" s="8"/>
    </row>
    <row r="18" spans="1:21" x14ac:dyDescent="0.25">
      <c r="B18" s="279" t="s">
        <v>220</v>
      </c>
      <c r="C18" s="279">
        <v>1557282.4487299998</v>
      </c>
      <c r="D18" s="279">
        <v>1459935.5</v>
      </c>
      <c r="E18" s="279">
        <v>1185244</v>
      </c>
      <c r="F18" s="279">
        <v>1354520.29837</v>
      </c>
      <c r="G18" s="279">
        <v>1895451.8837600001</v>
      </c>
      <c r="H18" s="279">
        <v>2195295.3909299998</v>
      </c>
      <c r="I18" s="8">
        <v>2127889</v>
      </c>
      <c r="J18">
        <f t="shared" ref="J18:J24" si="2">C18/C28</f>
        <v>0.93301957651469847</v>
      </c>
      <c r="K18">
        <f t="shared" si="0"/>
        <v>1.0133233616058415</v>
      </c>
      <c r="L18">
        <f t="shared" si="0"/>
        <v>1.0878658630048472</v>
      </c>
      <c r="M18">
        <f t="shared" si="0"/>
        <v>1.0374918414074443</v>
      </c>
      <c r="N18">
        <f t="shared" si="0"/>
        <v>0.95301421777443041</v>
      </c>
      <c r="O18">
        <f t="shared" si="0"/>
        <v>0.92480567620738297</v>
      </c>
      <c r="P18">
        <f t="shared" si="1"/>
        <v>1</v>
      </c>
      <c r="R18" s="8"/>
      <c r="S18" s="8"/>
      <c r="T18" s="8"/>
      <c r="U18" s="8"/>
    </row>
    <row r="19" spans="1:21" x14ac:dyDescent="0.25">
      <c r="B19" s="279" t="s">
        <v>221</v>
      </c>
      <c r="C19" s="279"/>
      <c r="D19" s="279">
        <v>10271344</v>
      </c>
      <c r="E19" s="279">
        <v>11378727</v>
      </c>
      <c r="F19" s="279">
        <v>13036200</v>
      </c>
      <c r="G19" s="279">
        <v>13991803</v>
      </c>
      <c r="H19" s="279">
        <v>14911074</v>
      </c>
      <c r="I19" s="8">
        <v>16077609</v>
      </c>
      <c r="J19">
        <f t="shared" si="2"/>
        <v>0</v>
      </c>
      <c r="K19">
        <f t="shared" si="0"/>
        <v>0.96444200480787012</v>
      </c>
      <c r="L19">
        <f t="shared" si="0"/>
        <v>0.97748139463543204</v>
      </c>
      <c r="M19">
        <f t="shared" si="0"/>
        <v>0.97523316403400284</v>
      </c>
      <c r="N19">
        <f t="shared" si="0"/>
        <v>0.98948372543825691</v>
      </c>
      <c r="O19">
        <f t="shared" si="0"/>
        <v>0.96650202183661793</v>
      </c>
      <c r="P19">
        <f t="shared" si="1"/>
        <v>1.0000003109916129</v>
      </c>
      <c r="R19" s="8"/>
      <c r="S19" s="8"/>
      <c r="T19" s="8"/>
      <c r="U19" s="8"/>
    </row>
    <row r="20" spans="1:21" x14ac:dyDescent="0.25">
      <c r="B20" s="279" t="s">
        <v>47</v>
      </c>
      <c r="C20" s="279">
        <v>5115514.2809764491</v>
      </c>
      <c r="D20" s="279">
        <v>5839664.3710000003</v>
      </c>
      <c r="E20" s="279">
        <v>6568362.6799999997</v>
      </c>
      <c r="F20" s="279">
        <v>7784592.0729</v>
      </c>
      <c r="G20" s="279">
        <v>7426030.9178999998</v>
      </c>
      <c r="H20" s="279">
        <v>7635390.1285600001</v>
      </c>
      <c r="I20" s="8">
        <v>8025361</v>
      </c>
      <c r="J20">
        <f t="shared" si="2"/>
        <v>1.5463901484072269</v>
      </c>
      <c r="K20">
        <f t="shared" si="0"/>
        <v>1.631794655621241</v>
      </c>
      <c r="L20">
        <f t="shared" si="0"/>
        <v>1.56737283158855</v>
      </c>
      <c r="M20">
        <f t="shared" si="0"/>
        <v>1.8136208485534422</v>
      </c>
      <c r="N20">
        <f t="shared" si="0"/>
        <v>1.8590322953320608</v>
      </c>
      <c r="O20">
        <f t="shared" si="0"/>
        <v>1.9290880057685249</v>
      </c>
      <c r="P20">
        <f t="shared" si="1"/>
        <v>2.0612869454617</v>
      </c>
      <c r="R20" s="8"/>
      <c r="S20" s="8"/>
      <c r="T20" s="8"/>
      <c r="U20" s="8"/>
    </row>
    <row r="21" spans="1:21" x14ac:dyDescent="0.25">
      <c r="A21" s="6"/>
      <c r="B21" s="279" t="s">
        <v>140</v>
      </c>
      <c r="C21" s="279">
        <v>8094174.9440000001</v>
      </c>
      <c r="D21" s="279">
        <v>8013483.2259999998</v>
      </c>
      <c r="E21" s="279">
        <v>8250323.8930000002</v>
      </c>
      <c r="F21" s="279">
        <v>8303500.9179999996</v>
      </c>
      <c r="G21" s="279">
        <v>8376264.432</v>
      </c>
      <c r="H21" s="279">
        <v>8621421.1300000008</v>
      </c>
      <c r="I21" s="8">
        <v>8880735.3440000005</v>
      </c>
      <c r="J21">
        <f t="shared" si="2"/>
        <v>1.3646999999999989</v>
      </c>
      <c r="K21">
        <f t="shared" si="0"/>
        <v>1.2301000000000004</v>
      </c>
      <c r="L21">
        <f t="shared" si="0"/>
        <v>1.1880999999999999</v>
      </c>
      <c r="M21">
        <f t="shared" si="0"/>
        <v>1.1139000000000006</v>
      </c>
      <c r="N21">
        <f t="shared" si="0"/>
        <v>1.0566000000000002</v>
      </c>
      <c r="O21">
        <f t="shared" si="0"/>
        <v>1.0169999999999999</v>
      </c>
      <c r="P21">
        <f t="shared" si="1"/>
        <v>1</v>
      </c>
      <c r="R21" s="8"/>
      <c r="S21" s="8"/>
      <c r="T21" s="8"/>
      <c r="U21" s="8"/>
    </row>
    <row r="22" spans="1:21" x14ac:dyDescent="0.25">
      <c r="A22" s="5"/>
      <c r="B22" s="279" t="s">
        <v>222</v>
      </c>
      <c r="C22" s="279">
        <v>9569836</v>
      </c>
      <c r="D22" s="279">
        <v>11162141</v>
      </c>
      <c r="E22" s="279">
        <v>11209422</v>
      </c>
      <c r="F22" s="279">
        <v>11697639</v>
      </c>
      <c r="G22" s="279">
        <v>12074672</v>
      </c>
      <c r="H22" s="279">
        <v>12683418</v>
      </c>
      <c r="I22" s="8">
        <v>12962081</v>
      </c>
      <c r="J22">
        <f t="shared" si="2"/>
        <v>0.82000890941447302</v>
      </c>
      <c r="K22">
        <f t="shared" si="0"/>
        <v>0.85854932815695328</v>
      </c>
      <c r="L22">
        <f t="shared" si="0"/>
        <v>0.89374985061138823</v>
      </c>
      <c r="M22">
        <f t="shared" si="0"/>
        <v>0.92503109538278672</v>
      </c>
      <c r="N22">
        <f t="shared" si="0"/>
        <v>0.95278203890582247</v>
      </c>
      <c r="O22">
        <f t="shared" si="0"/>
        <v>0.96993210475266722</v>
      </c>
      <c r="P22">
        <f t="shared" si="1"/>
        <v>1</v>
      </c>
      <c r="R22" s="8"/>
      <c r="S22" s="8"/>
      <c r="T22" s="8"/>
      <c r="U22" s="8"/>
    </row>
    <row r="23" spans="1:21" x14ac:dyDescent="0.25">
      <c r="A23" s="5"/>
      <c r="B23" s="279" t="s">
        <v>392</v>
      </c>
      <c r="C23" s="279">
        <v>278000</v>
      </c>
      <c r="D23" s="279">
        <v>262000</v>
      </c>
      <c r="E23" s="279">
        <v>229000</v>
      </c>
      <c r="F23" s="279">
        <v>226000</v>
      </c>
      <c r="G23" s="279">
        <v>242958</v>
      </c>
      <c r="H23" s="279">
        <v>241608</v>
      </c>
      <c r="I23" s="8">
        <v>212245</v>
      </c>
      <c r="J23">
        <f t="shared" si="2"/>
        <v>0.83941429233346354</v>
      </c>
      <c r="K23">
        <f t="shared" si="0"/>
        <v>0.87047262114980151</v>
      </c>
      <c r="L23">
        <f t="shared" si="0"/>
        <v>0.90268010813234401</v>
      </c>
      <c r="M23">
        <f t="shared" si="0"/>
        <v>0.928857831268182</v>
      </c>
      <c r="N23">
        <f t="shared" si="0"/>
        <v>0.96508518124298448</v>
      </c>
      <c r="O23">
        <f t="shared" si="0"/>
        <v>0.97087408975569023</v>
      </c>
      <c r="P23">
        <f t="shared" si="1"/>
        <v>0.99999854884895745</v>
      </c>
      <c r="R23" s="8"/>
      <c r="S23" s="8"/>
      <c r="T23" s="8"/>
      <c r="U23" s="8"/>
    </row>
    <row r="24" spans="1:21" x14ac:dyDescent="0.25">
      <c r="A24" s="5"/>
      <c r="B24" s="279" t="s">
        <v>224</v>
      </c>
      <c r="C24" s="279">
        <v>64707050.153816454</v>
      </c>
      <c r="D24" s="279">
        <v>70935314.412</v>
      </c>
      <c r="E24" s="279">
        <v>73998588.697999999</v>
      </c>
      <c r="F24" s="279">
        <v>78942435.990899995</v>
      </c>
      <c r="G24" s="279">
        <v>83220633.882741034</v>
      </c>
      <c r="H24" s="279">
        <v>88433306.751619995</v>
      </c>
      <c r="I24" s="8">
        <v>91799759.343999997</v>
      </c>
      <c r="J24">
        <f t="shared" si="2"/>
        <v>0.92398754211427647</v>
      </c>
      <c r="K24">
        <f t="shared" si="0"/>
        <v>0.9457731236197332</v>
      </c>
      <c r="L24">
        <f t="shared" si="0"/>
        <v>0.9734049953224202</v>
      </c>
      <c r="M24">
        <f t="shared" si="0"/>
        <v>1.0013737611163214</v>
      </c>
      <c r="N24">
        <f t="shared" si="0"/>
        <v>1.0127001628735577</v>
      </c>
      <c r="O24">
        <f t="shared" si="0"/>
        <v>1.0168330812171793</v>
      </c>
      <c r="P24">
        <f t="shared" si="1"/>
        <v>1.0471323931550542</v>
      </c>
      <c r="R24" s="8"/>
      <c r="S24" s="8"/>
      <c r="T24" s="8"/>
      <c r="U24" s="8"/>
    </row>
    <row r="25" spans="1:21" x14ac:dyDescent="0.25">
      <c r="A25" s="5"/>
      <c r="B25" s="279"/>
      <c r="C25" s="279"/>
      <c r="D25" s="279"/>
      <c r="E25" s="279"/>
      <c r="F25" s="279"/>
      <c r="G25" s="279"/>
      <c r="H25" s="279"/>
      <c r="I25" s="8"/>
      <c r="R25" s="8"/>
      <c r="S25" s="8"/>
      <c r="T25" s="8"/>
      <c r="U25" s="8"/>
    </row>
    <row r="26" spans="1:21" x14ac:dyDescent="0.25">
      <c r="A26" s="5"/>
      <c r="B26" s="279" t="s">
        <v>225</v>
      </c>
      <c r="C26" s="279"/>
      <c r="D26" s="279"/>
      <c r="E26" s="279"/>
      <c r="F26" s="279"/>
      <c r="G26" s="279"/>
      <c r="H26" s="279"/>
      <c r="I26" s="8"/>
      <c r="R26" s="8"/>
      <c r="S26" s="8"/>
      <c r="T26" s="8"/>
      <c r="U26" s="8"/>
    </row>
    <row r="27" spans="1:21" x14ac:dyDescent="0.25">
      <c r="A27" s="5"/>
      <c r="B27" s="279" t="s">
        <v>219</v>
      </c>
      <c r="C27" s="279">
        <v>38212088</v>
      </c>
      <c r="D27" s="279">
        <v>39516362</v>
      </c>
      <c r="E27" s="279">
        <v>39359457</v>
      </c>
      <c r="F27" s="279">
        <v>39525586</v>
      </c>
      <c r="G27" s="279">
        <v>41200614</v>
      </c>
      <c r="H27" s="279">
        <v>43406879</v>
      </c>
      <c r="I27" s="8">
        <v>43513839</v>
      </c>
      <c r="R27" s="8"/>
      <c r="S27" s="8"/>
      <c r="T27" s="8"/>
      <c r="U27" s="8"/>
    </row>
    <row r="28" spans="1:21" x14ac:dyDescent="0.25">
      <c r="A28" s="5"/>
      <c r="B28" s="279" t="s">
        <v>220</v>
      </c>
      <c r="C28" s="279">
        <v>1669078</v>
      </c>
      <c r="D28" s="279">
        <v>1440740</v>
      </c>
      <c r="E28" s="279">
        <v>1089513</v>
      </c>
      <c r="F28" s="279">
        <v>1305572</v>
      </c>
      <c r="G28" s="279">
        <v>1988902</v>
      </c>
      <c r="H28" s="279">
        <v>2373791</v>
      </c>
      <c r="I28" s="8">
        <v>2127889</v>
      </c>
    </row>
    <row r="29" spans="1:21" x14ac:dyDescent="0.25">
      <c r="A29" s="5"/>
      <c r="B29" s="279" t="s">
        <v>221</v>
      </c>
      <c r="C29" s="279">
        <v>8908327</v>
      </c>
      <c r="D29" s="279">
        <v>10650038</v>
      </c>
      <c r="E29" s="279">
        <v>11640863</v>
      </c>
      <c r="F29" s="279">
        <v>13367264.856002657</v>
      </c>
      <c r="G29" s="279">
        <v>14140508.469508</v>
      </c>
      <c r="H29" s="279">
        <v>15427876.675999999</v>
      </c>
      <c r="I29" s="8">
        <v>16077604</v>
      </c>
    </row>
    <row r="30" spans="1:21" x14ac:dyDescent="0.25">
      <c r="B30" s="279" t="s">
        <v>47</v>
      </c>
      <c r="C30" s="279">
        <v>3308036</v>
      </c>
      <c r="D30" s="279">
        <v>3578676</v>
      </c>
      <c r="E30" s="279">
        <v>4190683</v>
      </c>
      <c r="F30" s="279">
        <v>4292293</v>
      </c>
      <c r="G30" s="279">
        <v>3994568</v>
      </c>
      <c r="H30" s="279">
        <v>3958031</v>
      </c>
      <c r="I30" s="8">
        <v>3893374</v>
      </c>
    </row>
    <row r="31" spans="1:21" x14ac:dyDescent="0.25">
      <c r="B31" s="279" t="s">
        <v>140</v>
      </c>
      <c r="C31" s="279">
        <v>5931102.0326811802</v>
      </c>
      <c r="D31" s="279">
        <v>6514497.3790748697</v>
      </c>
      <c r="E31" s="279">
        <v>6944132.5587071804</v>
      </c>
      <c r="F31" s="279">
        <v>7454440.1813448202</v>
      </c>
      <c r="G31" s="279">
        <v>7927564.2930153301</v>
      </c>
      <c r="H31" s="279">
        <v>8477306.9124877099</v>
      </c>
      <c r="I31" s="8">
        <v>8880735.3440000005</v>
      </c>
    </row>
    <row r="32" spans="1:21" x14ac:dyDescent="0.25">
      <c r="B32" s="279" t="s">
        <v>222</v>
      </c>
      <c r="C32" s="279">
        <v>11670404.906738559</v>
      </c>
      <c r="D32" s="279">
        <v>13001164.445567448</v>
      </c>
      <c r="E32" s="279">
        <v>12542012.72574419</v>
      </c>
      <c r="F32" s="279">
        <v>12645671.111368861</v>
      </c>
      <c r="G32" s="279">
        <v>12673068.453165414</v>
      </c>
      <c r="H32" s="279">
        <v>13076603.958000001</v>
      </c>
      <c r="I32" s="8">
        <v>12962081</v>
      </c>
    </row>
    <row r="33" spans="2:9" x14ac:dyDescent="0.25">
      <c r="B33" s="279" t="s">
        <v>392</v>
      </c>
      <c r="C33" s="279">
        <v>331183.30547743692</v>
      </c>
      <c r="D33" s="279">
        <v>300985.91688492848</v>
      </c>
      <c r="E33" s="279">
        <v>253688.98454382003</v>
      </c>
      <c r="F33" s="279">
        <v>243309.57052000001</v>
      </c>
      <c r="G33" s="279">
        <v>251747.7262339491</v>
      </c>
      <c r="H33" s="279">
        <v>248856.16224529999</v>
      </c>
      <c r="I33" s="8">
        <v>212245.30799999999</v>
      </c>
    </row>
    <row r="34" spans="2:9" x14ac:dyDescent="0.25">
      <c r="B34" s="281" t="s">
        <v>224</v>
      </c>
      <c r="C34" s="281">
        <v>70030219.244897187</v>
      </c>
      <c r="D34" s="281">
        <v>75002463.741527244</v>
      </c>
      <c r="E34" s="281">
        <v>76020350.268995181</v>
      </c>
      <c r="F34" s="281">
        <v>78834136.719236344</v>
      </c>
      <c r="G34" s="281">
        <v>82176972.94192268</v>
      </c>
      <c r="H34" s="281">
        <v>86969344.708733022</v>
      </c>
      <c r="I34">
        <v>87667767.651999995</v>
      </c>
    </row>
    <row r="35" spans="2:9" x14ac:dyDescent="0.25">
      <c r="B35" s="281"/>
      <c r="C35" s="281"/>
      <c r="D35" s="281"/>
      <c r="E35" s="281"/>
      <c r="F35" s="281"/>
      <c r="G35" s="281"/>
      <c r="H35" s="281"/>
    </row>
    <row r="36" spans="2:9" x14ac:dyDescent="0.25">
      <c r="B36" s="281">
        <v>352459.1206072038</v>
      </c>
      <c r="C36" s="281">
        <v>240357.88846676395</v>
      </c>
      <c r="D36" s="281">
        <v>234905.74154348543</v>
      </c>
      <c r="E36" s="281">
        <v>212915.15710517598</v>
      </c>
      <c r="F36" s="281">
        <v>216219.52596260741</v>
      </c>
      <c r="G36" s="281">
        <v>241508.47221669985</v>
      </c>
      <c r="H36" s="281">
        <v>241607.92450999998</v>
      </c>
    </row>
    <row r="37" spans="2:9" x14ac:dyDescent="0.25">
      <c r="B37" s="281"/>
      <c r="C37" s="281"/>
      <c r="D37" s="281"/>
      <c r="E37" s="281"/>
      <c r="F37" s="281"/>
      <c r="G37" s="281"/>
      <c r="H37" s="281"/>
    </row>
    <row r="57" ht="23.25" customHeight="1" x14ac:dyDescent="0.25"/>
    <row r="64" ht="23.25" customHeight="1" x14ac:dyDescent="0.25"/>
    <row r="71" ht="23.25" customHeight="1" x14ac:dyDescent="0.25"/>
    <row r="78" ht="23.25" customHeight="1" x14ac:dyDescent="0.25"/>
    <row r="85" ht="23.25" customHeight="1" x14ac:dyDescent="0.25"/>
    <row r="93" ht="23.25" customHeight="1" x14ac:dyDescent="0.25"/>
  </sheetData>
  <mergeCells count="1">
    <mergeCell ref="A1:B1"/>
  </mergeCells>
  <hyperlinks>
    <hyperlink ref="A1:B1" location="'Table of contents'!A1" display="Return to the Table of Contents"/>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Option Button 1">
              <controlPr defaultSize="0" autoFill="0" autoLine="0" autoPict="0" macro="[0]!OptionButton72_Click">
                <anchor moveWithCells="1">
                  <from>
                    <xdr:col>1</xdr:col>
                    <xdr:colOff>0</xdr:colOff>
                    <xdr:row>6</xdr:row>
                    <xdr:rowOff>0</xdr:rowOff>
                  </from>
                  <to>
                    <xdr:col>1</xdr:col>
                    <xdr:colOff>1000125</xdr:colOff>
                    <xdr:row>7</xdr:row>
                    <xdr:rowOff>19050</xdr:rowOff>
                  </to>
                </anchor>
              </controlPr>
            </control>
          </mc:Choice>
        </mc:AlternateContent>
        <mc:AlternateContent xmlns:mc="http://schemas.openxmlformats.org/markup-compatibility/2006">
          <mc:Choice Requires="x14">
            <control shapeId="34818" r:id="rId5" name="Option Button 2">
              <controlPr defaultSize="0" autoFill="0" autoLine="0" autoPict="0">
                <anchor moveWithCells="1">
                  <from>
                    <xdr:col>1</xdr:col>
                    <xdr:colOff>0</xdr:colOff>
                    <xdr:row>7</xdr:row>
                    <xdr:rowOff>19050</xdr:rowOff>
                  </from>
                  <to>
                    <xdr:col>1</xdr:col>
                    <xdr:colOff>1000125</xdr:colOff>
                    <xdr:row>8</xdr:row>
                    <xdr:rowOff>38100</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dimension ref="A1:U93"/>
  <sheetViews>
    <sheetView showRowColHeaders="0" zoomScaleNormal="100" workbookViewId="0">
      <selection activeCell="A29" sqref="A29"/>
    </sheetView>
  </sheetViews>
  <sheetFormatPr defaultRowHeight="15" x14ac:dyDescent="0.25"/>
  <cols>
    <col min="2" max="2" width="18" customWidth="1"/>
    <col min="3" max="9" width="12" customWidth="1"/>
    <col min="10" max="10" width="28.28515625" customWidth="1"/>
    <col min="11" max="11" width="32.7109375" customWidth="1"/>
    <col min="12" max="12" width="16.28515625" customWidth="1"/>
    <col min="13" max="13" width="26.28515625" bestFit="1" customWidth="1"/>
    <col min="14" max="14" width="16.28515625" bestFit="1" customWidth="1"/>
    <col min="15" max="15" width="22.5703125" bestFit="1" customWidth="1"/>
    <col min="16" max="16" width="21.28515625" bestFit="1" customWidth="1"/>
    <col min="17" max="17" width="22.28515625" bestFit="1" customWidth="1"/>
  </cols>
  <sheetData>
    <row r="1" spans="1:21" x14ac:dyDescent="0.25">
      <c r="A1" s="657" t="s">
        <v>337</v>
      </c>
      <c r="B1" s="657"/>
    </row>
    <row r="4" spans="1:21" ht="30" x14ac:dyDescent="0.4">
      <c r="B4" s="2" t="s">
        <v>389</v>
      </c>
    </row>
    <row r="5" spans="1:21" x14ac:dyDescent="0.25">
      <c r="B5" s="279"/>
      <c r="C5" s="281"/>
      <c r="D5" s="281"/>
      <c r="E5" s="281"/>
      <c r="F5" s="281"/>
      <c r="G5" s="281"/>
      <c r="H5" s="281"/>
    </row>
    <row r="6" spans="1:21" x14ac:dyDescent="0.25">
      <c r="B6" s="326" t="s">
        <v>393</v>
      </c>
      <c r="C6" s="326"/>
      <c r="D6" s="326"/>
      <c r="E6" s="281"/>
      <c r="F6" s="281"/>
      <c r="G6" s="281"/>
      <c r="H6" s="281"/>
      <c r="R6" s="8"/>
      <c r="S6" s="8"/>
      <c r="T6" s="8"/>
      <c r="U6" s="8"/>
    </row>
    <row r="7" spans="1:21" x14ac:dyDescent="0.25">
      <c r="B7" s="326"/>
      <c r="C7" s="326"/>
      <c r="D7" s="326">
        <v>1</v>
      </c>
      <c r="E7" s="281"/>
      <c r="F7" s="281"/>
      <c r="G7" s="281"/>
      <c r="H7" s="281"/>
      <c r="R7" s="8"/>
      <c r="S7" s="8"/>
      <c r="T7" s="8"/>
      <c r="U7" s="8"/>
    </row>
    <row r="8" spans="1:21" x14ac:dyDescent="0.25">
      <c r="B8" s="326"/>
      <c r="C8" s="326"/>
      <c r="D8" s="326"/>
      <c r="E8" s="281"/>
      <c r="F8" s="281"/>
      <c r="G8" s="281"/>
      <c r="H8" s="281"/>
      <c r="R8" s="8"/>
      <c r="S8" s="8"/>
      <c r="T8" s="8"/>
      <c r="U8" s="8"/>
    </row>
    <row r="9" spans="1:21" x14ac:dyDescent="0.25">
      <c r="B9" s="326"/>
      <c r="C9" s="326"/>
      <c r="D9" s="326"/>
      <c r="E9" s="281"/>
      <c r="F9" s="281"/>
      <c r="G9" s="281"/>
      <c r="H9" s="281"/>
      <c r="R9" s="8"/>
      <c r="S9" s="8"/>
      <c r="T9" s="8"/>
      <c r="U9" s="8"/>
    </row>
    <row r="10" spans="1:21" x14ac:dyDescent="0.25">
      <c r="B10" s="326" t="s">
        <v>395</v>
      </c>
      <c r="C10" s="326"/>
      <c r="D10" s="326"/>
      <c r="E10" s="281" t="s">
        <v>396</v>
      </c>
      <c r="F10" s="281"/>
      <c r="G10" s="281"/>
      <c r="H10" s="281"/>
      <c r="R10" s="8"/>
      <c r="S10" s="8"/>
      <c r="T10" s="8"/>
      <c r="U10" s="8"/>
    </row>
    <row r="11" spans="1:21" x14ac:dyDescent="0.25">
      <c r="B11" s="326"/>
      <c r="C11" s="326"/>
      <c r="D11" s="326"/>
      <c r="E11" s="281"/>
      <c r="F11" s="281"/>
      <c r="G11" s="281"/>
      <c r="H11" s="281"/>
      <c r="R11" s="8"/>
      <c r="S11" s="8"/>
      <c r="T11" s="8"/>
      <c r="U11" s="8"/>
    </row>
    <row r="12" spans="1:21" x14ac:dyDescent="0.25">
      <c r="B12" s="326"/>
      <c r="C12" s="326"/>
      <c r="D12" s="326"/>
      <c r="E12" s="281"/>
      <c r="F12" s="281"/>
      <c r="G12" s="281"/>
      <c r="H12" s="281"/>
      <c r="I12">
        <v>44</v>
      </c>
      <c r="J12">
        <f>IF(I12&lt;50, -I12/50, I12/50)</f>
        <v>-0.88</v>
      </c>
      <c r="R12" s="8"/>
      <c r="S12" s="8"/>
      <c r="T12" s="8"/>
      <c r="U12" s="8"/>
    </row>
    <row r="13" spans="1:21" x14ac:dyDescent="0.25">
      <c r="B13" s="279"/>
      <c r="C13" s="279"/>
      <c r="D13" s="279"/>
      <c r="E13" s="414">
        <v>-1</v>
      </c>
      <c r="F13" s="279"/>
      <c r="G13" s="414">
        <v>1</v>
      </c>
      <c r="H13" s="279"/>
      <c r="I13" s="8"/>
      <c r="R13" s="8"/>
      <c r="S13" s="8"/>
      <c r="T13" s="8"/>
      <c r="U13" s="8"/>
    </row>
    <row r="14" spans="1:21" x14ac:dyDescent="0.25">
      <c r="B14" s="279"/>
      <c r="C14" s="279"/>
      <c r="D14" s="279"/>
      <c r="E14" s="279"/>
      <c r="F14" s="279"/>
      <c r="G14" s="279"/>
      <c r="H14" s="279"/>
      <c r="I14" s="8"/>
      <c r="R14" s="8"/>
      <c r="S14" s="8"/>
      <c r="T14" s="8"/>
      <c r="U14" s="8"/>
    </row>
    <row r="15" spans="1:21" x14ac:dyDescent="0.25">
      <c r="B15" s="279"/>
      <c r="C15" s="279"/>
      <c r="D15" s="279"/>
      <c r="E15" s="279"/>
      <c r="F15" s="279"/>
      <c r="G15" s="279"/>
      <c r="H15" s="279"/>
      <c r="I15" s="8"/>
      <c r="R15" s="8"/>
      <c r="S15" s="8"/>
      <c r="T15" s="8"/>
      <c r="U15" s="8"/>
    </row>
    <row r="16" spans="1:21" x14ac:dyDescent="0.25">
      <c r="B16" s="279" t="s">
        <v>218</v>
      </c>
      <c r="C16" s="279" t="s">
        <v>196</v>
      </c>
      <c r="D16" s="279" t="s">
        <v>197</v>
      </c>
      <c r="E16" s="279" t="s">
        <v>198</v>
      </c>
      <c r="F16" s="279" t="s">
        <v>199</v>
      </c>
      <c r="G16" s="279" t="s">
        <v>200</v>
      </c>
      <c r="H16" s="279" t="s">
        <v>6</v>
      </c>
      <c r="I16" s="8" t="s">
        <v>7</v>
      </c>
      <c r="R16" s="8"/>
      <c r="S16" s="8"/>
      <c r="T16" s="8"/>
      <c r="U16" s="8"/>
    </row>
    <row r="17" spans="1:21" x14ac:dyDescent="0.25">
      <c r="B17" s="279" t="s">
        <v>219</v>
      </c>
      <c r="C17" s="279">
        <v>31334252.480110005</v>
      </c>
      <c r="D17" s="279">
        <v>33926746.314999998</v>
      </c>
      <c r="E17" s="279">
        <v>35177509.125</v>
      </c>
      <c r="F17" s="279">
        <v>36539983.701629996</v>
      </c>
      <c r="G17" s="279">
        <v>39213453.649081036</v>
      </c>
      <c r="H17" s="279">
        <v>42145100.102129996</v>
      </c>
      <c r="I17" s="8">
        <v>43513839</v>
      </c>
      <c r="R17" s="8"/>
      <c r="S17" s="8"/>
      <c r="T17" s="8"/>
      <c r="U17" s="8"/>
    </row>
    <row r="18" spans="1:21" x14ac:dyDescent="0.25">
      <c r="B18" s="279" t="s">
        <v>220</v>
      </c>
      <c r="C18" s="279">
        <v>1557282.4487299998</v>
      </c>
      <c r="D18" s="279">
        <v>1459935.5</v>
      </c>
      <c r="E18" s="279">
        <v>1185244</v>
      </c>
      <c r="F18" s="279">
        <v>1354520.29837</v>
      </c>
      <c r="G18" s="279">
        <v>1895451.8837600001</v>
      </c>
      <c r="H18" s="279">
        <v>2195295.3909299998</v>
      </c>
      <c r="I18" s="8">
        <v>2127889</v>
      </c>
      <c r="R18" s="8"/>
      <c r="S18" s="8"/>
      <c r="T18" s="8"/>
      <c r="U18" s="8"/>
    </row>
    <row r="19" spans="1:21" x14ac:dyDescent="0.25">
      <c r="B19" s="279" t="str">
        <f>IF($D$7=1, 'Productivity (4)'!B19, 'Productivity (4)'!B12)</f>
        <v>Intermediates (RC)</v>
      </c>
      <c r="C19" s="279">
        <f>IF($D$7=1, 'Productivity (4)'!C19, 'Productivity (4)'!C12)</f>
        <v>0</v>
      </c>
      <c r="D19" s="279">
        <f>IF($D$7=1, 'Productivity (4)'!D19, 'Productivity (4)'!D12)</f>
        <v>10271344</v>
      </c>
      <c r="E19" s="279">
        <f>IF($D$7=1, 'Productivity (4)'!E19, 'Productivity (4)'!E12)</f>
        <v>11378727</v>
      </c>
      <c r="F19" s="279">
        <f>IF($D$7=1, 'Productivity (4)'!F19, 'Productivity (4)'!F12)</f>
        <v>13036200</v>
      </c>
      <c r="G19" s="279">
        <f>IF($D$7=1, 'Productivity (4)'!G19, 'Productivity (4)'!G12)</f>
        <v>13991803</v>
      </c>
      <c r="H19" s="279">
        <f>IF($D$7=1, 'Productivity (4)'!H19, 'Productivity (4)'!H12)</f>
        <v>14911074</v>
      </c>
      <c r="I19" s="279">
        <f>IF($D$7=1, 'Productivity (4)'!I19, 'Productivity (4)'!I12)</f>
        <v>16077609</v>
      </c>
      <c r="R19" s="8"/>
      <c r="S19" s="8"/>
      <c r="T19" s="8"/>
      <c r="U19" s="8"/>
    </row>
    <row r="20" spans="1:21" x14ac:dyDescent="0.25">
      <c r="B20" s="279" t="s">
        <v>47</v>
      </c>
      <c r="C20" s="279">
        <v>5115514.2809764491</v>
      </c>
      <c r="D20" s="279">
        <v>5839664.3710000003</v>
      </c>
      <c r="E20" s="279">
        <v>6568362.6799999997</v>
      </c>
      <c r="F20" s="279">
        <v>7784592.0729</v>
      </c>
      <c r="G20" s="279">
        <v>7426030.9178999998</v>
      </c>
      <c r="H20" s="279">
        <v>7635390.1285600001</v>
      </c>
      <c r="I20" s="8">
        <v>8025361</v>
      </c>
      <c r="R20" s="8"/>
      <c r="S20" s="8"/>
      <c r="T20" s="8"/>
      <c r="U20" s="8"/>
    </row>
    <row r="21" spans="1:21" x14ac:dyDescent="0.25">
      <c r="A21" s="6"/>
      <c r="B21" s="279" t="s">
        <v>140</v>
      </c>
      <c r="C21" s="279">
        <v>8094174.9440000001</v>
      </c>
      <c r="D21" s="279">
        <v>8013483.2259999998</v>
      </c>
      <c r="E21" s="279">
        <v>8250323.8930000002</v>
      </c>
      <c r="F21" s="279">
        <v>8303500.9179999996</v>
      </c>
      <c r="G21" s="279">
        <v>8376264.432</v>
      </c>
      <c r="H21" s="279">
        <v>8621421.1300000008</v>
      </c>
      <c r="I21" s="8">
        <v>8880735.3440000005</v>
      </c>
      <c r="R21" s="8"/>
      <c r="S21" s="8"/>
      <c r="T21" s="8"/>
      <c r="U21" s="8"/>
    </row>
    <row r="22" spans="1:21" x14ac:dyDescent="0.25">
      <c r="A22" s="5"/>
      <c r="B22" s="279" t="s">
        <v>222</v>
      </c>
      <c r="C22" s="279">
        <v>9569836</v>
      </c>
      <c r="D22" s="279">
        <v>11162141</v>
      </c>
      <c r="E22" s="279">
        <v>11209422</v>
      </c>
      <c r="F22" s="279">
        <v>11697639</v>
      </c>
      <c r="G22" s="279">
        <v>12074672</v>
      </c>
      <c r="H22" s="279">
        <v>12683418</v>
      </c>
      <c r="I22" s="8">
        <v>12962081</v>
      </c>
      <c r="R22" s="8"/>
      <c r="S22" s="8"/>
      <c r="T22" s="8"/>
      <c r="U22" s="8"/>
    </row>
    <row r="23" spans="1:21" x14ac:dyDescent="0.25">
      <c r="A23" s="5"/>
      <c r="B23" s="279" t="s">
        <v>392</v>
      </c>
      <c r="C23" s="279">
        <v>278000</v>
      </c>
      <c r="D23" s="279">
        <v>262000</v>
      </c>
      <c r="E23" s="279">
        <v>229000</v>
      </c>
      <c r="F23" s="279">
        <v>226000</v>
      </c>
      <c r="G23" s="279">
        <v>242958</v>
      </c>
      <c r="H23" s="279">
        <v>241608</v>
      </c>
      <c r="I23" s="8">
        <v>212245</v>
      </c>
      <c r="R23" s="8"/>
      <c r="S23" s="8"/>
      <c r="T23" s="8"/>
      <c r="U23" s="8"/>
    </row>
    <row r="24" spans="1:21" x14ac:dyDescent="0.25">
      <c r="A24" s="5"/>
      <c r="B24" s="279" t="s">
        <v>224</v>
      </c>
      <c r="C24" s="279">
        <v>64707050.153816454</v>
      </c>
      <c r="D24" s="279">
        <v>70935314.412</v>
      </c>
      <c r="E24" s="279">
        <v>73998588.697999999</v>
      </c>
      <c r="F24" s="279">
        <v>78942435.990899995</v>
      </c>
      <c r="G24" s="279">
        <v>83220633.882741034</v>
      </c>
      <c r="H24" s="279">
        <v>88433306.751619995</v>
      </c>
      <c r="I24" s="8">
        <v>91799759.343999997</v>
      </c>
      <c r="R24" s="8"/>
      <c r="S24" s="8"/>
      <c r="T24" s="8"/>
      <c r="U24" s="8"/>
    </row>
    <row r="25" spans="1:21" x14ac:dyDescent="0.25">
      <c r="A25" s="5"/>
      <c r="B25" s="279"/>
      <c r="C25" s="279"/>
      <c r="D25" s="279"/>
      <c r="E25" s="279"/>
      <c r="F25" s="279"/>
      <c r="G25" s="279"/>
      <c r="H25" s="279"/>
      <c r="I25" s="8"/>
      <c r="R25" s="8"/>
      <c r="S25" s="8"/>
      <c r="T25" s="8"/>
      <c r="U25" s="8"/>
    </row>
    <row r="26" spans="1:21" x14ac:dyDescent="0.25">
      <c r="A26" s="5"/>
      <c r="B26" s="279" t="s">
        <v>225</v>
      </c>
      <c r="C26" s="279"/>
      <c r="D26" s="279"/>
      <c r="E26" s="279"/>
      <c r="F26" s="279"/>
      <c r="G26" s="279"/>
      <c r="H26" s="279"/>
      <c r="I26" s="8"/>
      <c r="R26" s="8"/>
      <c r="S26" s="8"/>
      <c r="T26" s="8"/>
      <c r="U26" s="8"/>
    </row>
    <row r="27" spans="1:21" x14ac:dyDescent="0.25">
      <c r="A27" s="5"/>
      <c r="B27" s="279" t="s">
        <v>219</v>
      </c>
      <c r="C27" s="279">
        <f>C17/'Productivity (4)'!J17</f>
        <v>38212088</v>
      </c>
      <c r="D27" s="279">
        <f>D17/'Productivity (4)'!K17</f>
        <v>39516362</v>
      </c>
      <c r="E27" s="279">
        <f>E17/'Productivity (4)'!L17</f>
        <v>39359457</v>
      </c>
      <c r="F27" s="279">
        <f>F17/'Productivity (4)'!M17</f>
        <v>39525586</v>
      </c>
      <c r="G27" s="279">
        <f>G17/'Productivity (4)'!N17</f>
        <v>41200614</v>
      </c>
      <c r="H27" s="279">
        <f>H17/'Productivity (4)'!O17</f>
        <v>43406879</v>
      </c>
      <c r="I27" s="279">
        <f>I17/'Productivity (4)'!P17</f>
        <v>43513839</v>
      </c>
      <c r="R27" s="8"/>
      <c r="S27" s="8"/>
      <c r="T27" s="8"/>
      <c r="U27" s="8"/>
    </row>
    <row r="28" spans="1:21" x14ac:dyDescent="0.25">
      <c r="A28" s="5"/>
      <c r="B28" s="279" t="s">
        <v>220</v>
      </c>
      <c r="C28" s="279">
        <f>C18/'Productivity (4)'!J18</f>
        <v>1669078</v>
      </c>
      <c r="D28" s="279">
        <f>D18/'Productivity (4)'!K18</f>
        <v>1440740</v>
      </c>
      <c r="E28" s="279">
        <f>E18/'Productivity (4)'!L18</f>
        <v>1089513</v>
      </c>
      <c r="F28" s="279">
        <f>F18/'Productivity (4)'!M18</f>
        <v>1305572</v>
      </c>
      <c r="G28" s="279">
        <f>G18/'Productivity (4)'!N18</f>
        <v>1988902</v>
      </c>
      <c r="H28" s="279">
        <f>H18/'Productivity (4)'!O18</f>
        <v>2373791</v>
      </c>
      <c r="I28" s="279">
        <f>I18/'Productivity (4)'!P18</f>
        <v>2127889</v>
      </c>
    </row>
    <row r="29" spans="1:21" x14ac:dyDescent="0.25">
      <c r="A29" s="5"/>
      <c r="B29" s="279" t="s">
        <v>221</v>
      </c>
      <c r="C29" s="279" t="e">
        <f>C19/'Productivity (4)'!J19</f>
        <v>#DIV/0!</v>
      </c>
      <c r="D29" s="279">
        <f>D19/'Productivity (4)'!K19</f>
        <v>10650038</v>
      </c>
      <c r="E29" s="279">
        <f>E19/'Productivity (4)'!L19</f>
        <v>11640863</v>
      </c>
      <c r="F29" s="279">
        <f>F19/'Productivity (4)'!M19</f>
        <v>13367264.856002657</v>
      </c>
      <c r="G29" s="279">
        <f>G19/'Productivity (4)'!N19</f>
        <v>14140508.469508</v>
      </c>
      <c r="H29" s="279">
        <f>H19/'Productivity (4)'!O19</f>
        <v>15427876.675999999</v>
      </c>
      <c r="I29" s="279">
        <f>I19/'Productivity (4)'!P19</f>
        <v>16077604</v>
      </c>
    </row>
    <row r="30" spans="1:21" x14ac:dyDescent="0.25">
      <c r="B30" s="279" t="s">
        <v>47</v>
      </c>
      <c r="C30" s="279">
        <f>C20/'Productivity (4)'!J20</f>
        <v>3308036</v>
      </c>
      <c r="D30" s="279">
        <f>D20/'Productivity (4)'!K20</f>
        <v>3578676</v>
      </c>
      <c r="E30" s="279">
        <f>E20/'Productivity (4)'!L20</f>
        <v>4190683</v>
      </c>
      <c r="F30" s="279">
        <f>F20/'Productivity (4)'!M20</f>
        <v>4292293</v>
      </c>
      <c r="G30" s="279">
        <f>G20/'Productivity (4)'!N20</f>
        <v>3994568</v>
      </c>
      <c r="H30" s="279">
        <f>H20/'Productivity (4)'!O20</f>
        <v>3958031</v>
      </c>
      <c r="I30" s="279">
        <f>I20/'Productivity (4)'!P20</f>
        <v>3893373.9999999995</v>
      </c>
    </row>
    <row r="31" spans="1:21" x14ac:dyDescent="0.25">
      <c r="B31" s="279" t="s">
        <v>140</v>
      </c>
      <c r="C31" s="279">
        <f>C21/'Productivity (4)'!J21</f>
        <v>5931102.0326811802</v>
      </c>
      <c r="D31" s="279">
        <f>D21/'Productivity (4)'!K21</f>
        <v>6514497.3790748697</v>
      </c>
      <c r="E31" s="279">
        <f>E21/'Productivity (4)'!L21</f>
        <v>6944132.5587071804</v>
      </c>
      <c r="F31" s="279">
        <f>F21/'Productivity (4)'!M21</f>
        <v>7454440.1813448202</v>
      </c>
      <c r="G31" s="279">
        <f>G21/'Productivity (4)'!N21</f>
        <v>7927564.293015331</v>
      </c>
      <c r="H31" s="279">
        <f>H21/'Productivity (4)'!O21</f>
        <v>8477306.9124877099</v>
      </c>
      <c r="I31" s="279">
        <f>I21/'Productivity (4)'!P21</f>
        <v>8880735.3440000005</v>
      </c>
    </row>
    <row r="32" spans="1:21" x14ac:dyDescent="0.25">
      <c r="B32" s="279" t="s">
        <v>222</v>
      </c>
      <c r="C32" s="279">
        <f>C22/'Productivity (4)'!J22</f>
        <v>11670404.906738559</v>
      </c>
      <c r="D32" s="279">
        <f>D22/'Productivity (4)'!K22</f>
        <v>13001164.445567448</v>
      </c>
      <c r="E32" s="279">
        <f>E22/'Productivity (4)'!L22</f>
        <v>12542012.72574419</v>
      </c>
      <c r="F32" s="279">
        <f>F22/'Productivity (4)'!M22</f>
        <v>12645671.111368861</v>
      </c>
      <c r="G32" s="279">
        <f>G22/'Productivity (4)'!N22</f>
        <v>12673068.453165414</v>
      </c>
      <c r="H32" s="279">
        <f>H22/'Productivity (4)'!O22</f>
        <v>13076603.958000001</v>
      </c>
      <c r="I32" s="279">
        <f>I22/'Productivity (4)'!P22</f>
        <v>12962081</v>
      </c>
    </row>
    <row r="33" spans="2:9" x14ac:dyDescent="0.25">
      <c r="B33" s="279" t="s">
        <v>392</v>
      </c>
      <c r="C33" s="279">
        <f>C23/'Productivity (4)'!J23</f>
        <v>331183.30547743692</v>
      </c>
      <c r="D33" s="279">
        <f>D23/'Productivity (4)'!K23</f>
        <v>300985.91688492848</v>
      </c>
      <c r="E33" s="279">
        <f>E23/'Productivity (4)'!L23</f>
        <v>253688.98454382003</v>
      </c>
      <c r="F33" s="279">
        <f>F23/'Productivity (4)'!M23</f>
        <v>243309.57052000001</v>
      </c>
      <c r="G33" s="279">
        <f>G23/'Productivity (4)'!N23</f>
        <v>251747.7262339491</v>
      </c>
      <c r="H33" s="279">
        <f>H23/'Productivity (4)'!O23</f>
        <v>248856.16224529999</v>
      </c>
      <c r="I33" s="279">
        <f>I23/'Productivity (4)'!P23</f>
        <v>212245.30799999999</v>
      </c>
    </row>
    <row r="34" spans="2:9" x14ac:dyDescent="0.25">
      <c r="B34" s="281" t="s">
        <v>224</v>
      </c>
      <c r="C34" s="279">
        <f>C24/'Productivity (4)'!J24</f>
        <v>70030219.244897187</v>
      </c>
      <c r="D34" s="279">
        <f>D24/'Productivity (4)'!K24</f>
        <v>75002463.741527244</v>
      </c>
      <c r="E34" s="279">
        <f>E24/'Productivity (4)'!L24</f>
        <v>76020350.268995181</v>
      </c>
      <c r="F34" s="279">
        <f>F24/'Productivity (4)'!M24</f>
        <v>78834136.719236344</v>
      </c>
      <c r="G34" s="279">
        <f>G24/'Productivity (4)'!N24</f>
        <v>82176972.94192268</v>
      </c>
      <c r="H34" s="279">
        <f>H24/'Productivity (4)'!O24</f>
        <v>86969344.708733022</v>
      </c>
      <c r="I34" s="279">
        <f>I24/'Productivity (4)'!P24</f>
        <v>87667767.65199998</v>
      </c>
    </row>
    <row r="35" spans="2:9" x14ac:dyDescent="0.25">
      <c r="B35" s="281"/>
      <c r="C35" s="281"/>
      <c r="D35" s="281"/>
      <c r="E35" s="281"/>
      <c r="F35" s="281"/>
      <c r="G35" s="281"/>
      <c r="H35" s="281"/>
    </row>
    <row r="36" spans="2:9" x14ac:dyDescent="0.25">
      <c r="B36" s="281">
        <v>352459.1206072038</v>
      </c>
      <c r="C36" s="281">
        <v>240357.88846676395</v>
      </c>
      <c r="D36" s="281">
        <v>234905.74154348543</v>
      </c>
      <c r="E36" s="281">
        <v>212915.15710517598</v>
      </c>
      <c r="F36" s="281">
        <v>216219.52596260741</v>
      </c>
      <c r="G36" s="281">
        <v>241508.47221669985</v>
      </c>
      <c r="H36" s="281">
        <v>241607.92450999998</v>
      </c>
    </row>
    <row r="37" spans="2:9" x14ac:dyDescent="0.25">
      <c r="B37" s="281"/>
      <c r="C37" s="281"/>
      <c r="D37" s="281"/>
      <c r="E37" s="281"/>
      <c r="F37" s="281"/>
      <c r="G37" s="281"/>
      <c r="H37" s="281"/>
    </row>
    <row r="57" ht="23.25" customHeight="1" x14ac:dyDescent="0.25"/>
    <row r="64" ht="23.25" customHeight="1" x14ac:dyDescent="0.25"/>
    <row r="71" ht="23.25" customHeight="1" x14ac:dyDescent="0.25"/>
    <row r="78" ht="23.25" customHeight="1" x14ac:dyDescent="0.25"/>
    <row r="85" ht="23.25" customHeight="1" x14ac:dyDescent="0.25"/>
    <row r="93" ht="23.25" customHeight="1" x14ac:dyDescent="0.25"/>
  </sheetData>
  <mergeCells count="1">
    <mergeCell ref="A1:B1"/>
  </mergeCells>
  <hyperlinks>
    <hyperlink ref="A1:B1" location="'Table of contents'!A1" display="Return to the Table of Contents"/>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Option Button 1">
              <controlPr defaultSize="0" autoFill="0" autoLine="0" autoPict="0" macro="[0]!OptionButton72_Click">
                <anchor moveWithCells="1">
                  <from>
                    <xdr:col>1</xdr:col>
                    <xdr:colOff>0</xdr:colOff>
                    <xdr:row>6</xdr:row>
                    <xdr:rowOff>0</xdr:rowOff>
                  </from>
                  <to>
                    <xdr:col>1</xdr:col>
                    <xdr:colOff>1000125</xdr:colOff>
                    <xdr:row>7</xdr:row>
                    <xdr:rowOff>19050</xdr:rowOff>
                  </to>
                </anchor>
              </controlPr>
            </control>
          </mc:Choice>
        </mc:AlternateContent>
        <mc:AlternateContent xmlns:mc="http://schemas.openxmlformats.org/markup-compatibility/2006">
          <mc:Choice Requires="x14">
            <control shapeId="35842" r:id="rId5" name="Option Button 2">
              <controlPr defaultSize="0" autoFill="0" autoLine="0" autoPict="0">
                <anchor moveWithCells="1">
                  <from>
                    <xdr:col>1</xdr:col>
                    <xdr:colOff>0</xdr:colOff>
                    <xdr:row>7</xdr:row>
                    <xdr:rowOff>19050</xdr:rowOff>
                  </from>
                  <to>
                    <xdr:col>1</xdr:col>
                    <xdr:colOff>1000125</xdr:colOff>
                    <xdr:row>8</xdr:row>
                    <xdr:rowOff>38100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xdr:col>
                    <xdr:colOff>0</xdr:colOff>
                    <xdr:row>10</xdr:row>
                    <xdr:rowOff>0</xdr:rowOff>
                  </from>
                  <to>
                    <xdr:col>1</xdr:col>
                    <xdr:colOff>781050</xdr:colOff>
                    <xdr:row>11</xdr:row>
                    <xdr:rowOff>19050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xdr:col>
                    <xdr:colOff>0</xdr:colOff>
                    <xdr:row>11</xdr:row>
                    <xdr:rowOff>19050</xdr:rowOff>
                  </from>
                  <to>
                    <xdr:col>1</xdr:col>
                    <xdr:colOff>781050</xdr:colOff>
                    <xdr:row>12</xdr:row>
                    <xdr:rowOff>38100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xdr:col>
                    <xdr:colOff>0</xdr:colOff>
                    <xdr:row>12</xdr:row>
                    <xdr:rowOff>38100</xdr:rowOff>
                  </from>
                  <to>
                    <xdr:col>1</xdr:col>
                    <xdr:colOff>781050</xdr:colOff>
                    <xdr:row>13</xdr:row>
                    <xdr:rowOff>57150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xdr:col>
                    <xdr:colOff>0</xdr:colOff>
                    <xdr:row>10</xdr:row>
                    <xdr:rowOff>0</xdr:rowOff>
                  </from>
                  <to>
                    <xdr:col>2</xdr:col>
                    <xdr:colOff>781050</xdr:colOff>
                    <xdr:row>11</xdr:row>
                    <xdr:rowOff>19050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2</xdr:col>
                    <xdr:colOff>0</xdr:colOff>
                    <xdr:row>11</xdr:row>
                    <xdr:rowOff>19050</xdr:rowOff>
                  </from>
                  <to>
                    <xdr:col>2</xdr:col>
                    <xdr:colOff>781050</xdr:colOff>
                    <xdr:row>12</xdr:row>
                    <xdr:rowOff>38100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2</xdr:col>
                    <xdr:colOff>0</xdr:colOff>
                    <xdr:row>12</xdr:row>
                    <xdr:rowOff>38100</xdr:rowOff>
                  </from>
                  <to>
                    <xdr:col>2</xdr:col>
                    <xdr:colOff>781050</xdr:colOff>
                    <xdr:row>13</xdr:row>
                    <xdr:rowOff>57150</xdr:rowOff>
                  </to>
                </anchor>
              </controlPr>
            </control>
          </mc:Choice>
        </mc:AlternateContent>
        <mc:AlternateContent xmlns:mc="http://schemas.openxmlformats.org/markup-compatibility/2006">
          <mc:Choice Requires="x14">
            <control shapeId="35849" r:id="rId12" name="Scroll Bar 9">
              <controlPr defaultSize="0" autoPict="0">
                <anchor moveWithCells="1">
                  <from>
                    <xdr:col>4</xdr:col>
                    <xdr:colOff>0</xdr:colOff>
                    <xdr:row>10</xdr:row>
                    <xdr:rowOff>171450</xdr:rowOff>
                  </from>
                  <to>
                    <xdr:col>7</xdr:col>
                    <xdr:colOff>0</xdr:colOff>
                    <xdr:row>12</xdr:row>
                    <xdr:rowOff>0</xdr:rowOff>
                  </to>
                </anchor>
              </controlPr>
            </control>
          </mc:Choice>
        </mc:AlternateContent>
      </controls>
    </mc:Choice>
  </mc:AlternateConten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N65"/>
  <sheetViews>
    <sheetView showGridLines="0" showRowColHeaders="0" zoomScaleNormal="100" workbookViewId="0">
      <selection activeCell="A18" sqref="A18"/>
    </sheetView>
  </sheetViews>
  <sheetFormatPr defaultRowHeight="15" x14ac:dyDescent="0.25"/>
  <cols>
    <col min="2" max="2" width="9.42578125" customWidth="1"/>
    <col min="3" max="3" width="9.85546875" customWidth="1"/>
    <col min="4" max="4" width="12.42578125" customWidth="1"/>
    <col min="5" max="5" width="18.42578125" customWidth="1"/>
    <col min="6" max="6" width="16.42578125" customWidth="1"/>
    <col min="7" max="7" width="19.28515625" customWidth="1"/>
    <col min="8" max="8" width="20.85546875" customWidth="1"/>
    <col min="9" max="10" width="20.5703125" customWidth="1"/>
    <col min="11" max="11" width="26.28515625" customWidth="1"/>
    <col min="12" max="12" width="16.28515625" customWidth="1"/>
    <col min="13" max="13" width="26.28515625" bestFit="1" customWidth="1"/>
    <col min="14" max="14" width="16.28515625" bestFit="1" customWidth="1"/>
    <col min="15" max="15" width="22.5703125" bestFit="1" customWidth="1"/>
    <col min="16" max="16" width="21.28515625" bestFit="1" customWidth="1"/>
    <col min="17" max="17" width="22.28515625" bestFit="1" customWidth="1"/>
  </cols>
  <sheetData>
    <row r="1" spans="1:14" x14ac:dyDescent="0.25">
      <c r="A1" s="657" t="s">
        <v>337</v>
      </c>
      <c r="B1" s="657"/>
    </row>
    <row r="4" spans="1:14" ht="30" x14ac:dyDescent="0.4">
      <c r="B4" s="2" t="s">
        <v>283</v>
      </c>
    </row>
    <row r="5" spans="1:14" x14ac:dyDescent="0.25">
      <c r="B5" s="279"/>
      <c r="C5" s="281"/>
      <c r="D5" s="281"/>
      <c r="E5" s="281"/>
      <c r="F5" s="281"/>
      <c r="G5" s="281"/>
      <c r="H5" s="281"/>
      <c r="I5" s="281"/>
    </row>
    <row r="6" spans="1:14" ht="23.25" customHeight="1" x14ac:dyDescent="0.25">
      <c r="B6" s="280" t="s">
        <v>284</v>
      </c>
      <c r="C6" s="281"/>
      <c r="D6" s="281"/>
      <c r="E6" s="281"/>
      <c r="F6" s="281"/>
      <c r="G6" s="281"/>
      <c r="H6" s="281"/>
      <c r="I6" s="281"/>
    </row>
    <row r="7" spans="1:14" x14ac:dyDescent="0.25">
      <c r="B7" s="279"/>
      <c r="C7" s="281"/>
      <c r="D7" s="281"/>
      <c r="E7" s="281"/>
      <c r="F7" s="281"/>
      <c r="G7" s="281"/>
      <c r="H7" s="281"/>
      <c r="I7" s="281"/>
    </row>
    <row r="8" spans="1:14" x14ac:dyDescent="0.25">
      <c r="B8" s="280" t="s">
        <v>285</v>
      </c>
      <c r="C8" s="279"/>
      <c r="D8" s="281"/>
      <c r="E8" s="281"/>
      <c r="F8" s="281"/>
      <c r="G8" s="281"/>
      <c r="H8" s="281"/>
      <c r="I8" s="281"/>
      <c r="K8" s="8"/>
      <c r="L8" s="8"/>
      <c r="M8" s="8"/>
      <c r="N8" s="8"/>
    </row>
    <row r="9" spans="1:14" x14ac:dyDescent="0.25">
      <c r="B9" s="281"/>
      <c r="C9" s="281"/>
      <c r="D9" s="281"/>
      <c r="E9" s="281"/>
      <c r="F9" s="281"/>
      <c r="G9" s="281"/>
      <c r="H9" s="281"/>
      <c r="I9" s="281"/>
      <c r="K9" s="8"/>
      <c r="L9" s="8"/>
      <c r="M9" s="8"/>
      <c r="N9" s="8"/>
    </row>
    <row r="10" spans="1:14" x14ac:dyDescent="0.25">
      <c r="B10" s="281"/>
      <c r="C10" s="281"/>
      <c r="D10" s="281"/>
      <c r="E10" s="281"/>
      <c r="F10" s="281"/>
      <c r="G10" s="281"/>
      <c r="H10" s="281"/>
      <c r="I10" s="281"/>
      <c r="K10" s="8"/>
      <c r="L10" s="8"/>
      <c r="M10" s="8"/>
      <c r="N10" s="8"/>
    </row>
    <row r="11" spans="1:14" x14ac:dyDescent="0.25">
      <c r="B11" s="274" t="s">
        <v>1</v>
      </c>
      <c r="C11" s="274" t="s">
        <v>286</v>
      </c>
      <c r="D11" s="274" t="s">
        <v>287</v>
      </c>
      <c r="E11" s="274" t="s">
        <v>288</v>
      </c>
      <c r="F11" s="274" t="s">
        <v>289</v>
      </c>
      <c r="G11" s="274" t="s">
        <v>290</v>
      </c>
      <c r="H11" s="274" t="s">
        <v>291</v>
      </c>
      <c r="I11" s="274" t="s">
        <v>292</v>
      </c>
      <c r="J11" t="e">
        <f>C$15/C11</f>
        <v>#VALUE!</v>
      </c>
      <c r="K11" s="8"/>
      <c r="L11" s="8"/>
      <c r="M11" s="8"/>
      <c r="N11" s="8"/>
    </row>
    <row r="12" spans="1:14" x14ac:dyDescent="0.25">
      <c r="B12" s="274" t="s">
        <v>4</v>
      </c>
      <c r="C12" s="325">
        <v>0.92500000000000004</v>
      </c>
      <c r="D12" s="325">
        <v>0.93700000000000006</v>
      </c>
      <c r="E12" s="325">
        <v>0.92900000000000005</v>
      </c>
      <c r="F12" s="288"/>
      <c r="G12" s="288">
        <v>0.91</v>
      </c>
      <c r="H12" s="325">
        <v>0.97</v>
      </c>
      <c r="I12" s="288">
        <v>0.89</v>
      </c>
      <c r="J12">
        <f t="shared" ref="J12:J13" si="0">C$15/C12</f>
        <v>1.0810810810810809</v>
      </c>
      <c r="K12" s="8"/>
      <c r="L12" s="8"/>
      <c r="M12" s="8"/>
      <c r="N12" s="8"/>
    </row>
    <row r="13" spans="1:14" x14ac:dyDescent="0.25">
      <c r="B13" s="274" t="s">
        <v>5</v>
      </c>
      <c r="C13" s="325">
        <v>0.95299999999999996</v>
      </c>
      <c r="D13" s="325">
        <v>0.98599999999999999</v>
      </c>
      <c r="E13" s="325">
        <v>0.96499999999999997</v>
      </c>
      <c r="F13" s="288"/>
      <c r="G13" s="288">
        <v>0.95</v>
      </c>
      <c r="H13" s="325">
        <v>0.94</v>
      </c>
      <c r="I13" s="288">
        <v>0.95</v>
      </c>
      <c r="J13">
        <f t="shared" si="0"/>
        <v>1.0493179433368311</v>
      </c>
      <c r="K13" s="8"/>
      <c r="L13" s="8"/>
      <c r="M13" s="8"/>
      <c r="N13" s="8"/>
    </row>
    <row r="14" spans="1:14" x14ac:dyDescent="0.25">
      <c r="B14" s="274" t="s">
        <v>6</v>
      </c>
      <c r="C14" s="325">
        <v>0.97</v>
      </c>
      <c r="D14" s="325">
        <v>0.97299999999999998</v>
      </c>
      <c r="E14" s="325">
        <v>0.97099999999999997</v>
      </c>
      <c r="F14" s="288"/>
      <c r="G14" s="288">
        <v>0.97</v>
      </c>
      <c r="H14" s="288">
        <v>0.98</v>
      </c>
      <c r="I14" s="288">
        <v>0.98</v>
      </c>
      <c r="J14">
        <f>C$15/C14</f>
        <v>1.0309278350515465</v>
      </c>
      <c r="K14" s="8"/>
      <c r="L14" s="8"/>
      <c r="M14" s="8"/>
      <c r="N14" s="8"/>
    </row>
    <row r="15" spans="1:14" x14ac:dyDescent="0.25">
      <c r="B15" s="274" t="s">
        <v>7</v>
      </c>
      <c r="C15" s="325">
        <v>1</v>
      </c>
      <c r="D15" s="325">
        <v>1</v>
      </c>
      <c r="E15" s="325">
        <v>1</v>
      </c>
      <c r="F15" s="325"/>
      <c r="G15" s="325">
        <v>1</v>
      </c>
      <c r="H15" s="325">
        <v>1</v>
      </c>
      <c r="I15" s="325">
        <v>1</v>
      </c>
      <c r="K15" s="8"/>
      <c r="L15" s="8"/>
      <c r="M15" s="8"/>
      <c r="N15" s="8"/>
    </row>
    <row r="16" spans="1:14" x14ac:dyDescent="0.25">
      <c r="B16" s="281"/>
      <c r="C16" s="281"/>
      <c r="D16" s="281"/>
      <c r="E16" s="281"/>
      <c r="F16" s="281"/>
      <c r="G16" s="281"/>
      <c r="H16" s="281"/>
      <c r="I16" s="281"/>
      <c r="K16" s="8"/>
      <c r="L16" s="8"/>
      <c r="M16" s="8"/>
      <c r="N16" s="8"/>
    </row>
    <row r="17" spans="1:14" x14ac:dyDescent="0.25">
      <c r="B17" s="281"/>
      <c r="C17" s="281"/>
      <c r="D17" s="281"/>
      <c r="E17" s="281"/>
      <c r="F17" s="281"/>
      <c r="G17" s="281"/>
      <c r="H17" s="281"/>
      <c r="I17" s="281"/>
      <c r="K17" s="8"/>
      <c r="L17" s="8"/>
      <c r="M17" s="8"/>
      <c r="N17" s="8"/>
    </row>
    <row r="18" spans="1:14" x14ac:dyDescent="0.25">
      <c r="B18" s="281"/>
      <c r="C18" s="281"/>
      <c r="D18" s="281"/>
      <c r="E18" s="281"/>
      <c r="F18" s="281"/>
      <c r="G18" s="281"/>
      <c r="H18" s="281"/>
      <c r="I18" s="281"/>
      <c r="K18" s="8"/>
      <c r="L18" s="8"/>
      <c r="M18" s="8"/>
      <c r="N18" s="8"/>
    </row>
    <row r="19" spans="1:14" x14ac:dyDescent="0.25">
      <c r="B19" s="281"/>
      <c r="C19" s="281"/>
      <c r="D19" s="281"/>
      <c r="E19" s="281"/>
      <c r="F19" s="281"/>
      <c r="G19" s="281"/>
      <c r="H19" s="281"/>
      <c r="I19" s="281"/>
      <c r="K19" s="8"/>
      <c r="L19" s="8"/>
      <c r="M19" s="8"/>
      <c r="N19" s="8"/>
    </row>
    <row r="20" spans="1:14" x14ac:dyDescent="0.25">
      <c r="B20" s="281"/>
      <c r="C20" s="281"/>
      <c r="D20" s="281"/>
      <c r="E20" s="281"/>
      <c r="F20" s="281"/>
      <c r="G20" s="281"/>
      <c r="H20" s="281"/>
      <c r="I20" s="281"/>
      <c r="K20" s="8"/>
      <c r="L20" s="8"/>
      <c r="M20" s="8"/>
      <c r="N20" s="8"/>
    </row>
    <row r="21" spans="1:14" x14ac:dyDescent="0.25">
      <c r="B21" s="281"/>
      <c r="C21" s="281"/>
      <c r="D21" s="281"/>
      <c r="E21" s="281"/>
      <c r="F21" s="281"/>
      <c r="G21" s="281"/>
      <c r="H21" s="281"/>
      <c r="I21" s="281"/>
      <c r="K21" s="8"/>
      <c r="L21" s="8"/>
      <c r="M21" s="8"/>
      <c r="N21" s="8"/>
    </row>
    <row r="22" spans="1:14" x14ac:dyDescent="0.25">
      <c r="B22" s="281"/>
      <c r="C22" s="281"/>
      <c r="D22" s="281"/>
      <c r="E22" s="281"/>
      <c r="F22" s="281"/>
      <c r="G22" s="281"/>
      <c r="H22" s="281"/>
      <c r="I22" s="281"/>
      <c r="K22" s="8"/>
      <c r="L22" s="8"/>
      <c r="M22" s="8"/>
      <c r="N22" s="8"/>
    </row>
    <row r="23" spans="1:14" x14ac:dyDescent="0.25">
      <c r="B23" s="281"/>
      <c r="C23" s="281"/>
      <c r="D23" s="281"/>
      <c r="E23" s="281"/>
      <c r="F23" s="281"/>
      <c r="G23" s="281"/>
      <c r="H23" s="281"/>
      <c r="I23" s="281"/>
      <c r="K23" s="8"/>
      <c r="L23" s="8"/>
      <c r="M23" s="8"/>
      <c r="N23" s="8"/>
    </row>
    <row r="24" spans="1:14" x14ac:dyDescent="0.25">
      <c r="A24" s="6"/>
      <c r="B24" s="281"/>
      <c r="C24" s="281"/>
      <c r="D24" s="281"/>
      <c r="E24" s="281"/>
      <c r="F24" s="281"/>
      <c r="G24" s="281"/>
      <c r="H24" s="281"/>
      <c r="I24" s="281"/>
      <c r="K24" s="8"/>
      <c r="L24" s="8"/>
      <c r="M24" s="8"/>
      <c r="N24" s="8"/>
    </row>
    <row r="25" spans="1:14" x14ac:dyDescent="0.25">
      <c r="A25" s="5"/>
      <c r="B25" s="281"/>
      <c r="C25" s="281"/>
      <c r="D25" s="281"/>
      <c r="E25" s="281"/>
      <c r="F25" s="281"/>
      <c r="G25" s="281"/>
      <c r="H25" s="281"/>
      <c r="I25" s="281"/>
      <c r="K25" s="8"/>
      <c r="L25" s="8"/>
      <c r="M25" s="8"/>
      <c r="N25" s="8"/>
    </row>
    <row r="26" spans="1:14" x14ac:dyDescent="0.25">
      <c r="A26" s="5"/>
      <c r="B26" s="281"/>
      <c r="C26" s="281"/>
      <c r="D26" s="281"/>
      <c r="E26" s="281"/>
      <c r="F26" s="281"/>
      <c r="G26" s="281"/>
      <c r="H26" s="281"/>
      <c r="I26" s="281"/>
      <c r="K26" s="8"/>
      <c r="L26" s="8"/>
      <c r="M26" s="8"/>
      <c r="N26" s="8"/>
    </row>
    <row r="27" spans="1:14" x14ac:dyDescent="0.25">
      <c r="A27" s="5"/>
      <c r="B27" s="281"/>
      <c r="C27" s="281"/>
      <c r="D27" s="281"/>
      <c r="E27" s="281"/>
      <c r="F27" s="281"/>
      <c r="G27" s="281"/>
      <c r="H27" s="281"/>
      <c r="I27" s="281"/>
      <c r="K27" s="8"/>
      <c r="L27" s="8"/>
      <c r="M27" s="8"/>
      <c r="N27" s="8"/>
    </row>
    <row r="28" spans="1:14" x14ac:dyDescent="0.25">
      <c r="A28" s="5"/>
      <c r="B28" s="281"/>
      <c r="C28" s="281"/>
      <c r="D28" s="281"/>
      <c r="E28" s="281"/>
      <c r="F28" s="281"/>
      <c r="G28" s="281"/>
      <c r="H28" s="281"/>
      <c r="I28" s="281"/>
      <c r="K28" s="8"/>
      <c r="L28" s="8"/>
      <c r="M28" s="8"/>
      <c r="N28" s="8"/>
    </row>
    <row r="29" spans="1:14" x14ac:dyDescent="0.25">
      <c r="A29" s="5"/>
      <c r="B29" s="281"/>
      <c r="C29" s="281"/>
      <c r="D29" s="281"/>
      <c r="E29" s="281"/>
      <c r="F29" s="281"/>
      <c r="G29" s="281"/>
      <c r="H29" s="281"/>
      <c r="I29" s="281"/>
    </row>
    <row r="30" spans="1:14" x14ac:dyDescent="0.25">
      <c r="A30" s="5"/>
      <c r="B30" s="281"/>
      <c r="C30" s="281"/>
      <c r="D30" s="281"/>
      <c r="E30" s="281"/>
      <c r="F30" s="281"/>
      <c r="G30" s="281"/>
      <c r="H30" s="281"/>
      <c r="I30" s="281"/>
    </row>
    <row r="31" spans="1:14" x14ac:dyDescent="0.25">
      <c r="A31" s="5"/>
      <c r="B31" s="281"/>
      <c r="C31" s="281"/>
      <c r="D31" s="281"/>
      <c r="E31" s="281"/>
      <c r="F31" s="281"/>
      <c r="G31" s="281"/>
      <c r="H31" s="281"/>
      <c r="I31" s="281"/>
    </row>
    <row r="32" spans="1:14" x14ac:dyDescent="0.25">
      <c r="A32" s="5"/>
      <c r="B32" s="281"/>
      <c r="C32" s="281"/>
      <c r="D32" s="281"/>
      <c r="E32" s="281"/>
      <c r="F32" s="281"/>
      <c r="G32" s="281"/>
      <c r="H32" s="281"/>
      <c r="I32" s="281"/>
    </row>
    <row r="33" spans="1:9" x14ac:dyDescent="0.25">
      <c r="A33" s="5"/>
      <c r="B33" s="281"/>
      <c r="C33" s="281"/>
      <c r="D33" s="281"/>
      <c r="E33" s="281"/>
      <c r="F33" s="281"/>
      <c r="G33" s="281"/>
      <c r="H33" s="281"/>
      <c r="I33" s="281"/>
    </row>
    <row r="34" spans="1:9" ht="23.25" x14ac:dyDescent="0.3">
      <c r="A34" s="235"/>
      <c r="B34" s="281"/>
      <c r="C34" s="281"/>
      <c r="D34" s="281"/>
      <c r="E34" s="281"/>
      <c r="F34" s="281"/>
      <c r="G34" s="281"/>
      <c r="H34" s="281"/>
      <c r="I34" s="281"/>
    </row>
    <row r="35" spans="1:9" ht="23.25" x14ac:dyDescent="0.3">
      <c r="A35" s="235"/>
      <c r="B35" s="281"/>
      <c r="C35" s="281"/>
      <c r="D35" s="281"/>
      <c r="E35" s="281"/>
      <c r="F35" s="281"/>
      <c r="G35" s="281"/>
      <c r="H35" s="281"/>
      <c r="I35" s="281"/>
    </row>
    <row r="36" spans="1:9" ht="23.25" x14ac:dyDescent="0.3">
      <c r="A36" s="235"/>
      <c r="B36" s="281"/>
      <c r="C36" s="281"/>
      <c r="D36" s="281"/>
      <c r="E36" s="281"/>
      <c r="F36" s="281"/>
      <c r="G36" s="281"/>
      <c r="H36" s="281"/>
      <c r="I36" s="281"/>
    </row>
    <row r="37" spans="1:9" ht="23.25" x14ac:dyDescent="0.3">
      <c r="A37" s="235"/>
      <c r="B37" s="281"/>
      <c r="C37" s="281"/>
      <c r="D37" s="281"/>
      <c r="E37" s="281"/>
      <c r="F37" s="281"/>
      <c r="G37" s="281"/>
      <c r="H37" s="281"/>
      <c r="I37" s="281"/>
    </row>
    <row r="38" spans="1:9" ht="23.25" x14ac:dyDescent="0.3">
      <c r="A38" s="235"/>
      <c r="B38" s="281"/>
      <c r="C38" s="281"/>
      <c r="D38" s="281"/>
      <c r="E38" s="281"/>
      <c r="F38" s="281"/>
      <c r="G38" s="281"/>
      <c r="H38" s="281"/>
      <c r="I38" s="281"/>
    </row>
    <row r="39" spans="1:9" ht="23.25" x14ac:dyDescent="0.3">
      <c r="A39" s="235"/>
      <c r="B39" s="281"/>
      <c r="C39" s="281"/>
      <c r="D39" s="281"/>
      <c r="E39" s="281"/>
      <c r="F39" s="281"/>
      <c r="G39" s="281"/>
      <c r="H39" s="281"/>
      <c r="I39" s="281"/>
    </row>
    <row r="40" spans="1:9" ht="23.25" x14ac:dyDescent="0.3">
      <c r="A40" s="235"/>
      <c r="B40" s="281"/>
      <c r="C40" s="281"/>
      <c r="D40" s="281"/>
      <c r="E40" s="281"/>
      <c r="F40" s="281"/>
      <c r="G40" s="281"/>
      <c r="H40" s="281"/>
      <c r="I40" s="281"/>
    </row>
    <row r="41" spans="1:9" ht="23.25" x14ac:dyDescent="0.3">
      <c r="A41" s="235"/>
      <c r="B41" s="281"/>
      <c r="C41" s="281"/>
      <c r="D41" s="281"/>
      <c r="E41" s="281"/>
      <c r="F41" s="281"/>
      <c r="G41" s="281"/>
      <c r="H41" s="281"/>
      <c r="I41" s="281"/>
    </row>
    <row r="42" spans="1:9" ht="23.25" x14ac:dyDescent="0.3">
      <c r="A42" s="235"/>
      <c r="B42" s="281"/>
      <c r="C42" s="281"/>
      <c r="D42" s="281"/>
      <c r="E42" s="281"/>
      <c r="F42" s="281"/>
      <c r="G42" s="281"/>
      <c r="H42" s="281"/>
      <c r="I42" s="281"/>
    </row>
    <row r="43" spans="1:9" ht="23.25" x14ac:dyDescent="0.3">
      <c r="A43" s="235"/>
      <c r="B43" s="281"/>
      <c r="C43" s="281"/>
      <c r="D43" s="281"/>
      <c r="E43" s="281"/>
      <c r="F43" s="281"/>
      <c r="G43" s="281"/>
      <c r="H43" s="281"/>
      <c r="I43" s="281"/>
    </row>
    <row r="44" spans="1:9" ht="23.25" x14ac:dyDescent="0.3">
      <c r="A44" s="235"/>
      <c r="B44" s="281"/>
      <c r="C44" s="281"/>
      <c r="D44" s="281"/>
      <c r="E44" s="281"/>
      <c r="F44" s="281"/>
      <c r="G44" s="281"/>
      <c r="H44" s="281"/>
      <c r="I44" s="281"/>
    </row>
    <row r="45" spans="1:9" ht="23.25" x14ac:dyDescent="0.3">
      <c r="A45" s="235"/>
      <c r="B45" s="281"/>
      <c r="C45" s="281"/>
      <c r="D45" s="281"/>
      <c r="E45" s="281"/>
      <c r="F45" s="281"/>
      <c r="G45" s="281"/>
      <c r="H45" s="281"/>
      <c r="I45" s="281"/>
    </row>
    <row r="46" spans="1:9" ht="23.25" x14ac:dyDescent="0.3">
      <c r="A46" s="235"/>
      <c r="B46" s="281"/>
      <c r="C46" s="281"/>
      <c r="D46" s="281"/>
      <c r="E46" s="281"/>
      <c r="F46" s="281"/>
      <c r="G46" s="281"/>
      <c r="H46" s="281"/>
      <c r="I46" s="281"/>
    </row>
    <row r="47" spans="1:9" ht="23.25" x14ac:dyDescent="0.3">
      <c r="A47" s="235"/>
    </row>
    <row r="48" spans="1:9" ht="23.25" x14ac:dyDescent="0.3">
      <c r="A48" s="235"/>
    </row>
    <row r="49" spans="1:1" ht="23.25" x14ac:dyDescent="0.3">
      <c r="A49" s="235"/>
    </row>
    <row r="65" ht="23.25" customHeight="1" x14ac:dyDescent="0.25"/>
  </sheetData>
  <customSheetViews>
    <customSheetView guid="{9EA95E61-FCA5-4867-AEB4-B8C24058ACDD}" showGridLines="0" showRowCol="0">
      <selection activeCell="C14" sqref="C14"/>
      <pageMargins left="0.7" right="0.7" top="0.75" bottom="0.75" header="0.3" footer="0.3"/>
      <pageSetup paperSize="9" orientation="portrait" r:id="rId1"/>
    </customSheetView>
  </customSheetViews>
  <mergeCells count="1">
    <mergeCell ref="A1:B1"/>
  </mergeCells>
  <dataValidations count="1">
    <dataValidation type="list" allowBlank="1" showInputMessage="1" showErrorMessage="1" sqref="B43">
      <formula1>indices</formula1>
    </dataValidation>
  </dataValidations>
  <hyperlinks>
    <hyperlink ref="A1:B1" location="'Table of contents'!A1" display="Return to the Table of Contents"/>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4:M70"/>
  <sheetViews>
    <sheetView showGridLines="0" showRowColHeaders="0" topLeftCell="A7" zoomScale="60" zoomScaleNormal="60" workbookViewId="0">
      <selection activeCell="D32" sqref="D32"/>
    </sheetView>
  </sheetViews>
  <sheetFormatPr defaultRowHeight="15" x14ac:dyDescent="0.25"/>
  <cols>
    <col min="4" max="4" width="102.7109375" customWidth="1"/>
    <col min="5" max="10" width="19.42578125" customWidth="1"/>
    <col min="11" max="11" width="19.42578125" bestFit="1" customWidth="1"/>
  </cols>
  <sheetData>
    <row r="4" spans="4:11" ht="59.25" x14ac:dyDescent="0.75">
      <c r="D4" s="4" t="s">
        <v>192</v>
      </c>
    </row>
    <row r="5" spans="4:11" ht="59.25" x14ac:dyDescent="0.75">
      <c r="D5" s="4"/>
    </row>
    <row r="6" spans="4:11" x14ac:dyDescent="0.25">
      <c r="D6" t="s">
        <v>193</v>
      </c>
    </row>
    <row r="9" spans="4:11" ht="23.25" x14ac:dyDescent="0.35">
      <c r="D9" s="155" t="s">
        <v>194</v>
      </c>
      <c r="E9" s="156"/>
      <c r="F9" s="156"/>
      <c r="G9" s="156"/>
      <c r="H9" s="156"/>
      <c r="I9" s="658"/>
      <c r="J9" s="658"/>
      <c r="K9" s="13"/>
    </row>
    <row r="10" spans="4:11" ht="23.25" x14ac:dyDescent="0.35">
      <c r="D10" s="157" t="s">
        <v>195</v>
      </c>
      <c r="E10" s="158" t="s">
        <v>196</v>
      </c>
      <c r="F10" s="158" t="s">
        <v>197</v>
      </c>
      <c r="G10" s="158" t="s">
        <v>198</v>
      </c>
      <c r="H10" s="158" t="s">
        <v>199</v>
      </c>
      <c r="I10" s="159" t="s">
        <v>200</v>
      </c>
      <c r="J10" s="159" t="s">
        <v>6</v>
      </c>
      <c r="K10" s="160" t="s">
        <v>7</v>
      </c>
    </row>
    <row r="11" spans="4:11" ht="23.25" x14ac:dyDescent="0.35">
      <c r="D11" s="161"/>
      <c r="E11" s="162"/>
      <c r="F11" s="162"/>
      <c r="G11" s="162"/>
      <c r="H11" s="162"/>
      <c r="I11" s="162"/>
      <c r="J11" s="162"/>
      <c r="K11" s="163"/>
    </row>
    <row r="12" spans="4:11" ht="23.25" x14ac:dyDescent="0.35">
      <c r="D12" s="164" t="s">
        <v>201</v>
      </c>
      <c r="E12" s="165"/>
      <c r="F12" s="165"/>
      <c r="G12" s="165"/>
      <c r="H12" s="165"/>
      <c r="I12" s="162"/>
      <c r="J12" s="162"/>
      <c r="K12" s="163"/>
    </row>
    <row r="13" spans="4:11" ht="24" customHeight="1" x14ac:dyDescent="0.35">
      <c r="D13" s="161" t="s">
        <v>202</v>
      </c>
      <c r="E13" s="165">
        <v>1111880.65277</v>
      </c>
      <c r="F13" s="165">
        <v>1362224</v>
      </c>
      <c r="G13" s="165">
        <v>1339694</v>
      </c>
      <c r="H13" s="165">
        <v>1355021</v>
      </c>
      <c r="I13" s="166">
        <v>1245422.2917300002</v>
      </c>
      <c r="J13" s="166">
        <v>1167040.66325</v>
      </c>
      <c r="K13" s="167">
        <v>1197825</v>
      </c>
    </row>
    <row r="14" spans="4:11" ht="23.25" x14ac:dyDescent="0.35">
      <c r="D14" s="161" t="s">
        <v>203</v>
      </c>
      <c r="E14" s="165">
        <v>96787.019680000012</v>
      </c>
      <c r="F14" s="165">
        <v>106021</v>
      </c>
      <c r="G14" s="165">
        <v>112531</v>
      </c>
      <c r="H14" s="165">
        <v>114218</v>
      </c>
      <c r="I14" s="166">
        <v>107029.53605</v>
      </c>
      <c r="J14" s="166">
        <v>107579.06499</v>
      </c>
      <c r="K14" s="167">
        <v>111575</v>
      </c>
    </row>
    <row r="15" spans="4:11" ht="23.25" x14ac:dyDescent="0.35">
      <c r="D15" s="161" t="s">
        <v>204</v>
      </c>
      <c r="E15" s="165">
        <v>26297.739249999999</v>
      </c>
      <c r="F15" s="165">
        <v>27600</v>
      </c>
      <c r="G15" s="165">
        <v>29187</v>
      </c>
      <c r="H15" s="165">
        <v>33498</v>
      </c>
      <c r="I15" s="166">
        <v>29704</v>
      </c>
      <c r="J15" s="166">
        <v>24939.441080000001</v>
      </c>
      <c r="K15" s="167">
        <v>22819</v>
      </c>
    </row>
    <row r="16" spans="4:11" ht="23.25" x14ac:dyDescent="0.35">
      <c r="D16" s="161" t="s">
        <v>205</v>
      </c>
      <c r="E16" s="165">
        <v>57223.132310000001</v>
      </c>
      <c r="F16" s="165">
        <v>55030</v>
      </c>
      <c r="G16" s="165">
        <v>56133</v>
      </c>
      <c r="H16" s="165">
        <v>51721</v>
      </c>
      <c r="I16" s="166">
        <v>47581</v>
      </c>
      <c r="J16" s="166">
        <v>42277</v>
      </c>
      <c r="K16" s="167">
        <v>42858</v>
      </c>
    </row>
    <row r="17" spans="1:13" ht="23.25" x14ac:dyDescent="0.35">
      <c r="D17" s="161" t="s">
        <v>206</v>
      </c>
      <c r="E17" s="165">
        <v>263890.23437999998</v>
      </c>
      <c r="F17" s="165">
        <v>285000</v>
      </c>
      <c r="G17" s="165">
        <v>281882</v>
      </c>
      <c r="H17" s="165">
        <v>292970</v>
      </c>
      <c r="I17" s="166">
        <v>285790.01525</v>
      </c>
      <c r="J17" s="166">
        <v>249935.55568000002</v>
      </c>
      <c r="K17" s="167">
        <v>296065</v>
      </c>
      <c r="M17" t="s">
        <v>201</v>
      </c>
    </row>
    <row r="18" spans="1:13" ht="23.25" x14ac:dyDescent="0.35">
      <c r="D18" s="161" t="s">
        <v>207</v>
      </c>
      <c r="E18" s="165">
        <v>270875.56216999999</v>
      </c>
      <c r="F18" s="165">
        <v>288360</v>
      </c>
      <c r="G18" s="165">
        <v>282818</v>
      </c>
      <c r="H18" s="165">
        <v>268995</v>
      </c>
      <c r="I18" s="166">
        <v>257483.76642</v>
      </c>
      <c r="J18" s="166">
        <v>252223.40057</v>
      </c>
      <c r="K18" s="167">
        <v>253170</v>
      </c>
      <c r="M18" t="s">
        <v>213</v>
      </c>
    </row>
    <row r="19" spans="1:13" ht="23.25" x14ac:dyDescent="0.35">
      <c r="D19" s="161" t="s">
        <v>208</v>
      </c>
      <c r="E19" s="165">
        <v>25023.175449999999</v>
      </c>
      <c r="F19" s="165">
        <v>27197</v>
      </c>
      <c r="G19" s="165">
        <v>29163</v>
      </c>
      <c r="H19" s="165">
        <v>27917</v>
      </c>
      <c r="I19" s="166">
        <v>22215</v>
      </c>
      <c r="J19" s="166">
        <v>23367</v>
      </c>
      <c r="K19" s="167">
        <v>20895</v>
      </c>
    </row>
    <row r="20" spans="1:13" ht="23.25" customHeight="1" x14ac:dyDescent="0.35">
      <c r="D20" s="161" t="s">
        <v>209</v>
      </c>
      <c r="E20" s="165">
        <v>152181.89692473135</v>
      </c>
      <c r="F20" s="165">
        <v>141995</v>
      </c>
      <c r="G20" s="165">
        <v>134995</v>
      </c>
      <c r="H20" s="165">
        <v>165375</v>
      </c>
      <c r="I20" s="166">
        <v>130867.21212</v>
      </c>
      <c r="J20" s="166">
        <v>110642.5266</v>
      </c>
      <c r="K20" s="167">
        <v>105856</v>
      </c>
    </row>
    <row r="21" spans="1:13" ht="23.25" x14ac:dyDescent="0.35">
      <c r="D21" s="161" t="s">
        <v>210</v>
      </c>
      <c r="E21" s="165">
        <v>153909.17956000002</v>
      </c>
      <c r="F21" s="165">
        <v>153539</v>
      </c>
      <c r="G21" s="165">
        <v>144839</v>
      </c>
      <c r="H21" s="165">
        <v>135976</v>
      </c>
      <c r="I21" s="166">
        <v>122961.24986</v>
      </c>
      <c r="J21" s="166">
        <v>118482.63475</v>
      </c>
      <c r="K21" s="167">
        <v>126216</v>
      </c>
    </row>
    <row r="22" spans="1:13" ht="23.25" x14ac:dyDescent="0.35">
      <c r="D22" s="161" t="s">
        <v>211</v>
      </c>
      <c r="E22" s="165">
        <v>222471</v>
      </c>
      <c r="F22" s="165">
        <v>348042</v>
      </c>
      <c r="G22" s="165">
        <v>525339.93000000005</v>
      </c>
      <c r="H22" s="165">
        <v>819274.11</v>
      </c>
      <c r="I22" s="166">
        <v>1040249.9999999999</v>
      </c>
      <c r="J22" s="166">
        <v>1289966.9999999998</v>
      </c>
      <c r="K22" s="167">
        <v>1470957</v>
      </c>
    </row>
    <row r="23" spans="1:13" ht="23.25" x14ac:dyDescent="0.35">
      <c r="D23" s="161" t="s">
        <v>212</v>
      </c>
      <c r="E23" s="165">
        <v>20300</v>
      </c>
      <c r="F23" s="165">
        <v>51000</v>
      </c>
      <c r="G23" s="165">
        <v>112515</v>
      </c>
      <c r="H23" s="165">
        <v>159029</v>
      </c>
      <c r="I23" s="166">
        <v>250500</v>
      </c>
      <c r="J23" s="166">
        <v>213100</v>
      </c>
      <c r="K23" s="167">
        <v>197545</v>
      </c>
    </row>
    <row r="24" spans="1:13" ht="23.25" x14ac:dyDescent="0.35">
      <c r="D24" s="161"/>
      <c r="E24" s="165"/>
      <c r="F24" s="165"/>
      <c r="G24" s="165"/>
      <c r="H24" s="165"/>
      <c r="I24" s="166"/>
      <c r="J24" s="166"/>
      <c r="K24" s="167"/>
    </row>
    <row r="25" spans="1:13" ht="23.25" x14ac:dyDescent="0.35">
      <c r="D25" s="161"/>
      <c r="E25" s="165"/>
      <c r="F25" s="165"/>
      <c r="G25" s="165"/>
      <c r="H25" s="165"/>
      <c r="I25" s="165"/>
      <c r="J25" s="165"/>
      <c r="K25" s="168"/>
    </row>
    <row r="26" spans="1:13" ht="23.25" x14ac:dyDescent="0.35">
      <c r="A26" s="5"/>
      <c r="B26" s="5"/>
      <c r="C26" s="5"/>
      <c r="D26" s="164" t="s">
        <v>213</v>
      </c>
      <c r="E26" s="165"/>
      <c r="F26" s="165"/>
      <c r="G26" s="165"/>
      <c r="H26" s="162"/>
      <c r="I26" s="162"/>
      <c r="J26" s="162"/>
      <c r="K26" s="167"/>
    </row>
    <row r="27" spans="1:13" ht="23.25" x14ac:dyDescent="0.35">
      <c r="A27" s="5"/>
      <c r="B27" s="5"/>
      <c r="C27" s="5"/>
      <c r="D27" s="161" t="s">
        <v>214</v>
      </c>
      <c r="E27" s="165">
        <v>88141.321819006378</v>
      </c>
      <c r="F27" s="165">
        <v>85151</v>
      </c>
      <c r="G27" s="165">
        <v>86569</v>
      </c>
      <c r="H27" s="165">
        <v>95776</v>
      </c>
      <c r="I27" s="166">
        <v>79577.07346</v>
      </c>
      <c r="J27" s="166">
        <v>75321.988870000001</v>
      </c>
      <c r="K27" s="167">
        <v>66904</v>
      </c>
    </row>
    <row r="28" spans="1:13" ht="23.25" customHeight="1" x14ac:dyDescent="0.35">
      <c r="C28" s="5"/>
      <c r="D28" s="161" t="s">
        <v>215</v>
      </c>
      <c r="E28" s="165">
        <v>186380.30639977392</v>
      </c>
      <c r="F28" s="165">
        <v>197368</v>
      </c>
      <c r="G28" s="165">
        <v>210435</v>
      </c>
      <c r="H28" s="165">
        <v>243097</v>
      </c>
      <c r="I28" s="166">
        <v>196779.12672999999</v>
      </c>
      <c r="J28" s="166">
        <v>122817.26641</v>
      </c>
      <c r="K28" s="167">
        <v>138915</v>
      </c>
    </row>
    <row r="29" spans="1:13" ht="23.25" x14ac:dyDescent="0.35">
      <c r="C29" s="5"/>
      <c r="D29" s="161" t="s">
        <v>216</v>
      </c>
      <c r="E29" s="165">
        <v>91973</v>
      </c>
      <c r="F29" s="165">
        <v>170520</v>
      </c>
      <c r="G29" s="165">
        <v>264195.75</v>
      </c>
      <c r="H29" s="165">
        <v>420979.58</v>
      </c>
      <c r="I29" s="166">
        <v>603072</v>
      </c>
      <c r="J29" s="166">
        <v>607632.00000000012</v>
      </c>
      <c r="K29" s="167">
        <v>685504</v>
      </c>
    </row>
    <row r="30" spans="1:13" ht="23.25" x14ac:dyDescent="0.35">
      <c r="C30" s="5"/>
      <c r="D30" s="161"/>
      <c r="E30" s="165"/>
      <c r="F30" s="165"/>
      <c r="G30" s="165"/>
      <c r="H30" s="165"/>
      <c r="I30" s="162"/>
      <c r="J30" s="162"/>
      <c r="K30" s="167"/>
    </row>
    <row r="31" spans="1:13" ht="23.25" x14ac:dyDescent="0.35">
      <c r="D31" s="161" t="s">
        <v>217</v>
      </c>
      <c r="E31" s="166">
        <v>157516.4129629033</v>
      </c>
      <c r="F31" s="166">
        <v>163147</v>
      </c>
      <c r="G31" s="166">
        <v>183930</v>
      </c>
      <c r="H31" s="166">
        <v>157402</v>
      </c>
      <c r="I31" s="166">
        <v>125162.7917</v>
      </c>
      <c r="J31" s="166">
        <v>125657.21574</v>
      </c>
      <c r="K31" s="167">
        <v>135102</v>
      </c>
      <c r="M31" t="s">
        <v>279</v>
      </c>
    </row>
    <row r="32" spans="1:13" ht="23.25" x14ac:dyDescent="0.35">
      <c r="D32" s="161"/>
      <c r="E32" s="165"/>
      <c r="F32" s="165"/>
      <c r="G32" s="165"/>
      <c r="H32" s="162"/>
      <c r="I32" s="162"/>
      <c r="J32" s="162"/>
      <c r="K32" s="167"/>
      <c r="M32" t="s">
        <v>56</v>
      </c>
    </row>
    <row r="33" spans="1:11" ht="23.25" x14ac:dyDescent="0.35">
      <c r="D33" s="161"/>
      <c r="E33" s="165"/>
      <c r="F33" s="165"/>
      <c r="G33" s="165"/>
      <c r="H33" s="165"/>
      <c r="I33" s="166"/>
      <c r="J33" s="166"/>
      <c r="K33" s="167"/>
    </row>
    <row r="34" spans="1:11" ht="23.25" x14ac:dyDescent="0.35">
      <c r="A34" s="5"/>
      <c r="B34" s="5"/>
      <c r="D34" s="161"/>
      <c r="E34" s="162"/>
      <c r="F34" s="162"/>
      <c r="G34" s="162"/>
      <c r="H34" s="162"/>
      <c r="I34" s="162"/>
      <c r="J34" s="162"/>
      <c r="K34" s="167"/>
    </row>
    <row r="35" spans="1:11" ht="23.25" x14ac:dyDescent="0.35">
      <c r="D35" s="169"/>
      <c r="E35" s="170"/>
      <c r="F35" s="170"/>
      <c r="G35" s="170"/>
      <c r="H35" s="170"/>
      <c r="I35" s="170"/>
      <c r="J35" s="170"/>
      <c r="K35" s="171"/>
    </row>
    <row r="36" spans="1:11" ht="23.25" x14ac:dyDescent="0.35">
      <c r="D36" s="10"/>
      <c r="E36" s="10"/>
      <c r="F36" s="10"/>
      <c r="G36" s="10"/>
      <c r="H36" s="10"/>
      <c r="I36" s="10"/>
      <c r="J36" s="10"/>
      <c r="K36" s="13"/>
    </row>
    <row r="37" spans="1:11" ht="23.25" x14ac:dyDescent="0.35">
      <c r="D37" s="172" t="s">
        <v>56</v>
      </c>
      <c r="E37" s="173" t="s">
        <v>196</v>
      </c>
      <c r="F37" s="173" t="s">
        <v>197</v>
      </c>
      <c r="G37" s="173" t="s">
        <v>198</v>
      </c>
      <c r="H37" s="173" t="s">
        <v>199</v>
      </c>
      <c r="I37" s="174" t="s">
        <v>200</v>
      </c>
      <c r="J37" s="174" t="s">
        <v>6</v>
      </c>
      <c r="K37" s="175" t="s">
        <v>7</v>
      </c>
    </row>
    <row r="38" spans="1:11" ht="23.25" x14ac:dyDescent="0.35">
      <c r="D38" s="176" t="s">
        <v>201</v>
      </c>
      <c r="E38" s="177"/>
      <c r="F38" s="177"/>
      <c r="G38" s="177"/>
      <c r="H38" s="177"/>
      <c r="I38" s="177"/>
      <c r="J38" s="177"/>
      <c r="K38" s="163"/>
    </row>
    <row r="39" spans="1:11" ht="23.25" x14ac:dyDescent="0.35">
      <c r="D39" s="178" t="s">
        <v>202</v>
      </c>
      <c r="E39" s="165">
        <v>114262.49781235761</v>
      </c>
      <c r="F39" s="165">
        <v>141134</v>
      </c>
      <c r="G39" s="165">
        <v>149264</v>
      </c>
      <c r="H39" s="165">
        <v>184400</v>
      </c>
      <c r="I39" s="179">
        <v>202453.16357</v>
      </c>
      <c r="J39" s="179">
        <v>213339.22725</v>
      </c>
      <c r="K39" s="167">
        <v>180571</v>
      </c>
    </row>
    <row r="40" spans="1:11" ht="23.25" x14ac:dyDescent="0.35">
      <c r="D40" s="178" t="s">
        <v>203</v>
      </c>
      <c r="E40" s="165">
        <v>9179.274861276419</v>
      </c>
      <c r="F40" s="165">
        <v>10449</v>
      </c>
      <c r="G40" s="165">
        <v>13611</v>
      </c>
      <c r="H40" s="165">
        <v>15587</v>
      </c>
      <c r="I40" s="179">
        <v>14084.790489999999</v>
      </c>
      <c r="J40" s="179">
        <v>16784.58149</v>
      </c>
      <c r="K40" s="167">
        <v>15630</v>
      </c>
    </row>
    <row r="41" spans="1:11" ht="23.25" x14ac:dyDescent="0.35">
      <c r="D41" s="178" t="s">
        <v>204</v>
      </c>
      <c r="E41" s="165">
        <v>604.74700000000007</v>
      </c>
      <c r="F41" s="165">
        <v>483</v>
      </c>
      <c r="G41" s="165">
        <v>310</v>
      </c>
      <c r="H41" s="165">
        <v>2061</v>
      </c>
      <c r="I41" s="179">
        <v>331.98156</v>
      </c>
      <c r="J41" s="179">
        <v>281</v>
      </c>
      <c r="K41" s="167">
        <v>290</v>
      </c>
    </row>
    <row r="42" spans="1:11" ht="23.25" x14ac:dyDescent="0.35">
      <c r="D42" s="178" t="s">
        <v>205</v>
      </c>
      <c r="E42" s="165">
        <v>874.93698000000006</v>
      </c>
      <c r="F42" s="165">
        <v>971</v>
      </c>
      <c r="G42" s="165">
        <v>1931</v>
      </c>
      <c r="H42" s="165">
        <v>1476</v>
      </c>
      <c r="I42" s="179">
        <v>1601.3243</v>
      </c>
      <c r="J42" s="179">
        <v>2405.6756999999998</v>
      </c>
      <c r="K42" s="167">
        <v>1714</v>
      </c>
    </row>
    <row r="43" spans="1:11" ht="23.25" x14ac:dyDescent="0.35">
      <c r="D43" s="178" t="s">
        <v>206</v>
      </c>
      <c r="E43" s="165">
        <v>76627.523696752309</v>
      </c>
      <c r="F43" s="165">
        <v>92845</v>
      </c>
      <c r="G43" s="165">
        <v>93524</v>
      </c>
      <c r="H43" s="165">
        <v>119113</v>
      </c>
      <c r="I43" s="179">
        <v>127137.67480000001</v>
      </c>
      <c r="J43" s="179">
        <v>117030.64044</v>
      </c>
      <c r="K43" s="167">
        <v>95473</v>
      </c>
    </row>
    <row r="44" spans="1:11" ht="23.25" x14ac:dyDescent="0.35">
      <c r="D44" s="178" t="s">
        <v>207</v>
      </c>
      <c r="E44" s="165">
        <v>1816.6011899286998</v>
      </c>
      <c r="F44" s="165">
        <v>2566</v>
      </c>
      <c r="G44" s="165">
        <v>3878</v>
      </c>
      <c r="H44" s="165">
        <v>5345</v>
      </c>
      <c r="I44" s="179">
        <v>6256.9666900000002</v>
      </c>
      <c r="J44" s="179">
        <v>13700.26208</v>
      </c>
      <c r="K44" s="167">
        <v>8999</v>
      </c>
    </row>
    <row r="45" spans="1:11" ht="23.25" x14ac:dyDescent="0.35">
      <c r="D45" s="178" t="s">
        <v>208</v>
      </c>
      <c r="E45" s="165">
        <v>44.609000000000002</v>
      </c>
      <c r="F45" s="165">
        <v>352</v>
      </c>
      <c r="G45" s="165">
        <v>240</v>
      </c>
      <c r="H45" s="165">
        <v>774</v>
      </c>
      <c r="I45" s="179">
        <v>558</v>
      </c>
      <c r="J45" s="179">
        <v>935</v>
      </c>
      <c r="K45" s="167">
        <v>3269</v>
      </c>
    </row>
    <row r="46" spans="1:11" ht="23.25" x14ac:dyDescent="0.35">
      <c r="D46" s="178" t="s">
        <v>209</v>
      </c>
      <c r="E46" s="165">
        <v>70653.556702317059</v>
      </c>
      <c r="F46" s="165">
        <v>80094</v>
      </c>
      <c r="G46" s="165">
        <v>71944</v>
      </c>
      <c r="H46" s="165">
        <v>125367</v>
      </c>
      <c r="I46" s="179">
        <v>149388.90723000001</v>
      </c>
      <c r="J46" s="179">
        <v>118276.44117000001</v>
      </c>
      <c r="K46" s="167">
        <v>92741</v>
      </c>
    </row>
    <row r="47" spans="1:11" ht="23.25" x14ac:dyDescent="0.35">
      <c r="D47" s="178" t="s">
        <v>210</v>
      </c>
      <c r="E47" s="165">
        <v>36222.579674861947</v>
      </c>
      <c r="F47" s="165">
        <v>43287</v>
      </c>
      <c r="G47" s="165">
        <v>46088</v>
      </c>
      <c r="H47" s="165">
        <v>68799</v>
      </c>
      <c r="I47" s="179">
        <v>63725.508190000008</v>
      </c>
      <c r="J47" s="179">
        <v>63620.912429999997</v>
      </c>
      <c r="K47" s="167">
        <v>62564</v>
      </c>
    </row>
    <row r="48" spans="1:11" ht="23.25" x14ac:dyDescent="0.35">
      <c r="D48" s="178"/>
      <c r="E48" s="165"/>
      <c r="F48" s="165"/>
      <c r="G48" s="165"/>
      <c r="H48" s="165"/>
      <c r="I48" s="179"/>
      <c r="J48" s="179"/>
      <c r="K48" s="167"/>
    </row>
    <row r="49" spans="3:11" ht="23.25" x14ac:dyDescent="0.35">
      <c r="D49" s="178"/>
      <c r="E49" s="165"/>
      <c r="F49" s="165"/>
      <c r="G49" s="165"/>
      <c r="H49" s="165"/>
      <c r="I49" s="179"/>
      <c r="J49" s="179"/>
      <c r="K49" s="167"/>
    </row>
    <row r="50" spans="3:11" ht="23.25" x14ac:dyDescent="0.35">
      <c r="D50" s="178"/>
      <c r="E50" s="165"/>
      <c r="F50" s="165"/>
      <c r="G50" s="165"/>
      <c r="H50" s="165"/>
      <c r="I50" s="179"/>
      <c r="J50" s="179"/>
      <c r="K50" s="167"/>
    </row>
    <row r="51" spans="3:11" ht="23.25" x14ac:dyDescent="0.35">
      <c r="D51" s="178"/>
      <c r="E51" s="165"/>
      <c r="F51" s="165"/>
      <c r="G51" s="165"/>
      <c r="H51" s="165"/>
      <c r="I51" s="179"/>
      <c r="J51" s="179"/>
      <c r="K51" s="167"/>
    </row>
    <row r="52" spans="3:11" ht="23.25" x14ac:dyDescent="0.35">
      <c r="D52" s="176" t="s">
        <v>213</v>
      </c>
      <c r="E52" s="165"/>
      <c r="F52" s="165"/>
      <c r="G52" s="165"/>
      <c r="H52" s="165"/>
      <c r="I52" s="177"/>
      <c r="J52" s="177"/>
      <c r="K52" s="167"/>
    </row>
    <row r="53" spans="3:11" ht="23.25" x14ac:dyDescent="0.35">
      <c r="D53" s="178" t="s">
        <v>214</v>
      </c>
      <c r="E53" s="165">
        <v>29255.178524143554</v>
      </c>
      <c r="F53" s="165">
        <v>24040</v>
      </c>
      <c r="G53" s="165">
        <v>26888</v>
      </c>
      <c r="H53" s="165">
        <v>48240</v>
      </c>
      <c r="I53" s="179">
        <v>48938.500140000004</v>
      </c>
      <c r="J53" s="179">
        <v>49960.752560000001</v>
      </c>
      <c r="K53" s="167">
        <v>38229</v>
      </c>
    </row>
    <row r="54" spans="3:11" ht="23.25" x14ac:dyDescent="0.35">
      <c r="D54" s="178" t="s">
        <v>215</v>
      </c>
      <c r="E54" s="165">
        <v>39315.464525442978</v>
      </c>
      <c r="F54" s="165">
        <v>46127.870999999999</v>
      </c>
      <c r="G54" s="165">
        <v>37675</v>
      </c>
      <c r="H54" s="165">
        <v>77803</v>
      </c>
      <c r="I54" s="179">
        <v>102407.84476000001</v>
      </c>
      <c r="J54" s="179">
        <v>77040.943350000001</v>
      </c>
      <c r="K54" s="167">
        <v>57286</v>
      </c>
    </row>
    <row r="55" spans="3:11" ht="23.25" x14ac:dyDescent="0.35">
      <c r="D55" s="178" t="s">
        <v>217</v>
      </c>
      <c r="E55" s="165">
        <v>41415.925672953861</v>
      </c>
      <c r="F55" s="165">
        <v>49829</v>
      </c>
      <c r="G55" s="165">
        <v>62083</v>
      </c>
      <c r="H55" s="165">
        <v>65901</v>
      </c>
      <c r="I55" s="179">
        <v>71700.192850000007</v>
      </c>
      <c r="J55" s="179">
        <v>81759.934150000001</v>
      </c>
      <c r="K55" s="167">
        <v>80420</v>
      </c>
    </row>
    <row r="56" spans="3:11" ht="23.25" x14ac:dyDescent="0.35">
      <c r="D56" s="176"/>
      <c r="E56" s="165"/>
      <c r="F56" s="165"/>
      <c r="G56" s="165"/>
      <c r="H56" s="165"/>
      <c r="I56" s="180"/>
      <c r="J56" s="179"/>
      <c r="K56" s="167"/>
    </row>
    <row r="57" spans="3:11" ht="23.25" x14ac:dyDescent="0.35">
      <c r="D57" s="178"/>
      <c r="E57" s="165"/>
      <c r="F57" s="165"/>
      <c r="G57" s="165"/>
      <c r="H57" s="165"/>
      <c r="I57" s="177"/>
      <c r="J57" s="177"/>
      <c r="K57" s="163"/>
    </row>
    <row r="58" spans="3:11" ht="23.25" x14ac:dyDescent="0.35">
      <c r="D58" s="176"/>
      <c r="E58" s="181"/>
      <c r="F58" s="181"/>
      <c r="G58" s="181"/>
      <c r="H58" s="181"/>
      <c r="I58" s="182"/>
      <c r="J58" s="182"/>
      <c r="K58" s="183"/>
    </row>
    <row r="59" spans="3:11" ht="23.25" x14ac:dyDescent="0.35">
      <c r="C59" s="154"/>
      <c r="D59" s="176"/>
      <c r="E59" s="181"/>
      <c r="F59" s="181"/>
      <c r="G59" s="181"/>
      <c r="H59" s="181"/>
      <c r="I59" s="177"/>
      <c r="J59" s="177"/>
      <c r="K59" s="163"/>
    </row>
    <row r="60" spans="3:11" ht="23.25" x14ac:dyDescent="0.35">
      <c r="C60" s="154"/>
      <c r="D60" s="176"/>
      <c r="E60" s="181"/>
      <c r="F60" s="181"/>
      <c r="G60" s="181"/>
      <c r="H60" s="181"/>
      <c r="I60" s="184"/>
      <c r="J60" s="181"/>
      <c r="K60" s="183"/>
    </row>
    <row r="61" spans="3:11" ht="23.25" x14ac:dyDescent="0.35">
      <c r="C61" s="154"/>
      <c r="D61" s="176"/>
      <c r="E61" s="181"/>
      <c r="F61" s="181"/>
      <c r="G61" s="181"/>
      <c r="H61" s="181"/>
      <c r="I61" s="177"/>
      <c r="J61" s="177"/>
      <c r="K61" s="163"/>
    </row>
    <row r="62" spans="3:11" ht="23.25" x14ac:dyDescent="0.35">
      <c r="D62" s="185"/>
      <c r="E62" s="186"/>
      <c r="F62" s="186"/>
      <c r="G62" s="186"/>
      <c r="H62" s="186"/>
      <c r="I62" s="187"/>
      <c r="J62" s="187"/>
      <c r="K62" s="188"/>
    </row>
    <row r="63" spans="3:11" ht="23.25" x14ac:dyDescent="0.35">
      <c r="D63" s="10"/>
      <c r="E63" s="10"/>
      <c r="F63" s="10"/>
      <c r="G63" s="10"/>
      <c r="H63" s="10"/>
      <c r="I63" s="10"/>
      <c r="J63" s="10"/>
      <c r="K63" s="10"/>
    </row>
    <row r="64" spans="3:11" ht="23.25" x14ac:dyDescent="0.35">
      <c r="D64" s="10"/>
      <c r="E64" s="10"/>
      <c r="F64" s="10"/>
      <c r="G64" s="10"/>
      <c r="H64" s="10"/>
      <c r="I64" s="10"/>
      <c r="J64" s="10"/>
      <c r="K64" s="10"/>
    </row>
    <row r="65" spans="3:11" ht="23.25" x14ac:dyDescent="0.35">
      <c r="C65" s="154"/>
      <c r="D65" s="189"/>
      <c r="E65" s="10"/>
      <c r="F65" s="10"/>
      <c r="G65" s="10"/>
      <c r="H65" s="10"/>
      <c r="I65" s="10"/>
      <c r="J65" s="10"/>
      <c r="K65" s="10"/>
    </row>
    <row r="66" spans="3:11" x14ac:dyDescent="0.25">
      <c r="C66" s="154"/>
      <c r="D66" s="154"/>
    </row>
    <row r="67" spans="3:11" x14ac:dyDescent="0.25">
      <c r="C67" s="154"/>
      <c r="D67" s="154"/>
    </row>
    <row r="68" spans="3:11" x14ac:dyDescent="0.25">
      <c r="C68" s="154"/>
      <c r="D68" s="154"/>
    </row>
    <row r="69" spans="3:11" x14ac:dyDescent="0.25">
      <c r="C69" s="154"/>
      <c r="D69" s="154"/>
    </row>
    <row r="70" spans="3:11" x14ac:dyDescent="0.25">
      <c r="C70" s="154"/>
      <c r="D70" s="154"/>
    </row>
  </sheetData>
  <customSheetViews>
    <customSheetView guid="{9EA95E61-FCA5-4867-AEB4-B8C24058ACDD}" scale="60" showGridLines="0" showRowCol="0" state="hidden" topLeftCell="A28">
      <selection activeCell="M39" sqref="M39"/>
      <pageMargins left="0.7" right="0.7" top="0.75" bottom="0.75" header="0.3" footer="0.3"/>
      <pageSetup paperSize="9" orientation="portrait" r:id="rId1"/>
    </customSheetView>
  </customSheetViews>
  <mergeCells count="1">
    <mergeCell ref="I9:J9"/>
  </mergeCell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4:L98"/>
  <sheetViews>
    <sheetView showGridLines="0" showRowColHeaders="0" topLeftCell="A46" zoomScale="60" zoomScaleNormal="60" workbookViewId="0">
      <selection activeCell="F82" sqref="F82"/>
    </sheetView>
  </sheetViews>
  <sheetFormatPr defaultRowHeight="15" x14ac:dyDescent="0.25"/>
  <cols>
    <col min="4" max="4" width="23.7109375" customWidth="1"/>
    <col min="5" max="5" width="38.42578125" bestFit="1" customWidth="1"/>
    <col min="6" max="6" width="35.140625" customWidth="1"/>
    <col min="7" max="7" width="31.85546875" bestFit="1" customWidth="1"/>
    <col min="8" max="8" width="32.5703125" bestFit="1" customWidth="1"/>
    <col min="9" max="10" width="23.7109375" bestFit="1" customWidth="1"/>
  </cols>
  <sheetData>
    <row r="4" spans="3:10" ht="59.25" x14ac:dyDescent="0.75">
      <c r="D4" s="4" t="s">
        <v>115</v>
      </c>
    </row>
    <row r="5" spans="3:10" ht="59.25" x14ac:dyDescent="0.75">
      <c r="D5" s="4"/>
    </row>
    <row r="6" spans="3:10" ht="23.25" thickBot="1" x14ac:dyDescent="0.35">
      <c r="D6" s="11" t="s">
        <v>116</v>
      </c>
      <c r="E6" s="11"/>
      <c r="F6" s="11"/>
      <c r="G6" s="11"/>
      <c r="H6" s="11"/>
      <c r="I6" s="11"/>
      <c r="J6" s="11"/>
    </row>
    <row r="7" spans="3:10" ht="22.5" x14ac:dyDescent="0.3">
      <c r="D7" s="53" t="s">
        <v>1</v>
      </c>
      <c r="E7" s="54" t="s">
        <v>2</v>
      </c>
      <c r="F7" s="55" t="s">
        <v>3</v>
      </c>
      <c r="G7" s="11"/>
      <c r="H7" s="11"/>
      <c r="I7" s="11"/>
      <c r="J7" s="11"/>
    </row>
    <row r="8" spans="3:10" ht="22.5" x14ac:dyDescent="0.3">
      <c r="D8" s="56" t="s">
        <v>4</v>
      </c>
      <c r="E8" s="57">
        <v>967045</v>
      </c>
      <c r="F8" s="58">
        <v>30012266041</v>
      </c>
      <c r="G8" s="11"/>
      <c r="H8" s="11"/>
      <c r="I8" s="11"/>
      <c r="J8" s="11"/>
    </row>
    <row r="9" spans="3:10" ht="23.25" x14ac:dyDescent="0.35">
      <c r="C9" s="10"/>
      <c r="D9" s="56" t="s">
        <v>5</v>
      </c>
      <c r="E9" s="57">
        <v>1001315</v>
      </c>
      <c r="F9" s="58">
        <v>32569007468</v>
      </c>
      <c r="G9" s="11"/>
      <c r="H9" s="11"/>
      <c r="I9" s="11"/>
      <c r="J9" s="11"/>
    </row>
    <row r="10" spans="3:10" ht="23.25" x14ac:dyDescent="0.35">
      <c r="C10" s="10"/>
      <c r="D10" s="56" t="s">
        <v>6</v>
      </c>
      <c r="E10" s="57">
        <v>1049595</v>
      </c>
      <c r="F10" s="58">
        <v>34877267165</v>
      </c>
      <c r="G10" s="11"/>
      <c r="H10" s="11"/>
      <c r="I10" s="11"/>
      <c r="J10" s="11"/>
    </row>
    <row r="11" spans="3:10" ht="24" thickBot="1" x14ac:dyDescent="0.4">
      <c r="C11" s="10"/>
      <c r="D11" s="59" t="s">
        <v>7</v>
      </c>
      <c r="E11" s="60">
        <v>1088088</v>
      </c>
      <c r="F11" s="61">
        <v>36952042490</v>
      </c>
      <c r="G11" s="11"/>
      <c r="H11" s="11"/>
      <c r="I11" s="11"/>
      <c r="J11" s="11"/>
    </row>
    <row r="12" spans="3:10" ht="23.25" x14ac:dyDescent="0.35">
      <c r="C12" s="10"/>
      <c r="D12" s="19"/>
      <c r="E12" s="19"/>
      <c r="F12" s="19"/>
      <c r="G12" s="11"/>
      <c r="H12" s="11"/>
      <c r="I12" s="11"/>
      <c r="J12" s="11"/>
    </row>
    <row r="13" spans="3:10" ht="24" customHeight="1" thickBot="1" x14ac:dyDescent="0.4">
      <c r="C13" s="10"/>
      <c r="D13" s="661" t="s">
        <v>8</v>
      </c>
      <c r="E13" s="661"/>
      <c r="F13" s="661"/>
      <c r="G13" s="661"/>
      <c r="H13" s="661"/>
      <c r="I13" s="661"/>
      <c r="J13" s="661"/>
    </row>
    <row r="14" spans="3:10" ht="67.5" x14ac:dyDescent="0.35">
      <c r="C14" s="10"/>
      <c r="D14" s="14" t="s">
        <v>1</v>
      </c>
      <c r="E14" s="15" t="s">
        <v>9</v>
      </c>
      <c r="F14" s="15" t="s">
        <v>117</v>
      </c>
      <c r="G14" s="15" t="s">
        <v>11</v>
      </c>
      <c r="H14" s="15" t="s">
        <v>12</v>
      </c>
      <c r="I14" s="15" t="s">
        <v>13</v>
      </c>
      <c r="J14" s="16" t="s">
        <v>14</v>
      </c>
    </row>
    <row r="15" spans="3:10" ht="22.5" x14ac:dyDescent="0.25">
      <c r="D15" s="17" t="s">
        <v>15</v>
      </c>
      <c r="E15" s="62">
        <v>1.0402</v>
      </c>
      <c r="F15" s="62">
        <v>1.0397000000000001</v>
      </c>
      <c r="G15" s="62">
        <v>1.04</v>
      </c>
      <c r="H15" s="62">
        <v>1.0437000000000001</v>
      </c>
      <c r="I15" s="62">
        <v>1.0431999999999999</v>
      </c>
      <c r="J15" s="63">
        <v>1.0435000000000001</v>
      </c>
    </row>
    <row r="16" spans="3:10" ht="22.5" x14ac:dyDescent="0.25">
      <c r="D16" s="17" t="s">
        <v>16</v>
      </c>
      <c r="E16" s="62">
        <v>1.024</v>
      </c>
      <c r="F16" s="62">
        <v>1.024</v>
      </c>
      <c r="G16" s="62">
        <v>1.024</v>
      </c>
      <c r="H16" s="62">
        <v>1.0458000000000001</v>
      </c>
      <c r="I16" s="62">
        <v>1.0458000000000001</v>
      </c>
      <c r="J16" s="63">
        <v>1.0458000000000001</v>
      </c>
    </row>
    <row r="17" spans="1:11" ht="23.25" thickBot="1" x14ac:dyDescent="0.3">
      <c r="D17" s="18" t="s">
        <v>17</v>
      </c>
      <c r="E17" s="64">
        <v>1.0230999999999999</v>
      </c>
      <c r="F17" s="64">
        <v>1.0228999999999999</v>
      </c>
      <c r="G17" s="64">
        <v>1.0229999999999999</v>
      </c>
      <c r="H17" s="64">
        <v>1.0358000000000001</v>
      </c>
      <c r="I17" s="64">
        <v>1.0356000000000001</v>
      </c>
      <c r="J17" s="65">
        <v>1.0357000000000001</v>
      </c>
    </row>
    <row r="18" spans="1:11" ht="22.5" x14ac:dyDescent="0.25">
      <c r="D18" s="66"/>
      <c r="E18" s="66"/>
      <c r="F18" s="66"/>
      <c r="G18" s="66"/>
      <c r="H18" s="66"/>
      <c r="I18" s="66"/>
      <c r="J18" s="66"/>
    </row>
    <row r="19" spans="1:11" ht="22.5" x14ac:dyDescent="0.25">
      <c r="D19" s="66"/>
      <c r="E19" s="66"/>
      <c r="F19" s="66"/>
      <c r="G19" s="66"/>
      <c r="H19" s="66"/>
      <c r="I19" s="66"/>
      <c r="J19" s="66"/>
    </row>
    <row r="20" spans="1:11" ht="23.25" thickBot="1" x14ac:dyDescent="0.3">
      <c r="D20" s="662" t="s">
        <v>18</v>
      </c>
      <c r="E20" s="662"/>
      <c r="F20" s="662"/>
      <c r="G20" s="662"/>
      <c r="H20" s="662"/>
      <c r="I20" s="662"/>
      <c r="J20" s="662"/>
    </row>
    <row r="21" spans="1:11" ht="45" x14ac:dyDescent="0.25">
      <c r="D21" s="14" t="s">
        <v>1</v>
      </c>
      <c r="E21" s="15" t="s">
        <v>19</v>
      </c>
      <c r="F21" s="15" t="s">
        <v>20</v>
      </c>
      <c r="G21" s="15" t="s">
        <v>21</v>
      </c>
      <c r="H21" s="15" t="s">
        <v>22</v>
      </c>
      <c r="I21" s="15" t="s">
        <v>23</v>
      </c>
      <c r="J21" s="16" t="s">
        <v>24</v>
      </c>
    </row>
    <row r="22" spans="1:11" ht="22.5" x14ac:dyDescent="0.25">
      <c r="D22" s="17" t="s">
        <v>5</v>
      </c>
      <c r="E22" s="45">
        <v>4.0239999999999998E-2</v>
      </c>
      <c r="F22" s="45">
        <v>3.9739999999999998E-2</v>
      </c>
      <c r="G22" s="45">
        <v>3.9989999999999998E-2</v>
      </c>
      <c r="H22" s="45">
        <v>4.3709999999999999E-2</v>
      </c>
      <c r="I22" s="45">
        <v>4.3209999999999998E-2</v>
      </c>
      <c r="J22" s="46">
        <v>4.3459999999999999E-2</v>
      </c>
    </row>
    <row r="23" spans="1:11" ht="22.5" x14ac:dyDescent="0.25">
      <c r="D23" s="17" t="s">
        <v>6</v>
      </c>
      <c r="E23" s="45">
        <v>2.3990000000000001E-2</v>
      </c>
      <c r="F23" s="45">
        <v>2.3990000000000001E-2</v>
      </c>
      <c r="G23" s="45">
        <v>2.3990000000000001E-2</v>
      </c>
      <c r="H23" s="45">
        <v>4.5789999999999997E-2</v>
      </c>
      <c r="I23" s="45">
        <v>4.5780000000000001E-2</v>
      </c>
      <c r="J23" s="46">
        <v>4.5780000000000001E-2</v>
      </c>
    </row>
    <row r="24" spans="1:11" ht="23.25" thickBot="1" x14ac:dyDescent="0.3">
      <c r="D24" s="18" t="s">
        <v>7</v>
      </c>
      <c r="E24" s="48">
        <v>2.3050000000000001E-2</v>
      </c>
      <c r="F24" s="48">
        <v>2.29E-2</v>
      </c>
      <c r="G24" s="48">
        <v>2.2970000000000001E-2</v>
      </c>
      <c r="H24" s="48">
        <v>3.5770000000000003E-2</v>
      </c>
      <c r="I24" s="48">
        <v>3.5619999999999999E-2</v>
      </c>
      <c r="J24" s="49">
        <v>3.569E-2</v>
      </c>
    </row>
    <row r="25" spans="1:11" ht="22.5" x14ac:dyDescent="0.25">
      <c r="D25" s="66"/>
      <c r="E25" s="67"/>
      <c r="F25" s="67"/>
      <c r="G25" s="67"/>
      <c r="H25" s="67"/>
      <c r="I25" s="67"/>
      <c r="J25" s="67"/>
    </row>
    <row r="26" spans="1:11" ht="22.5" x14ac:dyDescent="0.25">
      <c r="A26" s="5"/>
      <c r="B26" s="5"/>
      <c r="C26" s="5"/>
      <c r="D26" s="66"/>
      <c r="E26" s="67"/>
      <c r="F26" s="67"/>
      <c r="G26" s="67"/>
      <c r="H26" s="67"/>
      <c r="I26" s="67"/>
      <c r="J26" s="67"/>
      <c r="K26" s="5"/>
    </row>
    <row r="27" spans="1:11" ht="22.5" x14ac:dyDescent="0.25">
      <c r="A27" s="5"/>
      <c r="B27" s="5"/>
      <c r="C27" s="5"/>
      <c r="D27" s="66"/>
      <c r="E27" s="67"/>
      <c r="F27" s="67"/>
      <c r="G27" s="67"/>
      <c r="H27" s="67"/>
      <c r="I27" s="67"/>
      <c r="J27" s="67"/>
      <c r="K27" s="5"/>
    </row>
    <row r="28" spans="1:11" ht="23.25" thickBot="1" x14ac:dyDescent="0.3">
      <c r="D28" s="662" t="s">
        <v>25</v>
      </c>
      <c r="E28" s="662"/>
      <c r="F28" s="662"/>
      <c r="G28" s="662"/>
      <c r="H28" s="662"/>
      <c r="I28" s="662"/>
      <c r="J28" s="662"/>
      <c r="K28" s="5"/>
    </row>
    <row r="29" spans="1:11" ht="67.5" x14ac:dyDescent="0.25">
      <c r="D29" s="14" t="s">
        <v>1</v>
      </c>
      <c r="E29" s="15" t="s">
        <v>26</v>
      </c>
      <c r="F29" s="15" t="s">
        <v>27</v>
      </c>
      <c r="G29" s="15" t="s">
        <v>28</v>
      </c>
      <c r="H29" s="15" t="s">
        <v>29</v>
      </c>
      <c r="I29" s="15" t="s">
        <v>30</v>
      </c>
      <c r="J29" s="16" t="s">
        <v>31</v>
      </c>
      <c r="K29" s="5"/>
    </row>
    <row r="30" spans="1:11" ht="22.5" x14ac:dyDescent="0.25">
      <c r="D30" s="17" t="s">
        <v>5</v>
      </c>
      <c r="E30" s="62">
        <v>0.9546</v>
      </c>
      <c r="F30" s="62">
        <v>0.95469999999999999</v>
      </c>
      <c r="G30" s="62">
        <v>0.9546</v>
      </c>
      <c r="H30" s="62">
        <v>0.92320000000000002</v>
      </c>
      <c r="I30" s="62">
        <v>0.92330000000000001</v>
      </c>
      <c r="J30" s="63">
        <v>0.92330000000000001</v>
      </c>
      <c r="K30" s="5"/>
    </row>
    <row r="31" spans="1:11" ht="22.5" x14ac:dyDescent="0.25">
      <c r="D31" s="17" t="s">
        <v>6</v>
      </c>
      <c r="E31" s="62">
        <v>0.97750000000000004</v>
      </c>
      <c r="F31" s="62">
        <v>0.97760000000000002</v>
      </c>
      <c r="G31" s="62">
        <v>0.97750000000000004</v>
      </c>
      <c r="H31" s="62">
        <v>0.96550000000000002</v>
      </c>
      <c r="I31" s="62">
        <v>0.96560000000000001</v>
      </c>
      <c r="J31" s="63">
        <v>0.96550000000000002</v>
      </c>
    </row>
    <row r="32" spans="1:11" ht="23.25" thickBot="1" x14ac:dyDescent="0.3">
      <c r="D32" s="18" t="s">
        <v>7</v>
      </c>
      <c r="E32" s="64">
        <v>1</v>
      </c>
      <c r="F32" s="64">
        <v>1</v>
      </c>
      <c r="G32" s="64">
        <v>1</v>
      </c>
      <c r="H32" s="64">
        <v>1</v>
      </c>
      <c r="I32" s="64">
        <v>1</v>
      </c>
      <c r="J32" s="65">
        <v>1</v>
      </c>
    </row>
    <row r="33" spans="1:10" ht="22.5" x14ac:dyDescent="0.3">
      <c r="D33" s="11"/>
      <c r="E33" s="11"/>
      <c r="F33" s="11"/>
      <c r="G33" s="11"/>
      <c r="H33" s="11"/>
      <c r="I33" s="11"/>
      <c r="J33" s="11"/>
    </row>
    <row r="34" spans="1:10" ht="22.5" x14ac:dyDescent="0.3">
      <c r="A34" s="5"/>
      <c r="B34" s="5"/>
      <c r="C34" s="5"/>
      <c r="D34" s="68"/>
      <c r="E34" s="68"/>
      <c r="F34" s="68"/>
      <c r="G34" s="68"/>
      <c r="H34" s="68"/>
      <c r="I34" s="11"/>
      <c r="J34" s="11"/>
    </row>
    <row r="35" spans="1:10" ht="23.25" thickBot="1" x14ac:dyDescent="0.35">
      <c r="D35" s="659" t="s">
        <v>139</v>
      </c>
      <c r="E35" s="659"/>
      <c r="F35" s="659"/>
      <c r="G35" s="659"/>
      <c r="H35" s="11"/>
      <c r="I35" s="11"/>
      <c r="J35" s="11"/>
    </row>
    <row r="36" spans="1:10" ht="23.25" thickBot="1" x14ac:dyDescent="0.35">
      <c r="D36" s="69" t="s">
        <v>1</v>
      </c>
      <c r="E36" s="70" t="s">
        <v>32</v>
      </c>
      <c r="F36" s="70" t="s">
        <v>2</v>
      </c>
      <c r="G36" s="71" t="s">
        <v>3</v>
      </c>
      <c r="H36" s="11"/>
      <c r="I36" s="11" t="s">
        <v>118</v>
      </c>
      <c r="J36" s="11"/>
    </row>
    <row r="37" spans="1:10" ht="23.25" thickTop="1" x14ac:dyDescent="0.3">
      <c r="D37" s="72" t="s">
        <v>4</v>
      </c>
      <c r="E37" s="73">
        <v>0</v>
      </c>
      <c r="F37" s="74">
        <v>83123</v>
      </c>
      <c r="G37" s="75">
        <v>6369046052</v>
      </c>
      <c r="H37" s="68"/>
      <c r="I37" s="76" t="s">
        <v>128</v>
      </c>
      <c r="J37" s="11"/>
    </row>
    <row r="38" spans="1:10" ht="22.5" x14ac:dyDescent="0.3">
      <c r="D38" s="72"/>
      <c r="E38" s="73">
        <v>1</v>
      </c>
      <c r="F38" s="73">
        <v>709</v>
      </c>
      <c r="G38" s="75">
        <v>54798003</v>
      </c>
      <c r="H38" s="68"/>
      <c r="I38" s="76" t="s">
        <v>129</v>
      </c>
      <c r="J38" s="11"/>
    </row>
    <row r="39" spans="1:10" ht="22.5" x14ac:dyDescent="0.3">
      <c r="D39" s="72"/>
      <c r="E39" s="73">
        <v>2</v>
      </c>
      <c r="F39" s="73">
        <v>44</v>
      </c>
      <c r="G39" s="75">
        <v>3044002</v>
      </c>
      <c r="H39" s="68"/>
      <c r="I39" s="76" t="s">
        <v>132</v>
      </c>
      <c r="J39" s="11"/>
    </row>
    <row r="40" spans="1:10" ht="22.5" x14ac:dyDescent="0.3">
      <c r="D40" s="72"/>
      <c r="E40" s="73">
        <v>8</v>
      </c>
      <c r="F40" s="73">
        <v>350</v>
      </c>
      <c r="G40" s="75">
        <v>9555518</v>
      </c>
      <c r="H40" s="68"/>
      <c r="I40" s="76" t="s">
        <v>130</v>
      </c>
      <c r="J40" s="11"/>
    </row>
    <row r="41" spans="1:10" ht="22.5" x14ac:dyDescent="0.3">
      <c r="D41" s="72"/>
      <c r="E41" s="73">
        <v>9</v>
      </c>
      <c r="F41" s="74">
        <v>3744</v>
      </c>
      <c r="G41" s="75">
        <v>191341747</v>
      </c>
      <c r="H41" s="68"/>
      <c r="I41" s="76" t="s">
        <v>131</v>
      </c>
      <c r="J41" s="11"/>
    </row>
    <row r="42" spans="1:10" ht="22.5" x14ac:dyDescent="0.3">
      <c r="D42" s="72"/>
      <c r="E42" s="73" t="s">
        <v>33</v>
      </c>
      <c r="F42" s="74">
        <v>21149</v>
      </c>
      <c r="G42" s="75">
        <v>661263250</v>
      </c>
      <c r="H42" s="68"/>
      <c r="I42" s="76" t="s">
        <v>127</v>
      </c>
      <c r="J42" s="11"/>
    </row>
    <row r="43" spans="1:10" ht="22.5" x14ac:dyDescent="0.3">
      <c r="D43" s="72"/>
      <c r="E43" s="73" t="s">
        <v>34</v>
      </c>
      <c r="F43" s="74">
        <v>237815</v>
      </c>
      <c r="G43" s="75">
        <v>5979891621</v>
      </c>
      <c r="H43" s="68"/>
      <c r="I43" s="76" t="s">
        <v>126</v>
      </c>
      <c r="J43" s="11"/>
    </row>
    <row r="44" spans="1:10" ht="22.5" x14ac:dyDescent="0.3">
      <c r="D44" s="72"/>
      <c r="E44" s="73" t="s">
        <v>35</v>
      </c>
      <c r="F44" s="74">
        <v>101706</v>
      </c>
      <c r="G44" s="75">
        <v>1771958198</v>
      </c>
      <c r="H44" s="68"/>
      <c r="I44" s="76" t="s">
        <v>125</v>
      </c>
      <c r="J44" s="11"/>
    </row>
    <row r="45" spans="1:10" ht="22.5" x14ac:dyDescent="0.3">
      <c r="D45" s="72"/>
      <c r="E45" s="73" t="s">
        <v>36</v>
      </c>
      <c r="F45" s="74">
        <v>365279</v>
      </c>
      <c r="G45" s="75">
        <v>10412970392</v>
      </c>
      <c r="H45" s="68"/>
      <c r="I45" s="76" t="s">
        <v>120</v>
      </c>
      <c r="J45" s="11"/>
    </row>
    <row r="46" spans="1:10" ht="22.5" x14ac:dyDescent="0.3">
      <c r="D46" s="72"/>
      <c r="E46" s="73" t="s">
        <v>37</v>
      </c>
      <c r="F46" s="74">
        <v>3510</v>
      </c>
      <c r="G46" s="75">
        <v>62004295</v>
      </c>
      <c r="H46" s="68"/>
      <c r="I46" s="76" t="s">
        <v>119</v>
      </c>
      <c r="J46" s="11"/>
    </row>
    <row r="47" spans="1:10" ht="22.5" x14ac:dyDescent="0.3">
      <c r="D47" s="72"/>
      <c r="E47" s="73" t="s">
        <v>38</v>
      </c>
      <c r="F47" s="74">
        <v>106861</v>
      </c>
      <c r="G47" s="75">
        <v>3300935930</v>
      </c>
      <c r="H47" s="68"/>
      <c r="I47" s="76" t="s">
        <v>121</v>
      </c>
      <c r="J47" s="11"/>
    </row>
    <row r="48" spans="1:10" ht="22.5" x14ac:dyDescent="0.3">
      <c r="D48" s="72"/>
      <c r="E48" s="73" t="s">
        <v>39</v>
      </c>
      <c r="F48" s="74">
        <v>37884</v>
      </c>
      <c r="G48" s="75">
        <v>1149882837</v>
      </c>
      <c r="H48" s="68"/>
      <c r="I48" s="76" t="s">
        <v>122</v>
      </c>
      <c r="J48" s="11"/>
    </row>
    <row r="49" spans="4:12" ht="22.5" x14ac:dyDescent="0.3">
      <c r="D49" s="72"/>
      <c r="E49" s="73" t="s">
        <v>40</v>
      </c>
      <c r="F49" s="74">
        <v>1366</v>
      </c>
      <c r="G49" s="75">
        <v>45574196</v>
      </c>
      <c r="H49" s="68"/>
      <c r="I49" s="76" t="s">
        <v>124</v>
      </c>
      <c r="J49" s="11"/>
    </row>
    <row r="50" spans="4:12" ht="22.5" x14ac:dyDescent="0.3">
      <c r="D50" s="72"/>
      <c r="E50" s="73" t="s">
        <v>41</v>
      </c>
      <c r="F50" s="74">
        <v>3506</v>
      </c>
      <c r="G50" s="75">
        <v>0</v>
      </c>
      <c r="H50" s="68"/>
      <c r="I50" s="76" t="s">
        <v>123</v>
      </c>
      <c r="J50" s="11"/>
    </row>
    <row r="51" spans="4:12" ht="22.5" x14ac:dyDescent="0.3">
      <c r="D51" s="77"/>
      <c r="E51" s="78"/>
      <c r="F51" s="79"/>
      <c r="G51" s="80"/>
      <c r="H51" s="68"/>
      <c r="I51" s="11"/>
      <c r="J51" s="11"/>
    </row>
    <row r="52" spans="4:12" ht="22.5" x14ac:dyDescent="0.3">
      <c r="D52" s="72" t="s">
        <v>5</v>
      </c>
      <c r="E52" s="73">
        <v>0</v>
      </c>
      <c r="F52" s="74">
        <v>88849</v>
      </c>
      <c r="G52" s="75">
        <v>7046860173</v>
      </c>
      <c r="H52" s="68"/>
      <c r="I52" s="11"/>
      <c r="J52" s="11"/>
    </row>
    <row r="53" spans="4:12" ht="22.5" x14ac:dyDescent="0.3">
      <c r="D53" s="72"/>
      <c r="E53" s="73">
        <v>1</v>
      </c>
      <c r="F53" s="73">
        <v>588</v>
      </c>
      <c r="G53" s="75">
        <v>47971927</v>
      </c>
      <c r="H53" s="68"/>
      <c r="I53" s="11"/>
      <c r="J53" s="11"/>
    </row>
    <row r="54" spans="4:12" ht="22.5" x14ac:dyDescent="0.3">
      <c r="D54" s="72"/>
      <c r="E54" s="73">
        <v>2</v>
      </c>
      <c r="F54" s="73">
        <v>45</v>
      </c>
      <c r="G54" s="75">
        <v>3926625</v>
      </c>
      <c r="H54" s="68"/>
      <c r="I54" s="11"/>
      <c r="J54" s="11"/>
    </row>
    <row r="55" spans="4:12" ht="22.5" x14ac:dyDescent="0.3">
      <c r="D55" s="72"/>
      <c r="E55" s="73">
        <v>8</v>
      </c>
      <c r="F55" s="73">
        <v>647</v>
      </c>
      <c r="G55" s="75">
        <v>18349928</v>
      </c>
      <c r="H55" s="68"/>
      <c r="I55" s="11" t="s">
        <v>189</v>
      </c>
      <c r="J55" s="153">
        <v>72736.800000000003</v>
      </c>
      <c r="K55" s="154">
        <v>72444.2</v>
      </c>
      <c r="L55" s="154">
        <v>71817.399999999994</v>
      </c>
    </row>
    <row r="56" spans="4:12" ht="22.5" x14ac:dyDescent="0.3">
      <c r="D56" s="72"/>
      <c r="E56" s="73">
        <v>9</v>
      </c>
      <c r="F56" s="74">
        <v>3791</v>
      </c>
      <c r="G56" s="75">
        <v>280792031</v>
      </c>
      <c r="H56" s="68"/>
      <c r="I56" s="11" t="s">
        <v>190</v>
      </c>
      <c r="J56" s="153">
        <v>5562.3</v>
      </c>
      <c r="K56" s="154">
        <v>5654.2</v>
      </c>
      <c r="L56" s="154">
        <v>5812.9</v>
      </c>
    </row>
    <row r="57" spans="4:12" ht="22.5" x14ac:dyDescent="0.3">
      <c r="D57" s="72"/>
      <c r="E57" s="73" t="s">
        <v>33</v>
      </c>
      <c r="F57" s="74">
        <v>23143</v>
      </c>
      <c r="G57" s="75">
        <v>759413417</v>
      </c>
      <c r="H57" s="68"/>
      <c r="I57" s="11" t="s">
        <v>191</v>
      </c>
      <c r="J57" s="153">
        <v>5237.2</v>
      </c>
      <c r="K57" s="154">
        <v>5329.7</v>
      </c>
      <c r="L57" s="154">
        <v>5467.7</v>
      </c>
    </row>
    <row r="58" spans="4:12" ht="22.5" x14ac:dyDescent="0.3">
      <c r="D58" s="72"/>
      <c r="E58" s="73" t="s">
        <v>34</v>
      </c>
      <c r="F58" s="74">
        <v>243678</v>
      </c>
      <c r="G58" s="75">
        <v>6448222792</v>
      </c>
      <c r="H58" s="68"/>
      <c r="I58" s="11" t="s">
        <v>178</v>
      </c>
      <c r="J58" s="11">
        <v>153</v>
      </c>
      <c r="K58">
        <v>157.80000000000001</v>
      </c>
      <c r="L58">
        <v>159</v>
      </c>
    </row>
    <row r="59" spans="4:12" ht="22.5" x14ac:dyDescent="0.3">
      <c r="D59" s="72"/>
      <c r="E59" s="73" t="s">
        <v>35</v>
      </c>
      <c r="F59" s="74">
        <v>107392</v>
      </c>
      <c r="G59" s="75">
        <v>1966794729</v>
      </c>
      <c r="H59" s="68"/>
      <c r="I59" s="11" t="s">
        <v>179</v>
      </c>
      <c r="J59" s="11">
        <v>81.400000000000006</v>
      </c>
      <c r="K59">
        <v>74.7</v>
      </c>
      <c r="L59">
        <v>78.099999999999994</v>
      </c>
    </row>
    <row r="60" spans="4:12" ht="22.5" x14ac:dyDescent="0.3">
      <c r="D60" s="72"/>
      <c r="E60" s="73" t="s">
        <v>36</v>
      </c>
      <c r="F60" s="74">
        <v>372112</v>
      </c>
      <c r="G60" s="75">
        <v>11102319201</v>
      </c>
      <c r="H60" s="68"/>
      <c r="I60" s="11" t="s">
        <v>180</v>
      </c>
      <c r="J60" s="11">
        <v>90.7</v>
      </c>
      <c r="K60">
        <v>92</v>
      </c>
      <c r="L60">
        <v>108.2</v>
      </c>
    </row>
    <row r="61" spans="4:12" ht="22.5" x14ac:dyDescent="0.3">
      <c r="D61" s="72"/>
      <c r="E61" s="73" t="s">
        <v>37</v>
      </c>
      <c r="F61" s="74">
        <v>3006</v>
      </c>
      <c r="G61" s="75">
        <v>57844808</v>
      </c>
      <c r="H61" s="68"/>
      <c r="I61" s="11" t="s">
        <v>181</v>
      </c>
      <c r="J61" s="153">
        <v>1402.8</v>
      </c>
      <c r="K61" s="154">
        <v>1428.6</v>
      </c>
      <c r="L61" s="154">
        <v>1458.2</v>
      </c>
    </row>
    <row r="62" spans="4:12" ht="22.5" x14ac:dyDescent="0.3">
      <c r="D62" s="72"/>
      <c r="E62" s="73" t="s">
        <v>38</v>
      </c>
      <c r="F62" s="74">
        <v>114024</v>
      </c>
      <c r="G62" s="75">
        <v>3576624869</v>
      </c>
      <c r="H62" s="68"/>
      <c r="I62" s="11" t="s">
        <v>182</v>
      </c>
      <c r="J62" s="153">
        <v>16150.8</v>
      </c>
      <c r="K62" s="154">
        <v>15502.1</v>
      </c>
      <c r="L62" s="154">
        <v>15229.5</v>
      </c>
    </row>
    <row r="63" spans="4:12" ht="22.5" x14ac:dyDescent="0.3">
      <c r="D63" s="72"/>
      <c r="E63" s="73" t="s">
        <v>39</v>
      </c>
      <c r="F63" s="74">
        <v>40121</v>
      </c>
      <c r="G63" s="75">
        <v>1234364603</v>
      </c>
      <c r="H63" s="68"/>
      <c r="I63" s="11" t="s">
        <v>183</v>
      </c>
      <c r="J63" s="153">
        <v>3408.2</v>
      </c>
      <c r="K63" s="154">
        <v>3568.8</v>
      </c>
      <c r="L63" s="154">
        <v>3474.6</v>
      </c>
    </row>
    <row r="64" spans="4:12" ht="22.5" x14ac:dyDescent="0.3">
      <c r="D64" s="72"/>
      <c r="E64" s="73" t="s">
        <v>40</v>
      </c>
      <c r="F64" s="73">
        <v>672</v>
      </c>
      <c r="G64" s="75">
        <v>25522365</v>
      </c>
      <c r="H64" s="68"/>
      <c r="I64" s="11" t="s">
        <v>184</v>
      </c>
      <c r="J64" s="153">
        <v>6511.5</v>
      </c>
      <c r="K64" s="154">
        <v>6480.2</v>
      </c>
      <c r="L64" s="154">
        <v>6236.1</v>
      </c>
    </row>
    <row r="65" spans="4:12" ht="22.5" x14ac:dyDescent="0.3">
      <c r="D65" s="72"/>
      <c r="E65" s="73" t="s">
        <v>41</v>
      </c>
      <c r="F65" s="74">
        <v>3248</v>
      </c>
      <c r="G65" s="75">
        <v>0</v>
      </c>
      <c r="H65" s="68"/>
      <c r="I65" s="11" t="s">
        <v>185</v>
      </c>
      <c r="J65" s="153">
        <v>28199.200000000001</v>
      </c>
      <c r="K65" s="154">
        <v>28168.400000000001</v>
      </c>
      <c r="L65" s="154">
        <v>27998.799999999999</v>
      </c>
    </row>
    <row r="66" spans="4:12" ht="22.5" x14ac:dyDescent="0.3">
      <c r="D66" s="77"/>
      <c r="E66" s="78"/>
      <c r="F66" s="79"/>
      <c r="G66" s="80"/>
      <c r="H66" s="68"/>
      <c r="I66" s="11" t="s">
        <v>186</v>
      </c>
      <c r="J66" s="153">
        <v>11202.1</v>
      </c>
      <c r="K66" s="154">
        <v>11483.2</v>
      </c>
      <c r="L66" s="154">
        <v>11450.3</v>
      </c>
    </row>
    <row r="67" spans="4:12" ht="22.5" x14ac:dyDescent="0.3">
      <c r="D67" s="72" t="s">
        <v>6</v>
      </c>
      <c r="E67" s="73">
        <v>0</v>
      </c>
      <c r="F67" s="74">
        <v>91449</v>
      </c>
      <c r="G67" s="75">
        <v>7338360094</v>
      </c>
      <c r="H67" s="68"/>
      <c r="I67" s="11" t="s">
        <v>187</v>
      </c>
      <c r="J67" s="11">
        <v>204.3</v>
      </c>
      <c r="K67">
        <v>144.6</v>
      </c>
      <c r="L67">
        <v>143.80000000000001</v>
      </c>
    </row>
    <row r="68" spans="4:12" ht="22.5" x14ac:dyDescent="0.3">
      <c r="D68" s="72"/>
      <c r="E68" s="73">
        <v>1</v>
      </c>
      <c r="F68" s="73">
        <v>514</v>
      </c>
      <c r="G68" s="75">
        <v>43055106</v>
      </c>
      <c r="H68" s="68"/>
      <c r="I68" s="11" t="s">
        <v>188</v>
      </c>
      <c r="J68" s="11"/>
    </row>
    <row r="69" spans="4:12" ht="22.5" x14ac:dyDescent="0.3">
      <c r="D69" s="72"/>
      <c r="E69" s="73">
        <v>2</v>
      </c>
      <c r="F69" s="73">
        <v>30</v>
      </c>
      <c r="G69" s="75">
        <v>2761332</v>
      </c>
      <c r="H69" s="68"/>
      <c r="I69" s="11"/>
      <c r="J69" s="11"/>
    </row>
    <row r="70" spans="4:12" ht="22.5" x14ac:dyDescent="0.3">
      <c r="D70" s="72"/>
      <c r="E70" s="73">
        <v>8</v>
      </c>
      <c r="F70" s="73">
        <v>998</v>
      </c>
      <c r="G70" s="75">
        <v>28965350</v>
      </c>
      <c r="H70" s="68"/>
      <c r="I70" s="11"/>
      <c r="J70" s="11"/>
    </row>
    <row r="71" spans="4:12" ht="22.5" x14ac:dyDescent="0.3">
      <c r="D71" s="72"/>
      <c r="E71" s="73">
        <v>9</v>
      </c>
      <c r="F71" s="74">
        <v>3682</v>
      </c>
      <c r="G71" s="75">
        <v>286210896</v>
      </c>
      <c r="H71" s="68"/>
      <c r="I71" s="11"/>
      <c r="J71" s="11"/>
    </row>
    <row r="72" spans="4:12" ht="22.5" x14ac:dyDescent="0.3">
      <c r="D72" s="72"/>
      <c r="E72" s="73" t="s">
        <v>33</v>
      </c>
      <c r="F72" s="74">
        <v>24489</v>
      </c>
      <c r="G72" s="75">
        <v>807194125</v>
      </c>
      <c r="H72" s="68"/>
      <c r="I72" s="11"/>
      <c r="J72" s="11"/>
    </row>
    <row r="73" spans="4:12" ht="22.5" x14ac:dyDescent="0.3">
      <c r="D73" s="72"/>
      <c r="E73" s="73" t="s">
        <v>34</v>
      </c>
      <c r="F73" s="74">
        <v>263497</v>
      </c>
      <c r="G73" s="75">
        <v>7180624167</v>
      </c>
      <c r="H73" s="68"/>
      <c r="I73" s="11"/>
      <c r="J73" s="11"/>
    </row>
    <row r="74" spans="4:12" ht="22.5" x14ac:dyDescent="0.3">
      <c r="D74" s="72"/>
      <c r="E74" s="73" t="s">
        <v>35</v>
      </c>
      <c r="F74" s="74">
        <v>113790</v>
      </c>
      <c r="G74" s="75">
        <v>2135610875</v>
      </c>
      <c r="H74" s="68"/>
      <c r="I74" s="11"/>
      <c r="J74" s="11"/>
    </row>
    <row r="75" spans="4:12" ht="22.5" x14ac:dyDescent="0.3">
      <c r="D75" s="72"/>
      <c r="E75" s="73" t="s">
        <v>36</v>
      </c>
      <c r="F75" s="74">
        <v>380160</v>
      </c>
      <c r="G75" s="75">
        <v>11741194225</v>
      </c>
      <c r="H75" s="68"/>
      <c r="I75" s="11"/>
      <c r="J75" s="11"/>
    </row>
    <row r="76" spans="4:12" ht="22.5" x14ac:dyDescent="0.3">
      <c r="D76" s="72"/>
      <c r="E76" s="73" t="s">
        <v>37</v>
      </c>
      <c r="F76" s="74">
        <v>2915</v>
      </c>
      <c r="G76" s="75">
        <v>59080658</v>
      </c>
      <c r="H76" s="68"/>
      <c r="I76" s="11"/>
      <c r="J76" s="11"/>
    </row>
    <row r="77" spans="4:12" ht="22.5" x14ac:dyDescent="0.3">
      <c r="D77" s="72"/>
      <c r="E77" s="73" t="s">
        <v>38</v>
      </c>
      <c r="F77" s="74">
        <v>121885</v>
      </c>
      <c r="G77" s="75">
        <v>3889978390</v>
      </c>
      <c r="H77" s="68"/>
      <c r="I77" s="11"/>
      <c r="J77" s="11"/>
    </row>
    <row r="78" spans="4:12" ht="22.5" x14ac:dyDescent="0.3">
      <c r="D78" s="72"/>
      <c r="E78" s="73" t="s">
        <v>39</v>
      </c>
      <c r="F78" s="74">
        <v>42435</v>
      </c>
      <c r="G78" s="75">
        <v>1342889739</v>
      </c>
      <c r="H78" s="68"/>
      <c r="I78" s="11"/>
      <c r="J78" s="11"/>
    </row>
    <row r="79" spans="4:12" ht="22.5" x14ac:dyDescent="0.3">
      <c r="D79" s="72"/>
      <c r="E79" s="73" t="s">
        <v>40</v>
      </c>
      <c r="F79" s="73">
        <v>530</v>
      </c>
      <c r="G79" s="75">
        <v>21342208</v>
      </c>
      <c r="H79" s="68"/>
      <c r="I79" s="11"/>
      <c r="J79" s="11"/>
    </row>
    <row r="80" spans="4:12" ht="22.5" x14ac:dyDescent="0.3">
      <c r="D80" s="72"/>
      <c r="E80" s="73" t="s">
        <v>41</v>
      </c>
      <c r="F80" s="74">
        <v>3224</v>
      </c>
      <c r="G80" s="75">
        <v>0</v>
      </c>
      <c r="H80" s="68"/>
      <c r="I80" s="11"/>
      <c r="J80" s="11"/>
    </row>
    <row r="81" spans="4:10" ht="22.5" x14ac:dyDescent="0.3">
      <c r="D81" s="77"/>
      <c r="E81" s="78"/>
      <c r="F81" s="79"/>
      <c r="G81" s="80"/>
      <c r="H81" s="68"/>
      <c r="I81" s="11"/>
      <c r="J81" s="11"/>
    </row>
    <row r="82" spans="4:10" ht="22.5" x14ac:dyDescent="0.3">
      <c r="D82" s="72" t="s">
        <v>7</v>
      </c>
      <c r="E82" s="73">
        <v>0</v>
      </c>
      <c r="F82" s="74">
        <v>95106</v>
      </c>
      <c r="G82" s="75">
        <v>7587449514</v>
      </c>
      <c r="H82" s="68"/>
      <c r="I82" s="11"/>
      <c r="J82" s="11"/>
    </row>
    <row r="83" spans="4:10" ht="22.5" x14ac:dyDescent="0.3">
      <c r="D83" s="72"/>
      <c r="E83" s="73">
        <v>1</v>
      </c>
      <c r="F83" s="74">
        <v>1001</v>
      </c>
      <c r="G83" s="75">
        <v>82919356</v>
      </c>
      <c r="H83" s="68"/>
      <c r="I83" s="11"/>
      <c r="J83" s="11"/>
    </row>
    <row r="84" spans="4:10" ht="22.5" x14ac:dyDescent="0.3">
      <c r="D84" s="72"/>
      <c r="E84" s="73">
        <v>2</v>
      </c>
      <c r="F84" s="73">
        <v>25</v>
      </c>
      <c r="G84" s="75">
        <v>2190861</v>
      </c>
      <c r="H84" s="68"/>
      <c r="I84" s="11"/>
      <c r="J84" s="11"/>
    </row>
    <row r="85" spans="4:10" ht="22.5" x14ac:dyDescent="0.3">
      <c r="D85" s="72"/>
      <c r="E85" s="73">
        <v>8</v>
      </c>
      <c r="F85" s="74">
        <v>1245</v>
      </c>
      <c r="G85" s="75">
        <v>36982725</v>
      </c>
      <c r="H85" s="68"/>
      <c r="I85" s="11"/>
      <c r="J85" s="11"/>
    </row>
    <row r="86" spans="4:10" ht="22.5" x14ac:dyDescent="0.3">
      <c r="D86" s="72"/>
      <c r="E86" s="73">
        <v>9</v>
      </c>
      <c r="F86" s="74">
        <v>2377</v>
      </c>
      <c r="G86" s="75">
        <v>186701000</v>
      </c>
      <c r="H86" s="68"/>
      <c r="I86" s="11"/>
      <c r="J86" s="11"/>
    </row>
    <row r="87" spans="4:10" ht="22.5" x14ac:dyDescent="0.3">
      <c r="D87" s="72"/>
      <c r="E87" s="73" t="s">
        <v>33</v>
      </c>
      <c r="F87" s="74">
        <v>25085</v>
      </c>
      <c r="G87" s="75">
        <v>828489031</v>
      </c>
      <c r="H87" s="68"/>
      <c r="I87" s="11"/>
      <c r="J87" s="11"/>
    </row>
    <row r="88" spans="4:10" ht="22.5" x14ac:dyDescent="0.3">
      <c r="D88" s="72"/>
      <c r="E88" s="73" t="s">
        <v>34</v>
      </c>
      <c r="F88" s="74">
        <v>270074</v>
      </c>
      <c r="G88" s="75">
        <v>7671335177</v>
      </c>
      <c r="H88" s="68"/>
      <c r="I88" s="11"/>
      <c r="J88" s="11"/>
    </row>
    <row r="89" spans="4:10" ht="22.5" x14ac:dyDescent="0.3">
      <c r="D89" s="72"/>
      <c r="E89" s="73" t="s">
        <v>35</v>
      </c>
      <c r="F89" s="74">
        <v>118145</v>
      </c>
      <c r="G89" s="75">
        <v>2282668396</v>
      </c>
      <c r="H89" s="68"/>
      <c r="I89" s="11"/>
      <c r="J89" s="11"/>
    </row>
    <row r="90" spans="4:10" ht="22.5" x14ac:dyDescent="0.3">
      <c r="D90" s="72"/>
      <c r="E90" s="73" t="s">
        <v>36</v>
      </c>
      <c r="F90" s="74">
        <v>393368</v>
      </c>
      <c r="G90" s="75">
        <v>12504942970</v>
      </c>
      <c r="H90" s="68"/>
      <c r="I90" s="11"/>
      <c r="J90" s="11"/>
    </row>
    <row r="91" spans="4:10" ht="22.5" x14ac:dyDescent="0.3">
      <c r="D91" s="72"/>
      <c r="E91" s="73" t="s">
        <v>37</v>
      </c>
      <c r="F91" s="74">
        <v>3114</v>
      </c>
      <c r="G91" s="75">
        <v>64344279</v>
      </c>
      <c r="H91" s="68"/>
      <c r="I91" s="11"/>
      <c r="J91" s="11"/>
    </row>
    <row r="92" spans="4:10" ht="22.5" x14ac:dyDescent="0.3">
      <c r="D92" s="72"/>
      <c r="E92" s="73" t="s">
        <v>38</v>
      </c>
      <c r="F92" s="74">
        <v>131653</v>
      </c>
      <c r="G92" s="75">
        <v>4301355377</v>
      </c>
      <c r="H92" s="68"/>
      <c r="I92" s="11"/>
      <c r="J92" s="11"/>
    </row>
    <row r="93" spans="4:10" ht="22.5" x14ac:dyDescent="0.3">
      <c r="D93" s="72"/>
      <c r="E93" s="73" t="s">
        <v>39</v>
      </c>
      <c r="F93" s="74">
        <v>43173</v>
      </c>
      <c r="G93" s="75">
        <v>1397214742</v>
      </c>
      <c r="H93" s="68"/>
      <c r="I93" s="11"/>
      <c r="J93" s="11"/>
    </row>
    <row r="94" spans="4:10" ht="22.5" x14ac:dyDescent="0.3">
      <c r="D94" s="72"/>
      <c r="E94" s="73" t="s">
        <v>40</v>
      </c>
      <c r="F94" s="73">
        <v>133</v>
      </c>
      <c r="G94" s="75">
        <v>5449063</v>
      </c>
      <c r="H94" s="68"/>
      <c r="I94" s="11"/>
      <c r="J94" s="11"/>
    </row>
    <row r="95" spans="4:10" ht="23.25" thickBot="1" x14ac:dyDescent="0.35">
      <c r="D95" s="81"/>
      <c r="E95" s="82" t="s">
        <v>41</v>
      </c>
      <c r="F95" s="83">
        <v>3591</v>
      </c>
      <c r="G95" s="84">
        <v>0</v>
      </c>
      <c r="H95" s="68"/>
      <c r="I95" s="11"/>
      <c r="J95" s="11"/>
    </row>
    <row r="96" spans="4:10" ht="22.5" x14ac:dyDescent="0.3">
      <c r="D96" s="660"/>
      <c r="E96" s="660"/>
      <c r="F96" s="660"/>
      <c r="G96" s="660"/>
      <c r="H96" s="68"/>
      <c r="I96" s="11"/>
      <c r="J96" s="11"/>
    </row>
    <row r="97" spans="4:10" ht="22.5" x14ac:dyDescent="0.3">
      <c r="D97" s="11"/>
      <c r="E97" s="11"/>
      <c r="F97" s="11"/>
      <c r="G97" s="11"/>
      <c r="H97" s="68"/>
      <c r="I97" s="11"/>
      <c r="J97" s="11"/>
    </row>
    <row r="98" spans="4:10" ht="23.25" x14ac:dyDescent="0.35">
      <c r="H98" s="20"/>
      <c r="I98" s="10"/>
      <c r="J98" s="10"/>
    </row>
  </sheetData>
  <customSheetViews>
    <customSheetView guid="{9EA95E61-FCA5-4867-AEB4-B8C24058ACDD}" scale="60" showGridLines="0" showRowCol="0" state="hidden" topLeftCell="A46">
      <selection activeCell="F82" sqref="F82"/>
      <pageMargins left="0.7" right="0.7" top="0.75" bottom="0.75" header="0.3" footer="0.3"/>
      <pageSetup paperSize="9" orientation="portrait" r:id="rId1"/>
    </customSheetView>
  </customSheetViews>
  <mergeCells count="5">
    <mergeCell ref="D35:G35"/>
    <mergeCell ref="D96:G96"/>
    <mergeCell ref="D13:J13"/>
    <mergeCell ref="D20:J20"/>
    <mergeCell ref="D28:J28"/>
  </mergeCell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38"/>
  <sheetViews>
    <sheetView showGridLines="0" showRowColHeaders="0" topLeftCell="A4" zoomScaleNormal="100" workbookViewId="0">
      <selection activeCell="D35" sqref="D35"/>
    </sheetView>
  </sheetViews>
  <sheetFormatPr defaultRowHeight="15" x14ac:dyDescent="0.25"/>
  <cols>
    <col min="2" max="2" width="18.140625" bestFit="1" customWidth="1"/>
    <col min="3" max="3" width="35.140625" bestFit="1" customWidth="1"/>
  </cols>
  <sheetData>
    <row r="1" spans="1:10" x14ac:dyDescent="0.25">
      <c r="B1" s="231"/>
      <c r="C1" s="231"/>
    </row>
    <row r="4" spans="1:10" ht="34.5" x14ac:dyDescent="0.45">
      <c r="B4" s="270" t="s">
        <v>338</v>
      </c>
    </row>
    <row r="5" spans="1:10" ht="34.5" x14ac:dyDescent="0.45">
      <c r="B5" s="270"/>
    </row>
    <row r="6" spans="1:10" x14ac:dyDescent="0.25">
      <c r="B6" s="279" t="s">
        <v>417</v>
      </c>
      <c r="C6" s="281"/>
      <c r="D6" s="236"/>
      <c r="E6" s="236"/>
      <c r="F6" s="236"/>
      <c r="G6" s="236"/>
      <c r="H6" s="236"/>
      <c r="I6" s="236"/>
      <c r="J6" s="236"/>
    </row>
    <row r="7" spans="1:10" x14ac:dyDescent="0.25">
      <c r="B7" s="279" t="s">
        <v>382</v>
      </c>
      <c r="C7" s="281"/>
      <c r="D7" s="236"/>
      <c r="E7" s="236"/>
      <c r="F7" s="236"/>
      <c r="G7" s="236"/>
      <c r="H7" s="236"/>
      <c r="I7" s="236"/>
      <c r="J7" s="236"/>
    </row>
    <row r="8" spans="1:10" x14ac:dyDescent="0.25">
      <c r="B8" s="279"/>
      <c r="C8" s="281"/>
      <c r="D8" s="236"/>
      <c r="E8" s="236"/>
      <c r="F8" s="236"/>
      <c r="G8" s="236"/>
      <c r="H8" s="236"/>
      <c r="I8" s="236"/>
      <c r="J8" s="236"/>
    </row>
    <row r="9" spans="1:10" x14ac:dyDescent="0.25">
      <c r="B9" s="279"/>
      <c r="C9" s="281"/>
      <c r="D9" s="236"/>
      <c r="E9" s="236"/>
      <c r="F9" s="236"/>
      <c r="G9" s="236"/>
      <c r="H9" s="236"/>
      <c r="I9" s="236"/>
      <c r="J9" s="236"/>
    </row>
    <row r="10" spans="1:10" ht="18" customHeight="1" x14ac:dyDescent="0.25">
      <c r="B10" s="282" t="s">
        <v>383</v>
      </c>
      <c r="C10" s="282" t="s">
        <v>384</v>
      </c>
    </row>
    <row r="11" spans="1:10" ht="18" customHeight="1" x14ac:dyDescent="0.25">
      <c r="B11" s="279" t="s">
        <v>354</v>
      </c>
      <c r="C11" s="279" t="s">
        <v>415</v>
      </c>
    </row>
    <row r="12" spans="1:10" ht="18" customHeight="1" x14ac:dyDescent="0.4">
      <c r="B12" s="337" t="s">
        <v>353</v>
      </c>
      <c r="C12" s="279" t="s">
        <v>416</v>
      </c>
      <c r="D12" s="1"/>
      <c r="E12" s="1"/>
      <c r="F12" s="366"/>
    </row>
    <row r="13" spans="1:10" ht="18" customHeight="1" x14ac:dyDescent="0.35">
      <c r="B13" s="337" t="s">
        <v>351</v>
      </c>
      <c r="C13" s="337" t="s">
        <v>352</v>
      </c>
      <c r="D13" s="11"/>
      <c r="E13" s="11"/>
      <c r="F13" s="10"/>
      <c r="G13" s="10"/>
    </row>
    <row r="14" spans="1:10" ht="18" customHeight="1" x14ac:dyDescent="0.35">
      <c r="A14" s="10"/>
      <c r="B14" s="337" t="s">
        <v>260</v>
      </c>
      <c r="C14" s="337" t="s">
        <v>442</v>
      </c>
      <c r="D14" s="11"/>
      <c r="E14" s="11"/>
      <c r="F14" s="10"/>
      <c r="G14" s="10"/>
    </row>
    <row r="15" spans="1:10" ht="18" customHeight="1" x14ac:dyDescent="0.35">
      <c r="A15" s="10"/>
      <c r="B15" s="279" t="s">
        <v>350</v>
      </c>
      <c r="C15" s="279" t="s">
        <v>438</v>
      </c>
      <c r="D15" s="11"/>
      <c r="E15" s="11"/>
      <c r="F15" s="10"/>
      <c r="G15" s="10"/>
    </row>
    <row r="16" spans="1:10" ht="18" customHeight="1" x14ac:dyDescent="0.4">
      <c r="A16" s="10"/>
      <c r="B16" s="279" t="s">
        <v>355</v>
      </c>
      <c r="C16" s="279" t="s">
        <v>356</v>
      </c>
      <c r="D16" s="1"/>
      <c r="E16" s="1"/>
    </row>
    <row r="17" spans="1:5" ht="18" customHeight="1" x14ac:dyDescent="0.4">
      <c r="A17" s="10"/>
      <c r="B17" s="279" t="s">
        <v>143</v>
      </c>
      <c r="C17" s="279" t="s">
        <v>440</v>
      </c>
      <c r="D17" s="1"/>
      <c r="E17" s="1"/>
    </row>
    <row r="18" spans="1:5" ht="18" customHeight="1" x14ac:dyDescent="0.3">
      <c r="B18" s="337" t="s">
        <v>92</v>
      </c>
      <c r="C18" s="279" t="s">
        <v>439</v>
      </c>
      <c r="D18" s="11"/>
      <c r="E18" s="11"/>
    </row>
    <row r="19" spans="1:5" ht="18" customHeight="1" x14ac:dyDescent="0.35">
      <c r="A19" s="10"/>
      <c r="B19" s="272" t="s">
        <v>385</v>
      </c>
      <c r="C19" s="337" t="s">
        <v>437</v>
      </c>
      <c r="D19" s="11"/>
      <c r="E19" s="11"/>
    </row>
    <row r="20" spans="1:5" ht="18" customHeight="1" x14ac:dyDescent="0.35">
      <c r="A20" s="10"/>
      <c r="B20" s="279" t="s">
        <v>261</v>
      </c>
      <c r="C20" s="279" t="s">
        <v>443</v>
      </c>
      <c r="D20" s="11"/>
      <c r="E20" s="11"/>
    </row>
    <row r="21" spans="1:5" ht="18" customHeight="1" x14ac:dyDescent="0.4">
      <c r="A21" s="10"/>
      <c r="B21" s="8"/>
      <c r="C21" s="8"/>
      <c r="D21" s="1"/>
      <c r="E21" s="1"/>
    </row>
    <row r="22" spans="1:5" ht="18" customHeight="1" x14ac:dyDescent="0.4">
      <c r="A22" s="10"/>
      <c r="B22" s="8"/>
      <c r="C22" s="8"/>
      <c r="D22" s="1"/>
      <c r="E22" s="1"/>
    </row>
    <row r="23" spans="1:5" ht="18" customHeight="1" x14ac:dyDescent="0.4">
      <c r="A23" s="10"/>
      <c r="B23" s="233"/>
      <c r="C23" s="8"/>
      <c r="D23" s="1"/>
      <c r="E23" s="1"/>
    </row>
    <row r="24" spans="1:5" ht="18" customHeight="1" x14ac:dyDescent="0.4">
      <c r="B24" s="8"/>
      <c r="C24" s="8"/>
      <c r="D24" s="1"/>
      <c r="E24" s="1"/>
    </row>
    <row r="25" spans="1:5" ht="18" customHeight="1" x14ac:dyDescent="0.4">
      <c r="B25" s="1"/>
      <c r="C25" s="1"/>
      <c r="D25" s="1"/>
      <c r="E25" s="1"/>
    </row>
    <row r="26" spans="1:5" ht="32.25" x14ac:dyDescent="0.4">
      <c r="C26" s="1"/>
      <c r="D26" s="1"/>
      <c r="E26" s="1"/>
    </row>
    <row r="38" spans="2:2" ht="44.25" x14ac:dyDescent="0.55000000000000004">
      <c r="B38" s="3"/>
    </row>
  </sheetData>
  <sortState ref="B6:C12">
    <sortCondition ref="B6"/>
  </sortState>
  <customSheetViews>
    <customSheetView guid="{9EA95E61-FCA5-4867-AEB4-B8C24058ACDD}" showGridLines="0" showRowCol="0">
      <selection activeCell="G32" sqref="G32"/>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T64"/>
  <sheetViews>
    <sheetView topLeftCell="G1" workbookViewId="0">
      <selection activeCell="M34" sqref="M34"/>
    </sheetView>
  </sheetViews>
  <sheetFormatPr defaultRowHeight="15" x14ac:dyDescent="0.25"/>
  <cols>
    <col min="4" max="4" width="39.85546875" customWidth="1"/>
    <col min="9" max="9" width="11" bestFit="1" customWidth="1"/>
    <col min="11" max="11" width="14.28515625" bestFit="1" customWidth="1"/>
    <col min="14" max="17" width="13.7109375" bestFit="1" customWidth="1"/>
  </cols>
  <sheetData>
    <row r="1" spans="1:20" ht="15.75" thickBot="1" x14ac:dyDescent="0.3">
      <c r="A1" s="663" t="s">
        <v>139</v>
      </c>
      <c r="B1" s="663"/>
      <c r="C1" s="663"/>
      <c r="D1" s="663"/>
    </row>
    <row r="2" spans="1:20" ht="39.75" thickBot="1" x14ac:dyDescent="0.3">
      <c r="A2" s="212" t="s">
        <v>1</v>
      </c>
      <c r="B2" s="213" t="s">
        <v>32</v>
      </c>
      <c r="C2" s="213" t="s">
        <v>2</v>
      </c>
      <c r="D2" s="214" t="s">
        <v>3</v>
      </c>
      <c r="N2" t="s">
        <v>4</v>
      </c>
      <c r="O2" t="s">
        <v>5</v>
      </c>
      <c r="P2" t="s">
        <v>6</v>
      </c>
      <c r="Q2" t="s">
        <v>7</v>
      </c>
    </row>
    <row r="3" spans="1:20" ht="15.75" thickTop="1" x14ac:dyDescent="0.25">
      <c r="A3" s="215" t="s">
        <v>4</v>
      </c>
      <c r="B3" s="216">
        <v>0</v>
      </c>
      <c r="C3" s="544">
        <v>82054</v>
      </c>
      <c r="D3" s="544">
        <v>6287894412</v>
      </c>
      <c r="H3" t="s">
        <v>226</v>
      </c>
    </row>
    <row r="4" spans="1:20" x14ac:dyDescent="0.25">
      <c r="A4" s="215"/>
      <c r="B4" s="216">
        <v>1</v>
      </c>
      <c r="C4" s="544">
        <v>430</v>
      </c>
      <c r="D4" s="544">
        <v>33457165</v>
      </c>
      <c r="H4" t="s">
        <v>227</v>
      </c>
      <c r="N4" s="218">
        <f>SUM(C3:C6)</f>
        <v>82790</v>
      </c>
      <c r="O4" s="225">
        <f>SUM(C18:C21)</f>
        <v>88647</v>
      </c>
      <c r="P4" s="225">
        <f>SUM(C33:C36)</f>
        <v>91604</v>
      </c>
      <c r="Q4" s="225">
        <f>SUM(C48:C51)</f>
        <v>95077</v>
      </c>
    </row>
    <row r="5" spans="1:20" x14ac:dyDescent="0.25">
      <c r="A5" s="215"/>
      <c r="B5" s="216">
        <v>2</v>
      </c>
      <c r="C5" s="544">
        <v>38</v>
      </c>
      <c r="D5" s="544">
        <v>2630408</v>
      </c>
      <c r="H5" t="s">
        <v>33</v>
      </c>
      <c r="I5" s="413">
        <v>78461.739000000001</v>
      </c>
      <c r="J5" s="413">
        <v>82568.472999999998</v>
      </c>
      <c r="K5" s="413">
        <v>85975.123000000007</v>
      </c>
      <c r="L5" s="413"/>
      <c r="M5" s="413"/>
      <c r="N5" s="217">
        <f>C8</f>
        <v>21149</v>
      </c>
      <c r="O5" s="217">
        <f>C23</f>
        <v>23084</v>
      </c>
      <c r="P5" s="217">
        <f>C38</f>
        <v>24489</v>
      </c>
      <c r="Q5" s="217">
        <f>C53</f>
        <v>25056</v>
      </c>
    </row>
    <row r="6" spans="1:20" ht="15.75" thickBot="1" x14ac:dyDescent="0.3">
      <c r="A6" s="215"/>
      <c r="B6" s="216">
        <v>8</v>
      </c>
      <c r="C6" s="544">
        <v>268</v>
      </c>
      <c r="D6" s="225">
        <v>7296824</v>
      </c>
      <c r="H6" t="s">
        <v>34</v>
      </c>
      <c r="I6" s="413">
        <v>72005.770999999993</v>
      </c>
      <c r="J6" s="413">
        <v>72989.594800999999</v>
      </c>
      <c r="K6" s="413">
        <v>76977.109339000002</v>
      </c>
      <c r="L6" s="413"/>
      <c r="M6" s="413"/>
      <c r="N6" s="217">
        <f t="shared" ref="N6:N13" si="0">C9</f>
        <v>237264</v>
      </c>
      <c r="O6" s="217">
        <f t="shared" ref="O6:O13" si="1">C24</f>
        <v>243018</v>
      </c>
      <c r="P6" s="217">
        <f t="shared" ref="P6:P13" si="2">C39</f>
        <v>262479</v>
      </c>
      <c r="Q6" s="217">
        <f t="shared" ref="Q6:Q12" si="3">C54</f>
        <v>263723</v>
      </c>
    </row>
    <row r="7" spans="1:20" ht="27" thickBot="1" x14ac:dyDescent="0.3">
      <c r="A7" s="215"/>
      <c r="B7" s="216">
        <v>9</v>
      </c>
      <c r="C7" s="225">
        <v>3453</v>
      </c>
      <c r="D7" s="544">
        <v>177530230</v>
      </c>
      <c r="H7" t="s">
        <v>35</v>
      </c>
      <c r="I7" s="603">
        <v>31020.919999997495</v>
      </c>
      <c r="J7" s="603">
        <v>31901.439999997347</v>
      </c>
      <c r="K7" s="603">
        <v>33383.909999999902</v>
      </c>
      <c r="L7" s="603"/>
      <c r="M7" s="603"/>
      <c r="N7" s="217">
        <f t="shared" si="0"/>
        <v>101114</v>
      </c>
      <c r="O7" s="217">
        <f t="shared" si="1"/>
        <v>106406</v>
      </c>
      <c r="P7" s="217">
        <f t="shared" si="2"/>
        <v>112710</v>
      </c>
      <c r="Q7" s="217">
        <f t="shared" si="3"/>
        <v>114786</v>
      </c>
      <c r="T7" s="213" t="s">
        <v>2</v>
      </c>
    </row>
    <row r="8" spans="1:20" ht="40.5" thickTop="1" thickBot="1" x14ac:dyDescent="0.3">
      <c r="A8" s="215"/>
      <c r="B8" s="216" t="s">
        <v>33</v>
      </c>
      <c r="C8" s="544">
        <v>21149</v>
      </c>
      <c r="D8" s="544">
        <v>661263250</v>
      </c>
      <c r="H8" t="s">
        <v>36</v>
      </c>
      <c r="I8" s="589"/>
      <c r="J8" s="589"/>
      <c r="K8" s="589"/>
      <c r="L8" s="589"/>
      <c r="M8" s="589"/>
      <c r="N8" s="217">
        <f t="shared" si="0"/>
        <v>363344</v>
      </c>
      <c r="O8" s="217">
        <f t="shared" si="1"/>
        <v>369509</v>
      </c>
      <c r="P8" s="217">
        <f t="shared" si="2"/>
        <v>377308</v>
      </c>
      <c r="Q8" s="217">
        <f t="shared" si="3"/>
        <v>377938</v>
      </c>
      <c r="T8" s="213" t="s">
        <v>528</v>
      </c>
    </row>
    <row r="9" spans="1:20" ht="15.75" thickTop="1" x14ac:dyDescent="0.25">
      <c r="A9" s="215"/>
      <c r="B9" s="216" t="s">
        <v>34</v>
      </c>
      <c r="C9" s="544">
        <v>237264</v>
      </c>
      <c r="D9" s="544">
        <v>5956031615</v>
      </c>
      <c r="H9" t="s">
        <v>37</v>
      </c>
      <c r="I9" s="413">
        <v>535058.4353499948</v>
      </c>
      <c r="J9" s="413">
        <v>553306.60099999502</v>
      </c>
      <c r="K9" s="413">
        <v>559957.77223799995</v>
      </c>
      <c r="L9" s="413"/>
      <c r="M9" s="413"/>
      <c r="N9" s="217">
        <f t="shared" si="0"/>
        <v>3176</v>
      </c>
      <c r="O9" s="217">
        <f t="shared" si="1"/>
        <v>2623</v>
      </c>
      <c r="P9" s="217">
        <f t="shared" si="2"/>
        <v>2533</v>
      </c>
      <c r="Q9" s="217">
        <f t="shared" si="3"/>
        <v>2644</v>
      </c>
    </row>
    <row r="10" spans="1:20" x14ac:dyDescent="0.25">
      <c r="A10" s="215"/>
      <c r="B10" s="216" t="s">
        <v>35</v>
      </c>
      <c r="C10" s="544">
        <v>101114</v>
      </c>
      <c r="D10" s="544">
        <v>1761360727</v>
      </c>
      <c r="H10" t="s">
        <v>38</v>
      </c>
      <c r="I10" s="413">
        <v>271346.93147000001</v>
      </c>
      <c r="J10" s="413">
        <v>278993.995</v>
      </c>
      <c r="K10" s="413">
        <v>273202.03728699993</v>
      </c>
      <c r="L10" s="413"/>
      <c r="M10" s="413"/>
      <c r="N10" s="217">
        <f t="shared" si="0"/>
        <v>104866</v>
      </c>
      <c r="O10" s="217">
        <f t="shared" si="1"/>
        <v>111321</v>
      </c>
      <c r="P10" s="217">
        <f t="shared" si="2"/>
        <v>118935</v>
      </c>
      <c r="Q10" s="217">
        <f t="shared" si="3"/>
        <v>123875</v>
      </c>
    </row>
    <row r="11" spans="1:20" x14ac:dyDescent="0.25">
      <c r="A11" s="215"/>
      <c r="B11" s="216" t="s">
        <v>36</v>
      </c>
      <c r="C11" s="225">
        <v>363344</v>
      </c>
      <c r="D11" s="544">
        <v>10348164238</v>
      </c>
      <c r="H11" t="s">
        <v>39</v>
      </c>
      <c r="I11" s="413">
        <v>178529.74688999995</v>
      </c>
      <c r="J11" s="413">
        <v>186509.63499999998</v>
      </c>
      <c r="K11" s="413">
        <v>178229.87833899999</v>
      </c>
      <c r="L11" s="413"/>
      <c r="M11" s="413"/>
      <c r="N11" s="217">
        <f t="shared" si="0"/>
        <v>36888</v>
      </c>
      <c r="O11" s="217">
        <f t="shared" si="1"/>
        <v>38735</v>
      </c>
      <c r="P11" s="217">
        <f t="shared" si="2"/>
        <v>40603</v>
      </c>
      <c r="Q11" s="217">
        <f t="shared" si="3"/>
        <v>41539</v>
      </c>
    </row>
    <row r="12" spans="1:20" x14ac:dyDescent="0.25">
      <c r="A12" s="215"/>
      <c r="B12" s="216" t="s">
        <v>37</v>
      </c>
      <c r="C12" s="225">
        <v>3176</v>
      </c>
      <c r="D12" s="544">
        <v>55388343</v>
      </c>
      <c r="H12" t="s">
        <v>40</v>
      </c>
      <c r="N12" s="217">
        <f t="shared" si="0"/>
        <v>1056</v>
      </c>
      <c r="O12" s="217">
        <f t="shared" si="1"/>
        <v>555</v>
      </c>
      <c r="P12" s="217">
        <f t="shared" si="2"/>
        <v>428</v>
      </c>
      <c r="Q12" s="217">
        <f t="shared" si="3"/>
        <v>56</v>
      </c>
    </row>
    <row r="13" spans="1:20" x14ac:dyDescent="0.25">
      <c r="A13" s="215"/>
      <c r="B13" s="216" t="s">
        <v>38</v>
      </c>
      <c r="C13" s="225">
        <v>104866</v>
      </c>
      <c r="D13" s="544">
        <v>3243362907</v>
      </c>
      <c r="H13" t="s">
        <v>41</v>
      </c>
      <c r="N13" s="217">
        <f t="shared" si="0"/>
        <v>3273</v>
      </c>
      <c r="O13" s="217">
        <f t="shared" si="1"/>
        <v>3046</v>
      </c>
      <c r="P13" s="217">
        <f t="shared" si="2"/>
        <v>3038</v>
      </c>
      <c r="Q13" s="217">
        <f>C61</f>
        <v>3299</v>
      </c>
    </row>
    <row r="14" spans="1:20" x14ac:dyDescent="0.25">
      <c r="A14" s="215"/>
      <c r="B14" s="216" t="s">
        <v>39</v>
      </c>
      <c r="C14" s="225">
        <v>36888</v>
      </c>
      <c r="D14" s="544">
        <v>1121776209</v>
      </c>
    </row>
    <row r="15" spans="1:20" x14ac:dyDescent="0.25">
      <c r="A15" s="215"/>
      <c r="B15" s="216" t="s">
        <v>40</v>
      </c>
      <c r="C15" s="225">
        <v>1056</v>
      </c>
      <c r="D15" s="544">
        <v>35393429</v>
      </c>
    </row>
    <row r="16" spans="1:20" x14ac:dyDescent="0.25">
      <c r="A16" s="215"/>
      <c r="B16" s="216" t="s">
        <v>41</v>
      </c>
      <c r="C16" s="225">
        <v>3273</v>
      </c>
      <c r="D16" s="544">
        <v>0</v>
      </c>
    </row>
    <row r="17" spans="1:17" x14ac:dyDescent="0.25">
      <c r="A17" s="219"/>
      <c r="B17" s="220"/>
      <c r="C17" s="221"/>
      <c r="D17" s="222"/>
      <c r="N17" t="s">
        <v>4</v>
      </c>
      <c r="O17" t="s">
        <v>5</v>
      </c>
      <c r="P17" t="s">
        <v>6</v>
      </c>
      <c r="Q17" t="s">
        <v>7</v>
      </c>
    </row>
    <row r="18" spans="1:17" x14ac:dyDescent="0.25">
      <c r="A18" s="215" t="s">
        <v>5</v>
      </c>
      <c r="B18" s="216">
        <v>0</v>
      </c>
      <c r="C18" s="225">
        <v>87684</v>
      </c>
      <c r="D18" s="544">
        <v>6955115319</v>
      </c>
      <c r="H18" t="s">
        <v>226</v>
      </c>
    </row>
    <row r="19" spans="1:17" x14ac:dyDescent="0.25">
      <c r="A19" s="215"/>
      <c r="B19" s="216">
        <v>1</v>
      </c>
      <c r="C19">
        <v>361</v>
      </c>
      <c r="D19" s="544">
        <v>29640425</v>
      </c>
      <c r="G19" t="s">
        <v>239</v>
      </c>
      <c r="H19" t="s">
        <v>227</v>
      </c>
      <c r="N19" s="225">
        <f>SUM(D3:D6)</f>
        <v>6331278809</v>
      </c>
      <c r="O19" s="225">
        <f>SUM(D18:D21)</f>
        <v>7004251844</v>
      </c>
      <c r="P19" s="225">
        <f>SUM(D33:D36)</f>
        <v>7303800959</v>
      </c>
      <c r="Q19" s="225">
        <f>SUM(D48:D51)</f>
        <v>7531285686</v>
      </c>
    </row>
    <row r="20" spans="1:17" x14ac:dyDescent="0.25">
      <c r="A20" s="215"/>
      <c r="B20" s="216">
        <v>2</v>
      </c>
      <c r="C20">
        <v>41</v>
      </c>
      <c r="D20" s="544">
        <v>3578516</v>
      </c>
      <c r="G20" t="s">
        <v>33</v>
      </c>
      <c r="H20" t="s">
        <v>33</v>
      </c>
      <c r="I20" s="589">
        <v>5223083724.1891756</v>
      </c>
      <c r="J20" s="589">
        <v>5948290589.5459776</v>
      </c>
      <c r="K20" s="589">
        <v>6901673313.4999952</v>
      </c>
      <c r="N20" s="218">
        <f>D8</f>
        <v>661263250</v>
      </c>
      <c r="O20" s="218">
        <f>D23</f>
        <v>758105594</v>
      </c>
      <c r="P20" s="218">
        <f>D38</f>
        <v>807194125</v>
      </c>
      <c r="Q20" s="218">
        <f>D53</f>
        <v>827195906</v>
      </c>
    </row>
    <row r="21" spans="1:17" x14ac:dyDescent="0.25">
      <c r="A21" s="215"/>
      <c r="B21" s="216">
        <v>8</v>
      </c>
      <c r="C21">
        <v>561</v>
      </c>
      <c r="D21" s="544">
        <v>15917584</v>
      </c>
      <c r="G21" t="s">
        <v>34</v>
      </c>
      <c r="H21" t="s">
        <v>34</v>
      </c>
      <c r="I21" s="589">
        <v>1215759943.0436401</v>
      </c>
      <c r="J21" s="589">
        <v>1324498114.0002797</v>
      </c>
      <c r="K21" s="589">
        <v>1320406404.8879998</v>
      </c>
      <c r="N21" s="218">
        <f t="shared" ref="N21:N28" si="4">D9</f>
        <v>5956031615</v>
      </c>
      <c r="O21" s="218">
        <f t="shared" ref="O21:O28" si="5">D24</f>
        <v>6421954063</v>
      </c>
      <c r="P21" s="218">
        <f t="shared" ref="P21:P28" si="6">D39</f>
        <v>7143000250</v>
      </c>
      <c r="Q21" s="218">
        <f t="shared" ref="Q21:Q28" si="7">D54</f>
        <v>7469296000</v>
      </c>
    </row>
    <row r="22" spans="1:17" x14ac:dyDescent="0.25">
      <c r="A22" s="215"/>
      <c r="B22" s="216">
        <v>9</v>
      </c>
      <c r="C22" s="225">
        <v>3450</v>
      </c>
      <c r="D22" s="544">
        <v>254583719</v>
      </c>
      <c r="G22" t="s">
        <v>35</v>
      </c>
      <c r="H22" t="s">
        <v>35</v>
      </c>
      <c r="I22">
        <v>2951673328.7995701</v>
      </c>
      <c r="J22" s="589">
        <v>3445474885.4398808</v>
      </c>
      <c r="K22" s="589">
        <v>3491237058.75</v>
      </c>
      <c r="N22" s="218">
        <f t="shared" si="4"/>
        <v>1761360727</v>
      </c>
      <c r="O22" s="218">
        <f t="shared" si="5"/>
        <v>1948437219</v>
      </c>
      <c r="P22" s="218">
        <f t="shared" si="6"/>
        <v>2115180875</v>
      </c>
      <c r="Q22" s="218">
        <f t="shared" si="7"/>
        <v>2216987813</v>
      </c>
    </row>
    <row r="23" spans="1:17" x14ac:dyDescent="0.25">
      <c r="A23" s="215"/>
      <c r="B23" s="216" t="s">
        <v>33</v>
      </c>
      <c r="C23" s="225">
        <v>23084</v>
      </c>
      <c r="D23" s="544">
        <v>758105594</v>
      </c>
      <c r="G23" t="s">
        <v>36</v>
      </c>
      <c r="H23" t="s">
        <v>36</v>
      </c>
      <c r="I23" t="s">
        <v>453</v>
      </c>
      <c r="J23" t="s">
        <v>453</v>
      </c>
      <c r="K23" t="s">
        <v>453</v>
      </c>
      <c r="N23" s="218">
        <f t="shared" si="4"/>
        <v>10348164238</v>
      </c>
      <c r="O23" s="218">
        <f t="shared" si="5"/>
        <v>11020440530</v>
      </c>
      <c r="P23" s="218">
        <f t="shared" si="6"/>
        <v>11650604844</v>
      </c>
      <c r="Q23" s="218">
        <f t="shared" si="7"/>
        <v>12010701373</v>
      </c>
    </row>
    <row r="24" spans="1:17" x14ac:dyDescent="0.25">
      <c r="A24" s="215"/>
      <c r="B24" s="216" t="s">
        <v>34</v>
      </c>
      <c r="C24" s="225">
        <v>243018</v>
      </c>
      <c r="D24" s="225">
        <v>6421954063</v>
      </c>
      <c r="G24" t="s">
        <v>37</v>
      </c>
      <c r="H24" t="s">
        <v>37</v>
      </c>
      <c r="I24" s="589">
        <v>7857283612.9860535</v>
      </c>
      <c r="J24" s="589">
        <v>8567647132.6428967</v>
      </c>
      <c r="K24" s="589">
        <v>9761031181.6829605</v>
      </c>
      <c r="N24" s="218">
        <f t="shared" si="4"/>
        <v>55388343</v>
      </c>
      <c r="O24" s="218">
        <f t="shared" si="5"/>
        <v>49969610</v>
      </c>
      <c r="P24" s="218">
        <f t="shared" si="6"/>
        <v>50866790</v>
      </c>
      <c r="Q24" s="218">
        <f t="shared" si="7"/>
        <v>53823700</v>
      </c>
    </row>
    <row r="25" spans="1:17" x14ac:dyDescent="0.25">
      <c r="A25" s="215"/>
      <c r="B25" s="216" t="s">
        <v>35</v>
      </c>
      <c r="C25" s="225">
        <v>106406</v>
      </c>
      <c r="D25" s="544">
        <v>1948437219</v>
      </c>
      <c r="G25" t="s">
        <v>38</v>
      </c>
      <c r="H25" t="s">
        <v>38</v>
      </c>
      <c r="I25" s="589">
        <v>7366925661.7196856</v>
      </c>
      <c r="J25" s="589">
        <v>7592550137.883687</v>
      </c>
      <c r="K25" s="589">
        <v>8563406807.5195885</v>
      </c>
      <c r="N25" s="218">
        <f t="shared" si="4"/>
        <v>3243362907</v>
      </c>
      <c r="O25" s="218">
        <f t="shared" si="5"/>
        <v>3495137805</v>
      </c>
      <c r="P25" s="218">
        <f t="shared" si="6"/>
        <v>3802187699</v>
      </c>
      <c r="Q25" s="218">
        <f t="shared" si="7"/>
        <v>4055609924</v>
      </c>
    </row>
    <row r="26" spans="1:17" x14ac:dyDescent="0.25">
      <c r="A26" s="215"/>
      <c r="B26" s="216" t="s">
        <v>36</v>
      </c>
      <c r="C26" s="225">
        <v>369509</v>
      </c>
      <c r="D26" s="544">
        <v>11020440530</v>
      </c>
      <c r="G26" t="s">
        <v>39</v>
      </c>
      <c r="H26" t="s">
        <v>39</v>
      </c>
      <c r="I26" s="589">
        <v>5113525411.0440397</v>
      </c>
      <c r="J26" s="589">
        <v>5106911935.4897194</v>
      </c>
      <c r="K26" s="589">
        <v>6099498020.1434803</v>
      </c>
      <c r="N26" s="218">
        <f t="shared" si="4"/>
        <v>1121776209</v>
      </c>
      <c r="O26" s="218">
        <f t="shared" si="5"/>
        <v>1195263582</v>
      </c>
      <c r="P26" s="218">
        <f t="shared" si="6"/>
        <v>1283066566</v>
      </c>
      <c r="Q26" s="218">
        <f t="shared" si="7"/>
        <v>1346591230</v>
      </c>
    </row>
    <row r="27" spans="1:17" x14ac:dyDescent="0.25">
      <c r="A27" s="215"/>
      <c r="B27" s="216" t="s">
        <v>37</v>
      </c>
      <c r="C27" s="225">
        <v>2623</v>
      </c>
      <c r="D27" s="544">
        <v>49969610</v>
      </c>
      <c r="G27" t="s">
        <v>40</v>
      </c>
      <c r="H27" t="s">
        <v>40</v>
      </c>
      <c r="I27" t="s">
        <v>453</v>
      </c>
      <c r="J27" t="s">
        <v>453</v>
      </c>
      <c r="K27" t="s">
        <v>453</v>
      </c>
      <c r="N27" s="218">
        <f t="shared" si="4"/>
        <v>35393429</v>
      </c>
      <c r="O27" s="218">
        <f t="shared" si="5"/>
        <v>21076125</v>
      </c>
      <c r="P27" s="218">
        <f t="shared" si="6"/>
        <v>17228250</v>
      </c>
      <c r="Q27" s="218">
        <f t="shared" si="7"/>
        <v>2313281</v>
      </c>
    </row>
    <row r="28" spans="1:17" x14ac:dyDescent="0.25">
      <c r="A28" s="215"/>
      <c r="B28" s="216" t="s">
        <v>38</v>
      </c>
      <c r="C28" s="225">
        <v>111321</v>
      </c>
      <c r="D28" s="225">
        <v>3495137805</v>
      </c>
      <c r="G28" t="s">
        <v>41</v>
      </c>
      <c r="H28" t="s">
        <v>41</v>
      </c>
      <c r="I28" t="s">
        <v>453</v>
      </c>
      <c r="J28" t="s">
        <v>453</v>
      </c>
      <c r="K28" t="s">
        <v>453</v>
      </c>
      <c r="N28" s="218">
        <f t="shared" si="4"/>
        <v>0</v>
      </c>
      <c r="O28" s="218">
        <f t="shared" si="5"/>
        <v>0</v>
      </c>
      <c r="P28" s="218">
        <f t="shared" si="6"/>
        <v>0</v>
      </c>
      <c r="Q28" s="218">
        <f t="shared" si="7"/>
        <v>0</v>
      </c>
    </row>
    <row r="29" spans="1:17" x14ac:dyDescent="0.25">
      <c r="A29" s="215"/>
      <c r="B29" s="216" t="s">
        <v>39</v>
      </c>
      <c r="C29" s="225">
        <v>38735</v>
      </c>
      <c r="D29" s="225">
        <v>1195263582</v>
      </c>
    </row>
    <row r="30" spans="1:17" x14ac:dyDescent="0.25">
      <c r="A30" s="215"/>
      <c r="B30" s="216" t="s">
        <v>40</v>
      </c>
      <c r="C30">
        <v>555</v>
      </c>
      <c r="D30" s="225">
        <v>21076125</v>
      </c>
      <c r="J30" s="589"/>
      <c r="K30" s="589"/>
    </row>
    <row r="31" spans="1:17" x14ac:dyDescent="0.25">
      <c r="A31" s="215"/>
      <c r="B31" s="216" t="s">
        <v>41</v>
      </c>
      <c r="C31" s="225">
        <v>3046</v>
      </c>
      <c r="D31" s="225">
        <v>0</v>
      </c>
      <c r="I31" s="589"/>
      <c r="J31" s="589"/>
      <c r="K31" s="589"/>
    </row>
    <row r="32" spans="1:17" x14ac:dyDescent="0.25">
      <c r="A32" s="219"/>
      <c r="B32" s="220"/>
      <c r="C32" s="221"/>
      <c r="D32" s="222"/>
    </row>
    <row r="33" spans="1:15" x14ac:dyDescent="0.25">
      <c r="A33" s="215" t="s">
        <v>6</v>
      </c>
      <c r="B33" s="216">
        <v>0</v>
      </c>
      <c r="C33" s="225">
        <v>90368</v>
      </c>
      <c r="D33" s="544">
        <v>7251115436</v>
      </c>
      <c r="G33" s="225"/>
      <c r="H33" s="544"/>
      <c r="I33" s="589"/>
      <c r="J33" s="589"/>
      <c r="K33" s="589"/>
      <c r="L33" s="544"/>
      <c r="M33" s="544"/>
    </row>
    <row r="34" spans="1:15" x14ac:dyDescent="0.25">
      <c r="A34" s="215"/>
      <c r="B34" s="216">
        <v>1</v>
      </c>
      <c r="C34">
        <v>278</v>
      </c>
      <c r="D34" s="544">
        <v>23272156</v>
      </c>
      <c r="H34" s="544"/>
      <c r="I34" s="544"/>
      <c r="J34" s="544"/>
      <c r="K34" s="544"/>
      <c r="L34" s="544"/>
      <c r="M34" s="544"/>
    </row>
    <row r="35" spans="1:15" x14ac:dyDescent="0.25">
      <c r="A35" s="215"/>
      <c r="B35" s="216">
        <v>2</v>
      </c>
      <c r="C35">
        <v>25</v>
      </c>
      <c r="D35" s="544">
        <v>2332991</v>
      </c>
      <c r="H35" s="544"/>
      <c r="I35" s="589"/>
      <c r="J35" s="589"/>
      <c r="K35" s="589"/>
      <c r="L35" s="544"/>
      <c r="M35" s="544"/>
      <c r="N35" s="544"/>
    </row>
    <row r="36" spans="1:15" x14ac:dyDescent="0.25">
      <c r="A36" s="215"/>
      <c r="B36" s="216">
        <v>8</v>
      </c>
      <c r="C36">
        <v>933</v>
      </c>
      <c r="D36" s="544">
        <v>27080376</v>
      </c>
      <c r="H36" s="544"/>
      <c r="I36" s="544"/>
      <c r="J36" s="544"/>
      <c r="K36" s="544"/>
      <c r="L36" s="544"/>
      <c r="M36" s="544"/>
      <c r="N36" s="544"/>
    </row>
    <row r="37" spans="1:15" x14ac:dyDescent="0.25">
      <c r="A37" s="215"/>
      <c r="B37" s="216">
        <v>9</v>
      </c>
      <c r="C37" s="225">
        <v>3445</v>
      </c>
      <c r="D37" s="544">
        <v>266894073</v>
      </c>
      <c r="G37" s="225"/>
      <c r="H37" s="544"/>
      <c r="I37" s="544"/>
      <c r="J37" s="544"/>
      <c r="K37" s="544"/>
      <c r="L37" s="544"/>
      <c r="M37" s="544"/>
      <c r="N37" s="544"/>
    </row>
    <row r="38" spans="1:15" x14ac:dyDescent="0.25">
      <c r="A38" s="215"/>
      <c r="B38" s="216" t="s">
        <v>33</v>
      </c>
      <c r="C38" s="225">
        <v>24489</v>
      </c>
      <c r="D38" s="544">
        <v>807194125</v>
      </c>
      <c r="G38" s="225"/>
      <c r="H38" s="544"/>
      <c r="I38" s="589">
        <v>7857283612.9860535</v>
      </c>
      <c r="J38" s="589">
        <v>8567647132.6428967</v>
      </c>
      <c r="K38" s="589">
        <v>9761031181.6829605</v>
      </c>
      <c r="L38" s="544"/>
      <c r="M38" s="544"/>
      <c r="N38" s="225"/>
      <c r="O38" s="544"/>
    </row>
    <row r="39" spans="1:15" x14ac:dyDescent="0.25">
      <c r="A39" s="215"/>
      <c r="B39" s="216" t="s">
        <v>34</v>
      </c>
      <c r="C39" s="225">
        <v>262479</v>
      </c>
      <c r="D39" s="544">
        <v>7143000250</v>
      </c>
      <c r="G39" s="225"/>
      <c r="H39" s="225"/>
      <c r="I39" s="225"/>
      <c r="J39" s="225"/>
      <c r="K39" s="225"/>
      <c r="L39" s="225"/>
      <c r="M39" s="225"/>
      <c r="N39" s="544"/>
    </row>
    <row r="40" spans="1:15" x14ac:dyDescent="0.25">
      <c r="A40" s="215"/>
      <c r="B40" s="216" t="s">
        <v>35</v>
      </c>
      <c r="C40" s="225">
        <v>112710</v>
      </c>
      <c r="D40" s="544">
        <v>2115180875</v>
      </c>
      <c r="G40" s="225"/>
      <c r="H40" s="544"/>
      <c r="I40" s="544"/>
      <c r="J40" s="544"/>
      <c r="K40" s="544"/>
      <c r="L40" s="544"/>
      <c r="M40" s="544"/>
      <c r="N40" s="544"/>
    </row>
    <row r="41" spans="1:15" x14ac:dyDescent="0.25">
      <c r="A41" s="215"/>
      <c r="B41" s="216" t="s">
        <v>36</v>
      </c>
      <c r="C41" s="225">
        <v>377308</v>
      </c>
      <c r="D41" s="544">
        <v>11650604844</v>
      </c>
      <c r="G41" s="225"/>
      <c r="H41" s="544"/>
      <c r="I41" s="544"/>
      <c r="J41" s="544"/>
      <c r="K41" s="544"/>
      <c r="L41" s="544"/>
      <c r="M41" s="544"/>
      <c r="N41" s="544"/>
    </row>
    <row r="42" spans="1:15" x14ac:dyDescent="0.25">
      <c r="A42" s="215"/>
      <c r="B42" s="216" t="s">
        <v>37</v>
      </c>
      <c r="C42" s="225">
        <v>2533</v>
      </c>
      <c r="D42" s="544">
        <v>50866790</v>
      </c>
      <c r="G42" s="225"/>
      <c r="H42" s="544"/>
      <c r="I42" s="544"/>
      <c r="J42" s="544"/>
      <c r="K42" s="544"/>
      <c r="L42" s="544"/>
      <c r="M42" s="544"/>
      <c r="N42" s="544"/>
    </row>
    <row r="43" spans="1:15" x14ac:dyDescent="0.25">
      <c r="A43" s="215"/>
      <c r="B43" s="216" t="s">
        <v>38</v>
      </c>
      <c r="C43" s="225">
        <v>118935</v>
      </c>
      <c r="D43" s="544">
        <v>3802187699</v>
      </c>
      <c r="G43" s="225"/>
      <c r="H43" s="225"/>
      <c r="I43" s="225"/>
      <c r="J43" s="225"/>
      <c r="K43" s="225"/>
      <c r="L43" s="225"/>
      <c r="M43" s="225"/>
      <c r="N43" s="544"/>
    </row>
    <row r="44" spans="1:15" x14ac:dyDescent="0.25">
      <c r="A44" s="215"/>
      <c r="B44" s="216" t="s">
        <v>39</v>
      </c>
      <c r="C44" s="225">
        <v>40603</v>
      </c>
      <c r="D44" s="544">
        <v>1283066566</v>
      </c>
      <c r="G44" s="225"/>
      <c r="H44" s="225"/>
      <c r="I44" s="225"/>
      <c r="J44" s="225"/>
      <c r="K44" s="225"/>
      <c r="L44" s="225"/>
      <c r="M44" s="225"/>
      <c r="N44" s="544"/>
    </row>
    <row r="45" spans="1:15" x14ac:dyDescent="0.25">
      <c r="A45" s="215"/>
      <c r="B45" s="216" t="s">
        <v>40</v>
      </c>
      <c r="C45" s="225">
        <v>428</v>
      </c>
      <c r="D45" s="544">
        <v>17228250</v>
      </c>
      <c r="H45" s="225"/>
      <c r="I45" s="225"/>
      <c r="J45" s="225"/>
      <c r="K45" s="225"/>
      <c r="L45" s="225"/>
      <c r="M45" s="225"/>
      <c r="N45" s="544"/>
    </row>
    <row r="46" spans="1:15" x14ac:dyDescent="0.25">
      <c r="A46" s="215"/>
      <c r="B46" s="216" t="s">
        <v>41</v>
      </c>
      <c r="C46" s="225">
        <v>3038</v>
      </c>
      <c r="D46" s="544">
        <v>0</v>
      </c>
      <c r="G46" s="225"/>
      <c r="H46" s="225"/>
      <c r="I46" s="225"/>
      <c r="J46" s="225"/>
      <c r="K46" s="225"/>
      <c r="L46" s="225"/>
      <c r="M46" s="225"/>
      <c r="N46" s="544"/>
    </row>
    <row r="47" spans="1:15" x14ac:dyDescent="0.25">
      <c r="A47" s="219"/>
      <c r="B47" s="220"/>
      <c r="C47" s="221"/>
      <c r="D47" s="222"/>
      <c r="H47" s="225"/>
      <c r="I47" s="225"/>
      <c r="J47" s="225"/>
      <c r="K47" s="225"/>
      <c r="L47" s="225"/>
      <c r="M47" s="225"/>
      <c r="N47" s="544"/>
    </row>
    <row r="48" spans="1:15" x14ac:dyDescent="0.25">
      <c r="A48" s="215" t="s">
        <v>7</v>
      </c>
      <c r="B48" s="216">
        <v>0</v>
      </c>
      <c r="C48" s="225">
        <v>93360</v>
      </c>
      <c r="D48" s="225">
        <v>7446903432</v>
      </c>
      <c r="H48" s="225"/>
      <c r="I48" s="225"/>
      <c r="J48" s="225"/>
      <c r="K48" s="225"/>
      <c r="L48" s="225"/>
      <c r="M48" s="225"/>
      <c r="N48" s="544"/>
    </row>
    <row r="49" spans="1:14" x14ac:dyDescent="0.25">
      <c r="A49" s="215"/>
      <c r="B49" s="216">
        <v>1</v>
      </c>
      <c r="C49">
        <v>614</v>
      </c>
      <c r="D49" s="225">
        <v>50788142</v>
      </c>
      <c r="H49" s="225"/>
      <c r="I49" s="225"/>
      <c r="J49" s="225"/>
      <c r="K49" s="225"/>
      <c r="L49" s="225"/>
      <c r="M49" s="225"/>
      <c r="N49" s="544"/>
    </row>
    <row r="50" spans="1:14" x14ac:dyDescent="0.25">
      <c r="A50" s="215"/>
      <c r="B50" s="216">
        <v>2</v>
      </c>
      <c r="C50">
        <v>15</v>
      </c>
      <c r="D50" s="544">
        <v>1289924</v>
      </c>
      <c r="H50" s="225"/>
      <c r="I50" s="225"/>
      <c r="J50" s="225"/>
      <c r="K50" s="225"/>
      <c r="L50" s="225"/>
      <c r="M50" s="225"/>
      <c r="N50" s="544"/>
    </row>
    <row r="51" spans="1:14" x14ac:dyDescent="0.25">
      <c r="A51" s="215"/>
      <c r="B51" s="216">
        <v>8</v>
      </c>
      <c r="C51" s="225">
        <v>1088</v>
      </c>
      <c r="D51" s="225">
        <v>32304188</v>
      </c>
      <c r="G51" s="225"/>
      <c r="H51" s="225"/>
      <c r="I51" s="225"/>
      <c r="J51" s="225"/>
      <c r="K51" s="225"/>
      <c r="L51" s="225"/>
      <c r="M51" s="225"/>
      <c r="N51" s="544"/>
    </row>
    <row r="52" spans="1:14" x14ac:dyDescent="0.25">
      <c r="A52" s="215"/>
      <c r="B52" s="216">
        <v>9</v>
      </c>
      <c r="C52" s="225">
        <v>2076</v>
      </c>
      <c r="D52" s="544">
        <v>163265938</v>
      </c>
      <c r="H52" s="225"/>
      <c r="I52" s="225"/>
      <c r="J52" s="225"/>
      <c r="K52" s="225"/>
      <c r="L52" s="225"/>
      <c r="M52" s="225"/>
      <c r="N52" s="544"/>
    </row>
    <row r="53" spans="1:14" x14ac:dyDescent="0.25">
      <c r="A53" s="215"/>
      <c r="B53" s="216" t="s">
        <v>33</v>
      </c>
      <c r="C53" s="225">
        <v>25056</v>
      </c>
      <c r="D53" s="544">
        <v>827195906</v>
      </c>
      <c r="H53" s="544"/>
      <c r="I53" s="544"/>
      <c r="J53" s="544"/>
      <c r="K53" s="544"/>
      <c r="L53" s="544"/>
      <c r="M53" s="544"/>
      <c r="N53" s="544"/>
    </row>
    <row r="54" spans="1:14" x14ac:dyDescent="0.25">
      <c r="A54" s="215"/>
      <c r="B54" s="216" t="s">
        <v>34</v>
      </c>
      <c r="C54" s="225">
        <v>263723</v>
      </c>
      <c r="D54" s="544">
        <v>7469296000</v>
      </c>
      <c r="G54" s="225"/>
      <c r="H54" s="225"/>
      <c r="I54" s="225"/>
      <c r="J54" s="225"/>
      <c r="K54" s="225"/>
      <c r="L54" s="225"/>
      <c r="M54" s="225"/>
      <c r="N54" s="544"/>
    </row>
    <row r="55" spans="1:14" x14ac:dyDescent="0.25">
      <c r="A55" s="215"/>
      <c r="B55" s="216" t="s">
        <v>35</v>
      </c>
      <c r="C55" s="225">
        <v>114786</v>
      </c>
      <c r="D55" s="544">
        <v>2216987813</v>
      </c>
      <c r="G55" s="225"/>
      <c r="H55" s="544"/>
      <c r="I55" s="544"/>
      <c r="J55" s="544"/>
      <c r="K55" s="544"/>
      <c r="L55" s="544"/>
      <c r="M55" s="544"/>
    </row>
    <row r="56" spans="1:14" x14ac:dyDescent="0.25">
      <c r="A56" s="215"/>
      <c r="B56" s="216" t="s">
        <v>36</v>
      </c>
      <c r="C56" s="225">
        <v>377938</v>
      </c>
      <c r="D56" s="544">
        <v>12010701373</v>
      </c>
      <c r="G56" s="225"/>
      <c r="H56" s="544"/>
      <c r="I56" s="544"/>
      <c r="J56" s="544"/>
      <c r="K56" s="544"/>
      <c r="L56" s="544"/>
      <c r="M56" s="544"/>
    </row>
    <row r="57" spans="1:14" x14ac:dyDescent="0.25">
      <c r="A57" s="215"/>
      <c r="B57" s="216" t="s">
        <v>37</v>
      </c>
      <c r="C57" s="225">
        <v>2644</v>
      </c>
      <c r="D57" s="544">
        <v>53823700</v>
      </c>
      <c r="G57" s="225"/>
      <c r="H57" s="544"/>
      <c r="I57" s="544"/>
      <c r="J57" s="544"/>
      <c r="K57" s="544"/>
      <c r="L57" s="544"/>
      <c r="M57" s="544"/>
    </row>
    <row r="58" spans="1:14" x14ac:dyDescent="0.25">
      <c r="A58" s="215"/>
      <c r="B58" s="216" t="s">
        <v>38</v>
      </c>
      <c r="C58" s="225">
        <v>123875</v>
      </c>
      <c r="D58" s="544">
        <v>4055609924</v>
      </c>
      <c r="G58" s="225"/>
      <c r="H58" s="544"/>
      <c r="I58" s="544"/>
      <c r="J58" s="544"/>
      <c r="K58" s="544"/>
      <c r="L58" s="544"/>
      <c r="M58" s="544"/>
    </row>
    <row r="59" spans="1:14" x14ac:dyDescent="0.25">
      <c r="A59" s="215"/>
      <c r="B59" s="216" t="s">
        <v>39</v>
      </c>
      <c r="C59" s="225">
        <v>41539</v>
      </c>
      <c r="D59" s="544">
        <v>1346591230</v>
      </c>
      <c r="G59" s="225"/>
      <c r="H59" s="544"/>
      <c r="I59" s="544"/>
      <c r="J59" s="544"/>
      <c r="K59" s="544"/>
      <c r="L59" s="544"/>
      <c r="M59" s="544"/>
    </row>
    <row r="60" spans="1:14" x14ac:dyDescent="0.25">
      <c r="A60" s="215"/>
      <c r="B60" s="216" t="s">
        <v>40</v>
      </c>
      <c r="C60">
        <v>56</v>
      </c>
      <c r="D60" s="544">
        <v>2313281</v>
      </c>
      <c r="G60" s="225"/>
      <c r="H60" s="544"/>
      <c r="I60" s="544"/>
      <c r="J60" s="544"/>
      <c r="K60" s="544"/>
      <c r="L60" s="544"/>
      <c r="M60" s="544"/>
    </row>
    <row r="61" spans="1:14" ht="15.75" thickBot="1" x14ac:dyDescent="0.3">
      <c r="A61" s="223"/>
      <c r="B61" s="224" t="s">
        <v>41</v>
      </c>
      <c r="C61" s="225">
        <v>3299</v>
      </c>
      <c r="D61" s="544">
        <v>0</v>
      </c>
      <c r="G61" s="225"/>
      <c r="H61" s="544"/>
      <c r="I61" s="544"/>
      <c r="J61" s="544"/>
      <c r="K61" s="544"/>
      <c r="L61" s="544"/>
      <c r="M61" s="544"/>
    </row>
    <row r="62" spans="1:14" x14ac:dyDescent="0.25">
      <c r="G62" s="225"/>
      <c r="H62" s="544"/>
      <c r="I62" s="544"/>
      <c r="J62" s="544"/>
      <c r="K62" s="544"/>
      <c r="L62" s="544"/>
      <c r="M62" s="544"/>
    </row>
    <row r="63" spans="1:14" x14ac:dyDescent="0.25">
      <c r="H63" s="544"/>
      <c r="I63" s="544"/>
      <c r="J63" s="544"/>
      <c r="K63" s="544"/>
      <c r="L63" s="544"/>
      <c r="M63" s="544"/>
    </row>
    <row r="64" spans="1:14" x14ac:dyDescent="0.25">
      <c r="G64" s="225"/>
      <c r="H64" s="544"/>
      <c r="I64" s="544"/>
      <c r="J64" s="544"/>
      <c r="K64" s="544"/>
      <c r="L64" s="544"/>
      <c r="M64" s="544"/>
    </row>
  </sheetData>
  <customSheetViews>
    <customSheetView guid="{9EA95E61-FCA5-4867-AEB4-B8C24058ACDD}" state="hidden">
      <selection activeCell="G29" sqref="G29"/>
      <pageMargins left="0.7" right="0.7" top="0.75" bottom="0.75" header="0.3" footer="0.3"/>
    </customSheetView>
  </customSheetViews>
  <mergeCells count="1">
    <mergeCell ref="A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M96"/>
  <sheetViews>
    <sheetView showGridLines="0" showRowColHeaders="0" zoomScaleNormal="100" workbookViewId="0">
      <selection activeCell="F11" sqref="F11"/>
    </sheetView>
  </sheetViews>
  <sheetFormatPr defaultRowHeight="15" x14ac:dyDescent="0.25"/>
  <cols>
    <col min="2" max="2" width="57.28515625" bestFit="1" customWidth="1"/>
    <col min="3" max="5" width="17.85546875" customWidth="1"/>
    <col min="6" max="6" width="10.140625" customWidth="1"/>
    <col min="7" max="7" width="48" customWidth="1"/>
    <col min="8" max="11" width="17.85546875" customWidth="1"/>
    <col min="12" max="12" width="14.7109375" customWidth="1"/>
    <col min="13" max="13" width="23.7109375" bestFit="1" customWidth="1"/>
  </cols>
  <sheetData>
    <row r="1" spans="2:12" x14ac:dyDescent="0.25">
      <c r="G1" s="231"/>
    </row>
    <row r="2" spans="2:12" ht="30" x14ac:dyDescent="0.4">
      <c r="B2" s="2" t="s">
        <v>115</v>
      </c>
    </row>
    <row r="3" spans="2:12" x14ac:dyDescent="0.25">
      <c r="B3" s="279"/>
    </row>
    <row r="4" spans="2:12" ht="30" x14ac:dyDescent="0.4">
      <c r="B4" s="280" t="s">
        <v>522</v>
      </c>
      <c r="G4" s="2"/>
    </row>
    <row r="5" spans="2:12" ht="18" customHeight="1" x14ac:dyDescent="0.25">
      <c r="B5" s="280"/>
      <c r="G5" s="279"/>
    </row>
    <row r="6" spans="2:12" ht="18" customHeight="1" x14ac:dyDescent="0.25">
      <c r="B6" s="280" t="s">
        <v>398</v>
      </c>
      <c r="G6" s="280"/>
      <c r="H6" s="236"/>
      <c r="I6" s="236"/>
      <c r="J6" s="236"/>
      <c r="K6" s="236"/>
    </row>
    <row r="7" spans="2:12" ht="18" customHeight="1" x14ac:dyDescent="0.25">
      <c r="G7" s="280"/>
      <c r="H7" s="8"/>
      <c r="I7" s="236"/>
      <c r="J7" s="236"/>
      <c r="K7" s="236"/>
    </row>
    <row r="8" spans="2:12" ht="18" customHeight="1" x14ac:dyDescent="0.25">
      <c r="G8" s="280"/>
      <c r="H8" s="8"/>
      <c r="I8" s="236"/>
      <c r="J8" s="236"/>
      <c r="K8" s="236"/>
    </row>
    <row r="9" spans="2:12" ht="18" customHeight="1" x14ac:dyDescent="0.25">
      <c r="B9" s="279" t="s">
        <v>400</v>
      </c>
      <c r="C9" s="8"/>
      <c r="D9" s="236"/>
      <c r="E9" s="236"/>
      <c r="F9" s="236"/>
      <c r="G9" s="236"/>
    </row>
    <row r="10" spans="2:12" ht="18" customHeight="1" x14ac:dyDescent="0.25">
      <c r="B10" s="283" t="s">
        <v>528</v>
      </c>
      <c r="C10" s="8"/>
      <c r="D10" s="236"/>
      <c r="E10" s="236"/>
      <c r="F10" s="236"/>
      <c r="G10" s="236"/>
    </row>
    <row r="11" spans="2:12" ht="18" customHeight="1" x14ac:dyDescent="0.25">
      <c r="B11" s="284"/>
      <c r="C11" s="279"/>
      <c r="D11" s="279"/>
      <c r="E11" s="279"/>
      <c r="F11" s="279"/>
      <c r="G11" s="236"/>
      <c r="H11" s="381"/>
    </row>
    <row r="12" spans="2:12" ht="18" customHeight="1" x14ac:dyDescent="0.25">
      <c r="B12" s="613"/>
      <c r="C12" s="614" t="s">
        <v>523</v>
      </c>
      <c r="D12" s="614" t="s">
        <v>75</v>
      </c>
      <c r="E12" s="614" t="s">
        <v>76</v>
      </c>
      <c r="F12" s="614"/>
      <c r="G12" s="274"/>
      <c r="H12" s="275" t="s">
        <v>4</v>
      </c>
      <c r="I12" s="275" t="s">
        <v>5</v>
      </c>
      <c r="J12" s="275" t="s">
        <v>6</v>
      </c>
      <c r="K12" s="275" t="s">
        <v>7</v>
      </c>
      <c r="L12" s="433"/>
    </row>
    <row r="13" spans="2:12" ht="18" customHeight="1" x14ac:dyDescent="0.25">
      <c r="B13" s="615" t="s">
        <v>508</v>
      </c>
      <c r="C13" s="616"/>
      <c r="D13" s="618"/>
      <c r="E13" s="618"/>
      <c r="F13" s="276"/>
      <c r="G13" s="274" t="s">
        <v>230</v>
      </c>
      <c r="H13" s="276">
        <f>IF($B$10="Total Spend [£]", Sheet15!N19, Sheet15!N4)</f>
        <v>6331278809</v>
      </c>
      <c r="I13" s="276">
        <f>IF($B$10="Total Spend [£]", Sheet15!O19, Sheet15!O4)</f>
        <v>7004251844</v>
      </c>
      <c r="J13" s="276">
        <f>IF($B$10="Total Spend [£]", Sheet15!P19, Sheet15!P4)</f>
        <v>7303800959</v>
      </c>
      <c r="K13" s="276">
        <f>IF($B$10="Total Spend [£]", Sheet15!Q19, Sheet15!Q4)</f>
        <v>7531285686</v>
      </c>
      <c r="L13" s="433"/>
    </row>
    <row r="14" spans="2:12" x14ac:dyDescent="0.25">
      <c r="B14" s="617" t="s">
        <v>509</v>
      </c>
      <c r="C14" s="629">
        <f>IF($B$10="Total Spend [£]", Sheet15!I20, Sheet15!I5)</f>
        <v>5223083724.1891756</v>
      </c>
      <c r="D14" s="629">
        <f>IF($B$10="Total Spend [£]", Sheet15!J20, Sheet15!J5)</f>
        <v>5948290589.5459776</v>
      </c>
      <c r="E14" s="629">
        <f>IF($B$10="Total Spend [£]", Sheet15!K20, Sheet15!K5)</f>
        <v>6901673313.4999952</v>
      </c>
      <c r="F14" s="276"/>
      <c r="G14" s="274" t="s">
        <v>231</v>
      </c>
      <c r="H14" s="276">
        <f>IF($B$10="Total Spend [£]", Sheet15!N20, Sheet15!N5)</f>
        <v>661263250</v>
      </c>
      <c r="I14" s="276">
        <f>IF($B$10="Total Spend [£]", Sheet15!O20, Sheet15!O5)</f>
        <v>758105594</v>
      </c>
      <c r="J14" s="276">
        <f>IF($B$10="Total Spend [£]", Sheet15!P20, Sheet15!P5)</f>
        <v>807194125</v>
      </c>
      <c r="K14" s="276">
        <f>IF($B$10="Total Spend [£]", Sheet15!Q20, Sheet15!Q5)</f>
        <v>827195906</v>
      </c>
      <c r="L14" s="433"/>
    </row>
    <row r="15" spans="2:12" x14ac:dyDescent="0.25">
      <c r="B15" s="617" t="s">
        <v>510</v>
      </c>
      <c r="C15" s="629">
        <f>IF($B$10="Total Spend [£]", Sheet15!I21, Sheet15!I6)</f>
        <v>1215759943.0436401</v>
      </c>
      <c r="D15" s="629">
        <f>IF($B$10="Total Spend [£]", Sheet15!J21, Sheet15!J6)</f>
        <v>1324498114.0002797</v>
      </c>
      <c r="E15" s="629">
        <f>IF($B$10="Total Spend [£]", Sheet15!K21, Sheet15!K6)</f>
        <v>1320406404.8879998</v>
      </c>
      <c r="F15" s="276"/>
      <c r="G15" s="274" t="s">
        <v>232</v>
      </c>
      <c r="H15" s="276">
        <f>IF($B$10="Total Spend [£]", Sheet15!N21, Sheet15!N6)</f>
        <v>5956031615</v>
      </c>
      <c r="I15" s="276">
        <f>IF($B$10="Total Spend [£]", Sheet15!O21, Sheet15!O6)</f>
        <v>6421954063</v>
      </c>
      <c r="J15" s="276">
        <f>IF($B$10="Total Spend [£]", Sheet15!P21, Sheet15!P6)</f>
        <v>7143000250</v>
      </c>
      <c r="K15" s="276">
        <f>IF($B$10="Total Spend [£]", Sheet15!Q21, Sheet15!Q6)</f>
        <v>7469296000</v>
      </c>
      <c r="L15" s="433"/>
    </row>
    <row r="16" spans="2:12" x14ac:dyDescent="0.25">
      <c r="B16" s="617" t="s">
        <v>511</v>
      </c>
      <c r="C16" s="629">
        <f>IF($B$10="Total Spend [£]", Sheet15!I22, Sheet15!I7)</f>
        <v>2951673328.7995701</v>
      </c>
      <c r="D16" s="629">
        <f>IF($B$10="Total Spend [£]", Sheet15!J22, Sheet15!J7)</f>
        <v>3445474885.4398808</v>
      </c>
      <c r="E16" s="629">
        <f>IF($B$10="Total Spend [£]", Sheet15!K22, Sheet15!K7)</f>
        <v>3491237058.75</v>
      </c>
      <c r="F16" s="276"/>
      <c r="G16" s="274" t="s">
        <v>233</v>
      </c>
      <c r="H16" s="276">
        <f>IF($B$10="Total Spend [£]", Sheet15!N22, Sheet15!N7)</f>
        <v>1761360727</v>
      </c>
      <c r="I16" s="276">
        <f>IF($B$10="Total Spend [£]", Sheet15!O22, Sheet15!O7)</f>
        <v>1948437219</v>
      </c>
      <c r="J16" s="276">
        <f>IF($B$10="Total Spend [£]", Sheet15!P22, Sheet15!P7)</f>
        <v>2115180875</v>
      </c>
      <c r="K16" s="276">
        <f>IF($B$10="Total Spend [£]", Sheet15!Q22, Sheet15!Q7)</f>
        <v>2216987813</v>
      </c>
      <c r="L16" s="433"/>
    </row>
    <row r="17" spans="2:12" ht="22.5" x14ac:dyDescent="0.3">
      <c r="B17" s="615"/>
      <c r="C17" s="629"/>
      <c r="D17" s="629"/>
      <c r="E17" s="629"/>
      <c r="F17" s="276"/>
      <c r="G17" s="274" t="s">
        <v>234</v>
      </c>
      <c r="H17" s="276">
        <f>IF($B$10="Total Spend [£]", Sheet15!N23, Sheet15!N8)</f>
        <v>10348164238</v>
      </c>
      <c r="I17" s="276">
        <f>IF($B$10="Total Spend [£]", Sheet15!O23, Sheet15!O8)</f>
        <v>11020440530</v>
      </c>
      <c r="J17" s="276">
        <f>IF($B$10="Total Spend [£]", Sheet15!P23, Sheet15!P8)</f>
        <v>11650604844</v>
      </c>
      <c r="K17" s="276">
        <f>IF($B$10="Total Spend [£]", Sheet15!Q23, Sheet15!Q8)</f>
        <v>12010701373</v>
      </c>
      <c r="L17" s="434"/>
    </row>
    <row r="18" spans="2:12" ht="22.5" x14ac:dyDescent="0.3">
      <c r="B18" s="615" t="s">
        <v>512</v>
      </c>
      <c r="C18" s="629">
        <f>IF($B$10="Total Spend [£]", Sheet15!I24, Sheet15!I9)</f>
        <v>7857283612.9860535</v>
      </c>
      <c r="D18" s="629">
        <f>IF($B$10="Total Spend [£]", Sheet15!J24, Sheet15!J9)</f>
        <v>8567647132.6428967</v>
      </c>
      <c r="E18" s="629">
        <f>IF($B$10="Total Spend [£]", Sheet15!K24, Sheet15!K9)</f>
        <v>9761031181.6829605</v>
      </c>
      <c r="F18" s="276"/>
      <c r="G18" s="274" t="s">
        <v>235</v>
      </c>
      <c r="H18" s="276">
        <f>IF($B$10="Total Spend [£]", Sheet15!N24, Sheet15!N9)</f>
        <v>55388343</v>
      </c>
      <c r="I18" s="276">
        <f>IF($B$10="Total Spend [£]", Sheet15!O24, Sheet15!O9)</f>
        <v>49969610</v>
      </c>
      <c r="J18" s="276">
        <f>IF($B$10="Total Spend [£]", Sheet15!P24, Sheet15!P9)</f>
        <v>50866790</v>
      </c>
      <c r="K18" s="276">
        <f>IF($B$10="Total Spend [£]", Sheet15!Q24, Sheet15!Q9)</f>
        <v>53823700</v>
      </c>
      <c r="L18" s="434"/>
    </row>
    <row r="19" spans="2:12" ht="22.5" x14ac:dyDescent="0.3">
      <c r="B19" s="617" t="s">
        <v>513</v>
      </c>
      <c r="C19" s="629">
        <f>IF($B$10="Total Spend [£]", Sheet15!I25, Sheet15!I10)</f>
        <v>7366925661.7196856</v>
      </c>
      <c r="D19" s="629">
        <f>IF($B$10="Total Spend [£]", Sheet15!J25, Sheet15!J10)</f>
        <v>7592550137.883687</v>
      </c>
      <c r="E19" s="629">
        <f>IF($B$10="Total Spend [£]", Sheet15!K25, Sheet15!K10)</f>
        <v>8563406807.5195885</v>
      </c>
      <c r="F19" s="276"/>
      <c r="G19" s="274" t="s">
        <v>236</v>
      </c>
      <c r="H19" s="276">
        <f>IF($B$10="Total Spend [£]", Sheet15!N25, Sheet15!N10)</f>
        <v>3243362907</v>
      </c>
      <c r="I19" s="276">
        <f>IF($B$10="Total Spend [£]", Sheet15!O25, Sheet15!O10)</f>
        <v>3495137805</v>
      </c>
      <c r="J19" s="276">
        <f>IF($B$10="Total Spend [£]", Sheet15!P25, Sheet15!P10)</f>
        <v>3802187699</v>
      </c>
      <c r="K19" s="276">
        <f>IF($B$10="Total Spend [£]", Sheet15!Q25, Sheet15!Q10)</f>
        <v>4055609924</v>
      </c>
      <c r="L19" s="120"/>
    </row>
    <row r="20" spans="2:12" ht="22.5" x14ac:dyDescent="0.3">
      <c r="B20" s="617" t="s">
        <v>514</v>
      </c>
      <c r="C20" s="629">
        <f>IF($B$10="Total Spend [£]", Sheet15!I26, Sheet15!I11)</f>
        <v>5113525411.0440397</v>
      </c>
      <c r="D20" s="629">
        <f>IF($B$10="Total Spend [£]", Sheet15!J26, Sheet15!J11)</f>
        <v>5106911935.4897194</v>
      </c>
      <c r="E20" s="629">
        <f>IF($B$10="Total Spend [£]", Sheet15!K26, Sheet15!K11)</f>
        <v>6099498020.1434803</v>
      </c>
      <c r="F20" s="276"/>
      <c r="G20" s="274" t="s">
        <v>237</v>
      </c>
      <c r="H20" s="276">
        <f>IF($B$10="Total Spend [£]", Sheet15!N26, Sheet15!N11)</f>
        <v>1121776209</v>
      </c>
      <c r="I20" s="276">
        <f>IF($B$10="Total Spend [£]", Sheet15!O26, Sheet15!O11)</f>
        <v>1195263582</v>
      </c>
      <c r="J20" s="276">
        <f>IF($B$10="Total Spend [£]", Sheet15!P26, Sheet15!P11)</f>
        <v>1283066566</v>
      </c>
      <c r="K20" s="276">
        <f>IF($B$10="Total Spend [£]", Sheet15!Q26, Sheet15!Q11)</f>
        <v>1346591230</v>
      </c>
      <c r="L20" s="120"/>
    </row>
    <row r="21" spans="2:12" ht="22.5" x14ac:dyDescent="0.3">
      <c r="B21" s="617" t="s">
        <v>515</v>
      </c>
      <c r="C21" s="629"/>
      <c r="D21" s="629"/>
      <c r="E21" s="629"/>
      <c r="F21" s="276"/>
      <c r="G21" s="274" t="s">
        <v>238</v>
      </c>
      <c r="H21" s="276">
        <f>IF($B$10="Total Spend [£]", Sheet15!N27, Sheet15!N12)</f>
        <v>35393429</v>
      </c>
      <c r="I21" s="276">
        <f>IF($B$10="Total Spend [£]", Sheet15!O27, Sheet15!O12)</f>
        <v>21076125</v>
      </c>
      <c r="J21" s="276">
        <f>IF($B$10="Total Spend [£]", Sheet15!P27, Sheet15!P12)</f>
        <v>17228250</v>
      </c>
      <c r="K21" s="276">
        <f>IF($B$10="Total Spend [£]", Sheet15!Q27, Sheet15!Q12)</f>
        <v>2313281</v>
      </c>
      <c r="L21" s="120"/>
    </row>
    <row r="22" spans="2:12" ht="22.5" x14ac:dyDescent="0.3">
      <c r="B22" s="274"/>
      <c r="C22" s="618"/>
      <c r="D22" s="618"/>
      <c r="E22" s="618"/>
      <c r="F22" s="619"/>
      <c r="G22" s="274" t="s">
        <v>397</v>
      </c>
      <c r="H22" s="276">
        <f>IF($B$10="Total Spend [£]", Sheet15!N28, Sheet15!N13)</f>
        <v>0</v>
      </c>
      <c r="I22" s="276">
        <f>IF($B$10="Total Spend [£]", Sheet15!O28, Sheet15!O13)</f>
        <v>0</v>
      </c>
      <c r="J22" s="276">
        <f>IF($B$10="Total Spend [£]", Sheet15!P28, Sheet15!P13)</f>
        <v>0</v>
      </c>
      <c r="K22" s="276">
        <f>IF($B$10="Total Spend [£]", Sheet15!Q28, Sheet15!Q13)</f>
        <v>0</v>
      </c>
      <c r="L22" s="120"/>
    </row>
    <row r="23" spans="2:12" ht="22.5" x14ac:dyDescent="0.3">
      <c r="B23" s="620" t="s">
        <v>242</v>
      </c>
      <c r="C23" s="646">
        <f>SUM(C14:C21)</f>
        <v>29728251681.782166</v>
      </c>
      <c r="D23" s="646">
        <f t="shared" ref="D23:E23" si="0">SUM(D14:D21)</f>
        <v>31985372795.002441</v>
      </c>
      <c r="E23" s="646">
        <f t="shared" si="0"/>
        <v>36137252786.484024</v>
      </c>
      <c r="F23" s="619"/>
      <c r="G23" s="277" t="s">
        <v>242</v>
      </c>
      <c r="H23" s="278">
        <f>SUM(H13:H22)</f>
        <v>29514019527</v>
      </c>
      <c r="I23" s="278">
        <f>SUM(I13:I22)</f>
        <v>31914636372</v>
      </c>
      <c r="J23" s="278">
        <f>SUM(J13:J22)</f>
        <v>34173130358</v>
      </c>
      <c r="K23" s="278">
        <f>SUM(K13:K22)</f>
        <v>35513804913</v>
      </c>
      <c r="L23" s="120"/>
    </row>
    <row r="24" spans="2:12" x14ac:dyDescent="0.25">
      <c r="C24" s="618"/>
      <c r="D24" s="618"/>
      <c r="E24" s="618"/>
      <c r="G24" s="236"/>
      <c r="H24" s="236"/>
      <c r="I24" s="236"/>
      <c r="J24" s="236"/>
      <c r="K24" s="236"/>
      <c r="L24" s="116"/>
    </row>
    <row r="25" spans="2:12" ht="18" customHeight="1" x14ac:dyDescent="0.25">
      <c r="B25" s="602" t="str">
        <f>"Graph for "&amp;A10&amp;" across major staff groups for years 2007/08-2010/11"</f>
        <v>Graph for  across major staff groups for years 2007/08-2010/11</v>
      </c>
      <c r="F25" s="609"/>
      <c r="G25" s="610"/>
      <c r="H25" s="609"/>
      <c r="I25" s="609"/>
      <c r="J25" s="281"/>
      <c r="K25" s="236"/>
    </row>
    <row r="26" spans="2:12" ht="18" customHeight="1" x14ac:dyDescent="0.25">
      <c r="C26" s="492"/>
      <c r="D26" s="492"/>
      <c r="E26" s="609"/>
      <c r="F26" s="281"/>
      <c r="G26" s="647"/>
      <c r="H26" s="281"/>
      <c r="I26" s="281"/>
      <c r="J26" s="281"/>
      <c r="K26" s="436"/>
    </row>
    <row r="27" spans="2:12" ht="18" customHeight="1" x14ac:dyDescent="0.25">
      <c r="E27" s="281"/>
      <c r="F27" s="611"/>
      <c r="G27" s="647"/>
      <c r="H27" s="611"/>
      <c r="I27" s="611"/>
      <c r="J27" s="281"/>
      <c r="K27" s="433"/>
    </row>
    <row r="28" spans="2:12" ht="18" customHeight="1" x14ac:dyDescent="0.25">
      <c r="E28" s="611"/>
      <c r="F28" s="611"/>
      <c r="G28" s="611"/>
      <c r="H28" s="611"/>
      <c r="I28" s="611"/>
      <c r="J28" s="281"/>
      <c r="K28" s="433"/>
    </row>
    <row r="29" spans="2:12" ht="18" customHeight="1" x14ac:dyDescent="0.25">
      <c r="E29" s="611"/>
      <c r="F29" s="611"/>
      <c r="G29" s="611"/>
      <c r="H29" s="611"/>
      <c r="I29" s="611"/>
      <c r="J29" s="285"/>
      <c r="K29" s="433"/>
      <c r="L29" s="231"/>
    </row>
    <row r="30" spans="2:12" ht="18" customHeight="1" x14ac:dyDescent="0.25">
      <c r="E30" s="611"/>
      <c r="F30" s="611"/>
      <c r="G30" s="611"/>
      <c r="H30" s="611"/>
      <c r="I30" s="611"/>
      <c r="J30" s="281"/>
      <c r="K30" s="433"/>
    </row>
    <row r="31" spans="2:12" ht="18" customHeight="1" x14ac:dyDescent="0.25">
      <c r="E31" s="611"/>
      <c r="F31" s="611"/>
      <c r="G31" s="611"/>
      <c r="H31" s="611"/>
      <c r="I31" s="611"/>
      <c r="J31" s="281"/>
      <c r="K31" s="433"/>
    </row>
    <row r="32" spans="2:12" ht="18" customHeight="1" x14ac:dyDescent="0.25">
      <c r="E32" s="611"/>
      <c r="F32" s="611"/>
      <c r="G32" s="611"/>
      <c r="H32" s="611"/>
      <c r="I32" s="611"/>
      <c r="J32" s="281"/>
      <c r="K32" s="381"/>
    </row>
    <row r="33" spans="5:11" ht="18" customHeight="1" x14ac:dyDescent="0.25">
      <c r="E33" s="611"/>
      <c r="F33" s="611"/>
      <c r="G33" s="611"/>
      <c r="H33" s="611"/>
      <c r="I33" s="611"/>
      <c r="J33" s="281"/>
      <c r="K33" s="381"/>
    </row>
    <row r="34" spans="5:11" ht="18" customHeight="1" x14ac:dyDescent="0.25">
      <c r="E34" s="611"/>
      <c r="F34" s="611"/>
      <c r="G34" s="611"/>
      <c r="H34" s="611"/>
      <c r="I34" s="611"/>
      <c r="J34" s="281"/>
    </row>
    <row r="35" spans="5:11" ht="18" customHeight="1" x14ac:dyDescent="0.25">
      <c r="E35" s="611"/>
      <c r="F35" s="611"/>
      <c r="G35" s="611"/>
      <c r="H35" s="611"/>
      <c r="I35" s="611"/>
      <c r="J35" s="281"/>
    </row>
    <row r="36" spans="5:11" ht="18" customHeight="1" x14ac:dyDescent="0.25">
      <c r="E36" s="611"/>
      <c r="F36" s="281"/>
      <c r="G36" s="281"/>
      <c r="H36" s="281"/>
      <c r="I36" s="281"/>
      <c r="J36" s="281"/>
    </row>
    <row r="37" spans="5:11" ht="18" customHeight="1" x14ac:dyDescent="0.25">
      <c r="E37" s="281"/>
      <c r="F37" s="281"/>
      <c r="G37" s="281"/>
      <c r="H37" s="281"/>
      <c r="I37" s="281"/>
      <c r="J37" s="281"/>
    </row>
    <row r="38" spans="5:11" ht="18" customHeight="1" x14ac:dyDescent="0.25">
      <c r="E38" s="281"/>
      <c r="F38" s="281"/>
      <c r="G38" s="281"/>
      <c r="H38" s="281"/>
      <c r="I38" s="281"/>
      <c r="J38" s="281"/>
    </row>
    <row r="39" spans="5:11" ht="18" customHeight="1" x14ac:dyDescent="0.25">
      <c r="E39" s="281"/>
      <c r="F39" s="281"/>
      <c r="G39" s="281"/>
      <c r="H39" s="281"/>
      <c r="I39" s="281"/>
      <c r="J39" s="281"/>
    </row>
    <row r="40" spans="5:11" ht="18" customHeight="1" x14ac:dyDescent="0.25">
      <c r="E40" s="281"/>
      <c r="F40" s="281"/>
      <c r="G40" s="281"/>
      <c r="H40" s="281"/>
      <c r="I40" s="281"/>
      <c r="J40" s="281"/>
    </row>
    <row r="41" spans="5:11" ht="18" customHeight="1" x14ac:dyDescent="0.25">
      <c r="E41" s="281"/>
      <c r="F41" s="281"/>
      <c r="G41" s="281"/>
      <c r="H41" s="281"/>
      <c r="I41" s="281"/>
      <c r="J41" s="281"/>
    </row>
    <row r="42" spans="5:11" ht="18" customHeight="1" x14ac:dyDescent="0.25">
      <c r="E42" s="281"/>
      <c r="F42" s="281"/>
      <c r="G42" s="281"/>
      <c r="H42" s="281"/>
      <c r="I42" s="281"/>
      <c r="J42" s="281"/>
    </row>
    <row r="43" spans="5:11" ht="18" customHeight="1" x14ac:dyDescent="0.25">
      <c r="E43" s="281"/>
      <c r="H43" s="281"/>
      <c r="I43" s="281"/>
      <c r="J43" s="281"/>
    </row>
    <row r="44" spans="5:11" x14ac:dyDescent="0.25">
      <c r="H44" s="281"/>
      <c r="I44" s="281"/>
      <c r="J44" s="281"/>
    </row>
    <row r="83" spans="7:13" ht="22.5" x14ac:dyDescent="0.3">
      <c r="G83" s="11"/>
    </row>
    <row r="94" spans="7:13" ht="22.5" x14ac:dyDescent="0.3">
      <c r="I94" s="11"/>
      <c r="J94" s="11"/>
    </row>
    <row r="95" spans="7:13" ht="22.5" x14ac:dyDescent="0.3">
      <c r="H95" s="11"/>
      <c r="K95" s="68"/>
      <c r="L95" s="11"/>
      <c r="M95" s="11"/>
    </row>
    <row r="96" spans="7:13" ht="23.25" x14ac:dyDescent="0.35">
      <c r="K96" s="20"/>
      <c r="L96" s="10"/>
      <c r="M96" s="10"/>
    </row>
  </sheetData>
  <customSheetViews>
    <customSheetView guid="{9EA95E61-FCA5-4867-AEB4-B8C24058ACDD}" showGridLines="0" showRowCol="0" topLeftCell="A10">
      <selection activeCell="B10" sqref="B10"/>
      <pageMargins left="0.7" right="0.7" top="0.75" bottom="0.75" header="0.3" footer="0.3"/>
      <pageSetup paperSize="9" orientation="portrait" r:id="rId1"/>
    </customSheetView>
  </customSheetViews>
  <dataValidations xWindow="419" yWindow="516" count="9">
    <dataValidation type="list" allowBlank="1" showErrorMessage="1" promptTitle="Full Time Equivalent" prompt="The number of total hours worked divided by the maximum number of compensable hours in a full-time schedule" sqref="B10">
      <formula1>view</formula1>
    </dataValidation>
    <dataValidation allowBlank="1" showInputMessage="1" showErrorMessage="1" promptTitle="Full Time Equivalent" prompt="The number of total hours worked divided by the maximum number of compensable hours in a full-time schedule" sqref="L13 K28 B9"/>
    <dataValidation allowBlank="1" showInputMessage="1" showErrorMessage="1" promptTitle="Major Staff Groups" prompt="More on the profile of staff in each category can be obtained from the webpage: http://www.ic.nhs.uk/article/2268/NHS-Occupation-Codes" sqref="L14 K29"/>
    <dataValidation allowBlank="1" showInputMessage="1" showErrorMessage="1" promptTitle="Non funded staff" prompt="Non-funded staff includes staff employed on projects funded by the Department of Health or other outside sources, and staff _x000a_whose salaries are recharged to another non-NHS employer or organisation." sqref="L16 K31"/>
    <dataValidation allowBlank="1" showInputMessage="1" showErrorMessage="1" promptTitle="iVIew" prompt="Service provided by IC NHS; iView can be found on the following link: http://www.ic.nhs.uk/iview" sqref="L15 K30"/>
    <dataValidation allowBlank="1" showInputMessage="1" showErrorMessage="1" promptTitle="Non-funded staff" prompt="Non-funded staff includes staff employed on projects funded by the Department of Health or other outside sources, and staff _x000a_whose salaries are recharged to another non-NHS employer or organisation." sqref="G22"/>
    <dataValidation allowBlank="1" showInputMessage="1" showErrorMessage="1" promptTitle="Major Staff Group" prompt="More on the profile of staff in each category can be obtained from the webpage: http://www.ic.nhs.uk/article/2268/NHS-Occupation-Codes" sqref="G8 B6"/>
    <dataValidation allowBlank="1" showInputMessage="1" showErrorMessage="1" promptTitle="Electronic Staff record" prompt="Service provided by IC NHS; iView can be found on the following link: http://www.ic.nhs.uk/iview" sqref="G6:G7 B4:B5"/>
    <dataValidation allowBlank="1" showInputMessage="1" showErrorMessage="1" promptTitle="Data for years 2004/05-2006/07" prompt="For years 2004/05-2006/07 Electronic Staff Record data was not available; Workforce Census data was used insted." sqref="C12"/>
  </dataValidation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25</vt:i4>
      </vt:variant>
    </vt:vector>
  </HeadingPairs>
  <TitlesOfParts>
    <vt:vector size="68" baseType="lpstr">
      <vt:lpstr>Title Page</vt:lpstr>
      <vt:lpstr>Note to the user</vt:lpstr>
      <vt:lpstr>Table of contents</vt:lpstr>
      <vt:lpstr>Inputs direct labour (3)</vt:lpstr>
      <vt:lpstr>Inputs direct labour (2)</vt:lpstr>
      <vt:lpstr>Inputs direct labour</vt:lpstr>
      <vt:lpstr>Glossary</vt:lpstr>
      <vt:lpstr>Sheet15</vt:lpstr>
      <vt:lpstr>Direct labour Inputs</vt:lpstr>
      <vt:lpstr>Direct labour Inputs - med</vt:lpstr>
      <vt:lpstr>Inputs indirect expenditure</vt:lpstr>
      <vt:lpstr>Indirect labour inputs</vt:lpstr>
      <vt:lpstr>Inputs index (2)</vt:lpstr>
      <vt:lpstr>Capital inputs</vt:lpstr>
      <vt:lpstr>Prescribing_hidden</vt:lpstr>
      <vt:lpstr>Sheet14</vt:lpstr>
      <vt:lpstr>Total inputs</vt:lpstr>
      <vt:lpstr>Productivity (3)</vt:lpstr>
      <vt:lpstr>Indirect intermediates</vt:lpstr>
      <vt:lpstr>Ind_inter_backfile</vt:lpstr>
      <vt:lpstr>Total indirect inputs</vt:lpstr>
      <vt:lpstr>Reference Costs Breakdown</vt:lpstr>
      <vt:lpstr>Reference Costs Output (4)</vt:lpstr>
      <vt:lpstr>HES output</vt:lpstr>
      <vt:lpstr>HES QA backend</vt:lpstr>
      <vt:lpstr>HES output (2)</vt:lpstr>
      <vt:lpstr>Inpatient and Outpatient</vt:lpstr>
      <vt:lpstr>Reference Costs Output</vt:lpstr>
      <vt:lpstr>Primary care (2)</vt:lpstr>
      <vt:lpstr>Reference Costs Output (2)</vt:lpstr>
      <vt:lpstr>Prescribing</vt:lpstr>
      <vt:lpstr>Primary care</vt:lpstr>
      <vt:lpstr>QA Primary Care</vt:lpstr>
      <vt:lpstr>Primary Care QA</vt:lpstr>
      <vt:lpstr>Deflators</vt:lpstr>
      <vt:lpstr>Quality adjustment</vt:lpstr>
      <vt:lpstr>Reference Costs Output (3)</vt:lpstr>
      <vt:lpstr>Productivity (2)</vt:lpstr>
      <vt:lpstr>Productivity</vt:lpstr>
      <vt:lpstr>Publications</vt:lpstr>
      <vt:lpstr>Productivity (4)</vt:lpstr>
      <vt:lpstr>Productivity (5)</vt:lpstr>
      <vt:lpstr>Deflt</vt:lpstr>
      <vt:lpstr>authority</vt:lpstr>
      <vt:lpstr>authority2</vt:lpstr>
      <vt:lpstr>Capitalcosts</vt:lpstr>
      <vt:lpstr>ef_costs</vt:lpstr>
      <vt:lpstr>EXP</vt:lpstr>
      <vt:lpstr>Exp_terms</vt:lpstr>
      <vt:lpstr>expn</vt:lpstr>
      <vt:lpstr>GPview</vt:lpstr>
      <vt:lpstr>HES_setting</vt:lpstr>
      <vt:lpstr>index</vt:lpstr>
      <vt:lpstr>indices</vt:lpstr>
      <vt:lpstr>inter_prov</vt:lpstr>
      <vt:lpstr>new_ref_cetegories</vt:lpstr>
      <vt:lpstr>pcts</vt:lpstr>
      <vt:lpstr>QA</vt:lpstr>
      <vt:lpstr>QAnew</vt:lpstr>
      <vt:lpstr>Ref_costs</vt:lpstr>
      <vt:lpstr>Refcosts</vt:lpstr>
      <vt:lpstr>Reference_costs</vt:lpstr>
      <vt:lpstr>relative</vt:lpstr>
      <vt:lpstr>Select_expenditure_type</vt:lpstr>
      <vt:lpstr>source_inter</vt:lpstr>
      <vt:lpstr>source_labour</vt:lpstr>
      <vt:lpstr>test1</vt:lpstr>
      <vt:lpstr>view</vt:lpstr>
    </vt:vector>
  </TitlesOfParts>
  <Company>The University of York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Bojke</dc:creator>
  <cp:lastModifiedBy>Gill Forder</cp:lastModifiedBy>
  <cp:lastPrinted>2013-02-12T14:01:43Z</cp:lastPrinted>
  <dcterms:created xsi:type="dcterms:W3CDTF">2012-10-24T08:26:49Z</dcterms:created>
  <dcterms:modified xsi:type="dcterms:W3CDTF">2013-07-02T08:39:56Z</dcterms:modified>
</cp:coreProperties>
</file>