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9.xml" ContentType="application/vnd.openxmlformats-officedocument.drawing+xml"/>
  <Override PartName="/xl/ctrlProps/ctrlProp4.xml" ContentType="application/vnd.ms-excel.controlproperties+xml"/>
  <Override PartName="/xl/drawings/drawing10.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11.xml" ContentType="application/vnd.openxmlformats-officedocument.drawing+xml"/>
  <Override PartName="/xl/ctrlProps/ctrlProp5.xml" ContentType="application/vnd.ms-excel.controlproperties+xml"/>
  <Override PartName="/xl/drawings/drawing12.xml" ContentType="application/vnd.openxmlformats-officedocument.drawing+xml"/>
  <Override PartName="/xl/ctrlProps/ctrlProp6.xml" ContentType="application/vnd.ms-excel.controlproperties+xml"/>
  <Override PartName="/xl/drawings/drawing13.xml" ContentType="application/vnd.openxmlformats-officedocument.drawing+xml"/>
  <Override PartName="/xl/ctrlProps/ctrlProp7.xml" ContentType="application/vnd.ms-excel.controlproperties+xml"/>
  <Override PartName="/xl/drawings/drawing14.xml" ContentType="application/vnd.openxmlformats-officedocument.drawing+xml"/>
  <Override PartName="/xl/ctrlProps/ctrlProp8.xml" ContentType="application/vnd.ms-excel.controlproperties+xml"/>
  <Override PartName="/xl/drawings/drawing15.xml" ContentType="application/vnd.openxmlformats-officedocument.drawing+xml"/>
  <Override PartName="/xl/ctrlProps/ctrlProp9.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trlProps/ctrlProp10.xml" ContentType="application/vnd.ms-excel.controlproperties+xml"/>
  <Override PartName="/xl/drawings/drawing19.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harts/chart4.xml" ContentType="application/vnd.openxmlformats-officedocument.drawingml.chart+xml"/>
  <Override PartName="/xl/drawings/drawing20.xml" ContentType="application/vnd.openxmlformats-officedocument.drawing+xml"/>
  <Override PartName="/xl/ctrlProps/ctrlProp14.xml" ContentType="application/vnd.ms-excel.controlproperties+xml"/>
  <Override PartName="/xl/charts/chart5.xml" ContentType="application/vnd.openxmlformats-officedocument.drawingml.chart+xml"/>
  <Override PartName="/xl/drawings/drawing21.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omments1.xml" ContentType="application/vnd.openxmlformats-officedocument.spreadsheetml.comments+xml"/>
  <Override PartName="/xl/charts/chart6.xml" ContentType="application/vnd.openxmlformats-officedocument.drawingml.chart+xml"/>
  <Override PartName="/xl/drawings/drawing22.xml" ContentType="application/vnd.openxmlformats-officedocument.drawing+xml"/>
  <Override PartName="/xl/comments2.xml" ContentType="application/vnd.openxmlformats-officedocument.spreadsheetml.comments+xml"/>
  <Override PartName="/xl/drawings/drawing23.xml" ContentType="application/vnd.openxmlformats-officedocument.drawing+xml"/>
  <Override PartName="/xl/ctrlProps/ctrlProp24.xml" ContentType="application/vnd.ms-excel.controlproperties+xml"/>
  <Override PartName="/xl/drawings/drawing24.xml" ContentType="application/vnd.openxmlformats-officedocument.drawing+xml"/>
  <Override PartName="/xl/ctrlProps/ctrlProp25.xml" ContentType="application/vnd.ms-excel.controlproperties+xml"/>
  <Override PartName="/xl/drawings/drawing25.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26.xml" ContentType="application/vnd.openxmlformats-officedocument.drawing+xml"/>
  <Override PartName="/xl/ctrlProps/ctrlProp26.xml" ContentType="application/vnd.ms-excel.controlproperties+xml"/>
  <Override PartName="/xl/drawings/drawing27.xml" ContentType="application/vnd.openxmlformats-officedocument.drawing+xml"/>
  <Override PartName="/xl/ctrlProps/ctrlProp27.xml" ContentType="application/vnd.ms-excel.controlproperties+xml"/>
  <Override PartName="/xl/drawings/drawing28.xml" ContentType="application/vnd.openxmlformats-officedocument.drawing+xml"/>
  <Override PartName="/xl/ctrlProps/ctrlProp28.xml" ContentType="application/vnd.ms-excel.controlproperties+xml"/>
  <Override PartName="/xl/charts/chart7.xml" ContentType="application/vnd.openxmlformats-officedocument.drawingml.chart+xml"/>
  <Override PartName="/xl/charts/chart8.xml" ContentType="application/vnd.openxmlformats-officedocument.drawingml.chart+xml"/>
  <Override PartName="/xl/drawings/drawing29.xml" ContentType="application/vnd.openxmlformats-officedocument.drawing+xml"/>
  <Override PartName="/xl/charts/chart9.xml" ContentType="application/vnd.openxmlformats-officedocument.drawingml.chart+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trlProps/ctrlProp29.xml" ContentType="application/vnd.ms-excel.controlproperties+xml"/>
  <Override PartName="/xl/ctrlProps/ctrlProp30.xml" ContentType="application/vnd.ms-excel.controlproperties+xml"/>
  <Override PartName="/xl/drawings/drawing34.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drawings/drawing35.xml" ContentType="application/vnd.openxmlformats-officedocument.drawing+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drawings/drawing36.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3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38.xml" ContentType="application/vnd.openxmlformats-officedocument.drawing+xml"/>
  <Override PartName="/xl/ctrlProps/ctrlProp37.xml" ContentType="application/vnd.ms-excel.controlproperties+xml"/>
  <Override PartName="/xl/ctrlProps/ctrlProp38.xml" ContentType="application/vnd.ms-excel.controlproperties+xml"/>
  <Override PartName="/xl/drawings/drawing39.xml" ContentType="application/vnd.openxmlformats-officedocument.drawing+xml"/>
  <Override PartName="/xl/charts/chart16.xml" ContentType="application/vnd.openxmlformats-officedocument.drawingml.chart+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trlProps/ctrlProp39.xml" ContentType="application/vnd.ms-excel.controlproperties+xml"/>
  <Override PartName="/xl/drawings/drawing45.xml" ContentType="application/vnd.openxmlformats-officedocument.drawing+xml"/>
  <Override PartName="/xl/ctrlProps/ctrlProp40.xml" ContentType="application/vnd.ms-excel.controlproperties+xml"/>
  <Override PartName="/xl/drawings/drawing46.xml" ContentType="application/vnd.openxmlformats-officedocument.drawing+xml"/>
  <Override PartName="/xl/ctrlProps/ctrlProp41.xml" ContentType="application/vnd.ms-excel.controlproperties+xml"/>
  <Override PartName="/xl/drawings/drawing47.xml" ContentType="application/vnd.openxmlformats-officedocument.drawing+xml"/>
  <Override PartName="/xl/drawings/drawing48.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49.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50.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51.xml" ContentType="application/vnd.openxmlformats-officedocument.drawing+xml"/>
  <Override PartName="/xl/comments5.xml" ContentType="application/vnd.openxmlformats-officedocument.spreadsheetml.comments+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charts/chart29.xml" ContentType="application/vnd.openxmlformats-officedocument.drawingml.chart+xml"/>
  <Override PartName="/xl/drawings/drawing55.xml" ContentType="application/vnd.openxmlformats-officedocument.drawing+xml"/>
  <Override PartName="/xl/drawings/drawing56.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57.xml" ContentType="application/vnd.openxmlformats-officedocument.drawing+xml"/>
  <Override PartName="/xl/drawings/drawing58.xml" ContentType="application/vnd.openxmlformats-officedocument.drawing+xml"/>
  <Override PartName="/xl/comments6.xml" ContentType="application/vnd.openxmlformats-officedocument.spreadsheetml.comments+xml"/>
  <Override PartName="/xl/drawings/drawing59.xml" ContentType="application/vnd.openxmlformats-officedocument.drawing+xml"/>
  <Override PartName="/xl/ctrlProps/ctrlProp42.xml" ContentType="application/vnd.ms-excel.controlproperties+xml"/>
  <Override PartName="/xl/comments7.xml" ContentType="application/vnd.openxmlformats-officedocument.spreadsheetml.comments+xml"/>
  <Override PartName="/xl/drawings/drawing60.xml" ContentType="application/vnd.openxmlformats-officedocument.drawing+xml"/>
  <Override PartName="/xl/ctrlProps/ctrlProp43.xml" ContentType="application/vnd.ms-excel.controlproperties+xml"/>
  <Override PartName="/xl/charts/chart32.xml" ContentType="application/vnd.openxmlformats-officedocument.drawingml.chart+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ctrlProps/ctrlProp44.xml" ContentType="application/vnd.ms-excel.controlproperties+xml"/>
  <Override PartName="/xl/ctrlProps/ctrlProp45.xml" ContentType="application/vnd.ms-excel.controlproperties+xml"/>
  <Override PartName="/xl/drawings/drawing64.xml" ContentType="application/vnd.openxmlformats-officedocument.drawing+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drawings/drawing65.xml" ContentType="application/vnd.openxmlformats-officedocument.drawing+xml"/>
  <Override PartName="/xl/charts/chart3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1395" yWindow="555" windowWidth="15480" windowHeight="6765"/>
  </bookViews>
  <sheets>
    <sheet name="Title_Page" sheetId="1" r:id="rId1"/>
    <sheet name="Note_to_the_user" sheetId="3" r:id="rId2"/>
    <sheet name="Table of contents" sheetId="2" state="hidden" r:id="rId3"/>
    <sheet name="Inputs direct labour (3)" sheetId="4" state="hidden" r:id="rId4"/>
    <sheet name="Inputs direct labour" sheetId="7" state="hidden" r:id="rId5"/>
    <sheet name="Indirect labour inputs - all " sheetId="49" state="hidden" r:id="rId6"/>
    <sheet name="direct_labour" sheetId="6" state="hidden" r:id="rId7"/>
    <sheet name="graphs_labour" sheetId="50" state="hidden" r:id="rId8"/>
    <sheet name="Productivity_outline" sheetId="70" r:id="rId9"/>
    <sheet name="Admited_care" sheetId="43" r:id="rId10"/>
    <sheet name="Hospital new figures_9899_1112" sheetId="62" state="hidden" r:id="rId11"/>
    <sheet name="Outpatient" sheetId="76" r:id="rId12"/>
    <sheet name="Mental_health" sheetId="78" r:id="rId13"/>
    <sheet name="Community_Care" sheetId="67" r:id="rId14"/>
    <sheet name="A&amp;E" sheetId="77" state="hidden" r:id="rId15"/>
    <sheet name="Other NHS Activity" sheetId="69" state="hidden" r:id="rId16"/>
    <sheet name="Primary care (3)" sheetId="71" state="hidden" r:id="rId17"/>
    <sheet name="Primary care (2)" sheetId="31" state="hidden" r:id="rId18"/>
    <sheet name="Primary_care_and_Prescribing" sheetId="30" r:id="rId19"/>
    <sheet name="QA Primary Care" sheetId="33" state="hidden" r:id="rId20"/>
    <sheet name="Prescribing" sheetId="19" state="hidden" r:id="rId21"/>
    <sheet name="Output_growth" sheetId="61" r:id="rId22"/>
    <sheet name="Output growth (3)" sheetId="75" state="hidden" r:id="rId23"/>
    <sheet name="Labour_Inputs" sheetId="9" r:id="rId24"/>
    <sheet name="Indirect labour inputs - recent" sheetId="11" state="hidden" r:id="rId25"/>
    <sheet name="Inputs indirect expenditure" sheetId="13" state="hidden" r:id="rId26"/>
    <sheet name="Ind_inter_backfile" sheetId="42" state="hidden" r:id="rId27"/>
    <sheet name="Input Growth" sheetId="73" state="hidden" r:id="rId28"/>
    <sheet name="Capital_inputs " sheetId="12" r:id="rId29"/>
    <sheet name="Capital inputs - all" sheetId="52" state="hidden" r:id="rId30"/>
    <sheet name="capital_tables" sheetId="56" state="hidden" r:id="rId31"/>
    <sheet name="Direct labour Inputs - med" sheetId="10" state="hidden" r:id="rId32"/>
    <sheet name="Inputs direct labour (2)" sheetId="5" state="hidden" r:id="rId33"/>
    <sheet name="Prescribing_hidden" sheetId="14" state="hidden" r:id="rId34"/>
    <sheet name="Sheet14" sheetId="15" state="hidden" r:id="rId35"/>
    <sheet name="Total inputs" sheetId="16" state="hidden" r:id="rId36"/>
    <sheet name="Productivity (3)" sheetId="35" state="hidden" r:id="rId37"/>
    <sheet name="Total indirect inputs - all" sheetId="54" state="hidden" r:id="rId38"/>
    <sheet name="Total indirect inputs - recent" sheetId="36" state="hidden" r:id="rId39"/>
    <sheet name="Reference Costs Breakdown" sheetId="18" state="hidden" r:id="rId40"/>
    <sheet name="Reference Costs Output (4)" sheetId="45" state="hidden" r:id="rId41"/>
    <sheet name="Inputs index (2)" sheetId="39" state="hidden" r:id="rId42"/>
    <sheet name="HES output" sheetId="23" state="hidden" r:id="rId43"/>
    <sheet name="HES QA backend" sheetId="44" state="hidden" r:id="rId44"/>
    <sheet name="HES output (2)" sheetId="21" state="hidden" r:id="rId45"/>
    <sheet name="Sheet6" sheetId="57" state="hidden" r:id="rId46"/>
    <sheet name="graphs_HES" sheetId="63" state="hidden" r:id="rId47"/>
    <sheet name="graphs HES" sheetId="64" state="hidden" r:id="rId48"/>
    <sheet name="Indirect intermediates - al (2" sheetId="79" state="hidden" r:id="rId49"/>
    <sheet name="Indirect intermediates - all" sheetId="51" state="hidden" r:id="rId50"/>
    <sheet name="Intermediates" sheetId="41" r:id="rId51"/>
    <sheet name="graphs intermediates" sheetId="53" state="hidden" r:id="rId52"/>
    <sheet name="Sheet8" sheetId="58" state="hidden" r:id="rId53"/>
    <sheet name="Sheet10" sheetId="60" state="hidden" r:id="rId54"/>
    <sheet name="Sheet8 (2)" sheetId="59" state="hidden" r:id="rId55"/>
    <sheet name="Reference Costs Output" sheetId="17" state="hidden" r:id="rId56"/>
    <sheet name="Reference Costs Output (2)" sheetId="24" state="hidden" r:id="rId57"/>
    <sheet name="graphs GP" sheetId="48" state="hidden" r:id="rId58"/>
    <sheet name="Sheet1" sheetId="46" state="hidden" r:id="rId59"/>
    <sheet name="Primary Care QA" sheetId="32" state="hidden" r:id="rId60"/>
    <sheet name="Deflators" sheetId="20" state="hidden" r:id="rId61"/>
    <sheet name="Quality adjustment" sheetId="25" state="hidden" r:id="rId62"/>
    <sheet name="Reference Costs Output (3)" sheetId="26" state="hidden" r:id="rId63"/>
    <sheet name="Productivity (2)" sheetId="27" state="hidden" r:id="rId64"/>
    <sheet name="Input_growth" sheetId="74" r:id="rId65"/>
    <sheet name="Productivity_growth" sheetId="28" r:id="rId66"/>
    <sheet name="Publications" sheetId="29" state="hidden" r:id="rId67"/>
    <sheet name="Glossary" sheetId="8" state="hidden" r:id="rId68"/>
    <sheet name="Productivity (4)" sheetId="37" state="hidden" r:id="rId69"/>
    <sheet name="Productivity (5)" sheetId="38" state="hidden" r:id="rId70"/>
    <sheet name="Deflt" sheetId="22" state="hidden" r:id="rId71"/>
  </sheets>
  <externalReferences>
    <externalReference r:id="rId72"/>
  </externalReferences>
  <definedNames>
    <definedName name="_xlcn.WorksheetConnection_TotalindirectinputsB12G20" hidden="1">'Total indirect inputs - all'!$B$12:$I$21</definedName>
    <definedName name="_xlcn.WorksheetConnection_TotalindirectinputsB12G201" localSheetId="37" hidden="1">'Total indirect inputs - all'!$B$12:$I$21</definedName>
    <definedName name="authority">'Inputs indirect expenditure'!$R$45:$R$47</definedName>
    <definedName name="authority2" localSheetId="64">'[1]Inputs indirect expenditure'!$R$45:$R$48</definedName>
    <definedName name="authority2" localSheetId="22">'[1]Inputs indirect expenditure'!$R$45:$R$48</definedName>
    <definedName name="authority2" localSheetId="21">'[1]Inputs indirect expenditure'!$R$45:$R$48</definedName>
    <definedName name="authority2">'Inputs indirect expenditure'!$R$45:$R$48</definedName>
    <definedName name="blah" localSheetId="14">INDEX(graphs_HES!XFA1048561:XFA1048563,MATCH('A&amp;E'!XFB1048568,graphs_HES!XFB1048561:XFB1048563,1))</definedName>
    <definedName name="blah" localSheetId="13">INDEX(graphs_HES!XFA1048561:XFA1048563,MATCH(Community_Care!XFB1048568,graphs_HES!XFB1048561:XFB1048563,1))</definedName>
    <definedName name="blah" localSheetId="12">INDEX(graphs_HES!XFA1048561:XFA1048563,MATCH(Mental_health!XFB1048568,graphs_HES!XFB1048561:XFB1048563,1))</definedName>
    <definedName name="blah" localSheetId="15">INDEX(graphs_HES!XFA1048561:XFA1048563,MATCH('Other NHS Activity'!XFB1048568,graphs_HES!XFB1048561:XFB1048563,1))</definedName>
    <definedName name="blah" localSheetId="11">INDEX(graphs_HES!XFA1048561:XFA1048563,MATCH(Outpatient!XFB1048568,graphs_HES!XFB1048561:XFB1048563,1))</definedName>
    <definedName name="blah">INDEX(graphs_HES!XFA1048561:XFA1048563,MATCH(Admited_care!XFB1048568,graphs_HES!XFB1048561:XFB1048563,1))</definedName>
    <definedName name="capital" localSheetId="64">INDEX([1]Sheet6!$A$1:$A$4,MATCH('[1]Capital inputs - recent'!$A$23,[1]Sheet6!$B$1:$B$4,0))</definedName>
    <definedName name="capital" localSheetId="22">INDEX([1]Sheet6!$A$1:$A$4,MATCH('[1]Capital inputs - recent'!$A$23,[1]Sheet6!$B$1:$B$4,0))</definedName>
    <definedName name="capital" localSheetId="21">INDEX([1]Sheet6!$A$1:$A$4,MATCH('[1]Capital inputs - recent'!$A$23,[1]Sheet6!$B$1:$B$4,0))</definedName>
    <definedName name="capital">INDEX(Sheet6!$A$1:$A$4,MATCH('Capital_inputs '!$A$23,Sheet6!$B$1:$B$4,0))</definedName>
    <definedName name="Capitalcosts" localSheetId="64">'[1]Inputs direct labour (2)'!$S$17:$S$18</definedName>
    <definedName name="Capitalcosts" localSheetId="22">'[1]Inputs direct labour (2)'!$S$17:$S$18</definedName>
    <definedName name="Capitalcosts" localSheetId="21">'[1]Inputs direct labour (2)'!$S$17:$S$18</definedName>
    <definedName name="Capitalcosts">'Inputs direct labour (2)'!$S$17:$S$18</definedName>
    <definedName name="constant_labour" localSheetId="64">INDEX([1]Sheet4!$C$1:$C$4, MATCH('[1]Indirect labour inputs - recent'!$B$9,[1]Sheet4!$D$1:$D$4,0))</definedName>
    <definedName name="constant_labour" localSheetId="22">INDEX([1]Sheet4!$C$1:$C$4, MATCH('[1]Indirect labour inputs - recent'!$B$9,[1]Sheet4!$D$1:$D$4,0))</definedName>
    <definedName name="constant_labour" localSheetId="21">INDEX([1]Sheet4!$C$1:$C$4, MATCH('[1]Indirect labour inputs - recent'!$B$9,[1]Sheet4!$D$1:$D$4,0))</definedName>
    <definedName name="constant_labour">INDEX(graphs_labour!$C$1:$C$4, MATCH('Indirect labour inputs - recent'!$B$9,graphs_labour!$D$1:$D$4,0))</definedName>
    <definedName name="current_labour" localSheetId="64">INDEX([1]Sheet4!$A$1:$A$4, MATCH('[1]Indirect labour inputs - recent'!$B$9,[1]Sheet4!$B$1:$B$4,0))</definedName>
    <definedName name="current_labour" localSheetId="22">INDEX([1]Sheet4!$A$1:$A$4, MATCH('[1]Indirect labour inputs - recent'!$B$9,[1]Sheet4!$B$1:$B$4,0))</definedName>
    <definedName name="current_labour" localSheetId="21">INDEX([1]Sheet4!$A$1:$A$4, MATCH('[1]Indirect labour inputs - recent'!$B$9,[1]Sheet4!$B$1:$B$4,0))</definedName>
    <definedName name="current_labour">INDEX(graphs_labour!$A$1:$A$4, MATCH('Indirect labour inputs - recent'!$B$9,graphs_labour!$B$1:$B$4,0))</definedName>
    <definedName name="do" localSheetId="14">INDEX('graphs HES'!$A$1:$A$3,MATCH('A&amp;E'!#REF!,'graphs HES'!$B$1:$B$3,0))</definedName>
    <definedName name="do" localSheetId="13">INDEX('graphs HES'!$A$1:$A$3,MATCH(Community_Care!#REF!,'graphs HES'!$B$1:$B$3,0))</definedName>
    <definedName name="do" localSheetId="12">INDEX('graphs HES'!$A$1:$A$3,MATCH(Mental_health!#REF!,'graphs HES'!$B$1:$B$3,0))</definedName>
    <definedName name="do" localSheetId="15">INDEX('graphs HES'!$A$1:$A$3,MATCH('Other NHS Activity'!$B$9,'graphs HES'!$B$1:$B$3,0))</definedName>
    <definedName name="do" localSheetId="11">INDEX('graphs HES'!$A$1:$A$3,MATCH(Outpatient!#REF!,'graphs HES'!$B$1:$B$3,0))</definedName>
    <definedName name="do">INDEX('graphs HES'!$A$1:$A$3,MATCH(Admited_care!$B$9,'graphs HES'!$B$1:$B$3,0))</definedName>
    <definedName name="ef_costs">'Reference Costs Output (2)'!$K$16:$P$34</definedName>
    <definedName name="EXP">Sheet14!$L$8:$M$9</definedName>
    <definedName name="Exp_terms">'Inputs direct labour (3)'!$E$9:$E$10</definedName>
    <definedName name="expn">Sheet14!$L$8:$L$9</definedName>
    <definedName name="fireworks" localSheetId="64">INDEX([1]Sheet2!$A$1:$A$2,MATCH('[1]Primary care'!$B$10,[1]Sheet2!$B$1:$B$2,0))</definedName>
    <definedName name="fireworks" localSheetId="22">INDEX([1]Sheet2!$A$1:$A$2,MATCH('[1]Primary care'!$B$10,[1]Sheet2!$B$1:$B$2,0))</definedName>
    <definedName name="fireworks" localSheetId="21">INDEX([1]Sheet2!$A$1:$A$2,MATCH('[1]Primary care'!$B$10,[1]Sheet2!$B$1:$B$2,0))</definedName>
    <definedName name="fireworks" localSheetId="16">INDEX('graphs GP'!$A$1:$A$2,MATCH('Primary care (3)'!$B$10,'graphs GP'!$B$1:$B$2,0))</definedName>
    <definedName name="fireworks">INDEX('graphs GP'!$A$1:$A$2,MATCH(Primary_care_and_Prescribing!#REF!,'graphs GP'!$B$1:$B$2,0))</definedName>
    <definedName name="GPview" localSheetId="64">'[1]Primary care (2)'!$P$18:$P$19</definedName>
    <definedName name="GPview" localSheetId="22">'[1]Primary care (2)'!$P$18:$P$19</definedName>
    <definedName name="GPview" localSheetId="21">'[1]Primary care (2)'!$P$18:$P$19</definedName>
    <definedName name="GPview">'Primary care (2)'!$P$18:$P$19</definedName>
    <definedName name="growth" localSheetId="14">INDEX(graphs_HES!XEW1048566:XEW1048568,MATCH('A&amp;E'!XEX1048573,graphs_HES!XEX1048566:XEX1048568,1))</definedName>
    <definedName name="growth" localSheetId="13">INDEX(graphs_HES!XEW1048566:XEW1048568,MATCH(Community_Care!XEX1048573,graphs_HES!XEX1048566:XEX1048568,1))</definedName>
    <definedName name="growth" localSheetId="12">INDEX(graphs_HES!XEW1048566:XEW1048568,MATCH(Mental_health!XEX1048573,graphs_HES!XEX1048566:XEX1048568,1))</definedName>
    <definedName name="growth" localSheetId="15">INDEX(graphs_HES!XEW1048566:XEW1048568,MATCH('Other NHS Activity'!XEX1048573,graphs_HES!XEX1048566:XEX1048568,1))</definedName>
    <definedName name="growth" localSheetId="11">INDEX(graphs_HES!XEW1048566:XEW1048568,MATCH(Outpatient!XEX1048573,graphs_HES!XEX1048566:XEX1048568,1))</definedName>
    <definedName name="growth">INDEX(graphs_HES!XEW1048566:XEW1048568,MATCH(Admited_care!XEX1048573,graphs_HES!XEX1048566:XEX1048568,1))</definedName>
    <definedName name="HES_setting" localSheetId="64">'[1]HES output (2)'!$D$109:$D$112</definedName>
    <definedName name="HES_setting" localSheetId="22">'[1]HES output (2)'!$D$109:$D$112</definedName>
    <definedName name="HES_setting" localSheetId="21">'[1]HES output (2)'!$D$109:$D$112</definedName>
    <definedName name="HES_setting">'HES output (2)'!$D$109:$D$112</definedName>
    <definedName name="hospital_activity" localSheetId="64">'[1]Sheet8 (2)'!$J$34:$J$36</definedName>
    <definedName name="hospital_activity" localSheetId="22">'[1]Sheet8 (2)'!$J$34:$J$36</definedName>
    <definedName name="hospital_activity" localSheetId="21">'[1]Sheet8 (2)'!$J$34:$J$36</definedName>
    <definedName name="hospital_activity">'Sheet8 (2)'!$J$34:$J$36</definedName>
    <definedName name="index">Prescribing_hidden!$A$26:$A$27</definedName>
    <definedName name="indices" localSheetId="64">[1]Deflators!$C$12:$C$18</definedName>
    <definedName name="indices" localSheetId="22">[1]Deflators!$C$12:$C$18</definedName>
    <definedName name="indices" localSheetId="21">[1]Deflators!$C$12:$C$18</definedName>
    <definedName name="indices">Deflators!$C$12:$C$18</definedName>
    <definedName name="inter_prov" localSheetId="64">[1]Ind_inter_backfile!$P$4:$P$5</definedName>
    <definedName name="inter_prov" localSheetId="22">[1]Ind_inter_backfile!$P$4:$P$5</definedName>
    <definedName name="inter_prov" localSheetId="21">[1]Ind_inter_backfile!$P$4:$P$5</definedName>
    <definedName name="inter_prov">Ind_inter_backfile!$P$4:$P$5</definedName>
    <definedName name="intermediates" localSheetId="64">INDEX([1]Sheet7!$A$1:$A$2, MATCH('[1]Indirect intermediates- recent'!$B$18,[1]Sheet7!$B$1:$B$2,0))</definedName>
    <definedName name="intermediates" localSheetId="22">INDEX([1]Sheet7!$A$1:$A$2, MATCH('[1]Indirect intermediates- recent'!$B$18,[1]Sheet7!$B$1:$B$2,0))</definedName>
    <definedName name="intermediates" localSheetId="21">INDEX([1]Sheet7!$A$1:$A$2, MATCH('[1]Indirect intermediates- recent'!$B$18,[1]Sheet7!$B$1:$B$2,0))</definedName>
    <definedName name="intermediates">INDEX('graphs intermediates'!$A$1:$A$2, MATCH(Intermediates!$B$18,'graphs intermediates'!$B$1:$B$2,0))</definedName>
    <definedName name="match_please" localSheetId="14">INDEX(graphs_HES!XEW1048566:XEW1048568,MATCH('A&amp;E'!XEX1048573,graphs_HES!XEX1048566:XEX1048568,1))</definedName>
    <definedName name="match_please" localSheetId="13">INDEX(graphs_HES!XEW1048566:XEW1048568,MATCH(Community_Care!XEX1048573,graphs_HES!XEX1048566:XEX1048568,1))</definedName>
    <definedName name="match_please" localSheetId="12">INDEX(graphs_HES!XEW1048566:XEW1048568,MATCH(Mental_health!XEX1048573,graphs_HES!XEX1048566:XEX1048568,1))</definedName>
    <definedName name="match_please" localSheetId="15">INDEX(graphs_HES!XEW1048566:XEW1048568,MATCH('Other NHS Activity'!XEX1048573,graphs_HES!XEX1048566:XEX1048568,1))</definedName>
    <definedName name="match_please" localSheetId="11">INDEX(graphs_HES!XEW1048566:XEW1048568,MATCH(Outpatient!XEX1048573,graphs_HES!XEX1048566:XEX1048568,1))</definedName>
    <definedName name="match_please">INDEX(graphs_HES!XEW1048566:XEW1048568,MATCH(Admited_care!XEX1048573,graphs_HES!XEX1048566:XEX1048568,1))</definedName>
    <definedName name="mental_health">Mental_health!$B$55:$B$57</definedName>
    <definedName name="new_array" localSheetId="14">INDEX(graphs_HES!XEX1048566:XEX1048568,MATCH('A&amp;E'!XEY1048573,graphs_HES!XEY1048566:XEY1048568,0))</definedName>
    <definedName name="new_array" localSheetId="13">INDEX(graphs_HES!XEX1048566:XEX1048568,MATCH(Community_Care!XEY1048573,graphs_HES!XEY1048566:XEY1048568,0))</definedName>
    <definedName name="new_array" localSheetId="12">INDEX(graphs_HES!XEX1048566:XEX1048568,MATCH(Mental_health!XEY1048573,graphs_HES!XEY1048566:XEY1048568,0))</definedName>
    <definedName name="new_array" localSheetId="15">INDEX(graphs_HES!XEX1048566:XEX1048568,MATCH('Other NHS Activity'!XEY1048573,graphs_HES!XEY1048566:XEY1048568,0))</definedName>
    <definedName name="new_array" localSheetId="11">INDEX(graphs_HES!XEX1048566:XEX1048568,MATCH(Outpatient!XEY1048573,graphs_HES!XEY1048566:XEY1048568,0))</definedName>
    <definedName name="new_array">INDEX(graphs_HES!XEX1048566:XEX1048568,MATCH(Admited_care!XEY1048573,graphs_HES!XEY1048566:XEY1048568,0))</definedName>
    <definedName name="new_ref_cetegories">'Reference Costs Output (2)'!$N$24:$N$27</definedName>
    <definedName name="new_working" localSheetId="14">INDEX('graphs HES'!XEW1048559:XEW1048561,MATCH('A&amp;E'!#REF!,'graphs HES'!XEX1048559:XEX1048561,0))</definedName>
    <definedName name="new_working" localSheetId="13">INDEX('graphs HES'!XEW1048559:XEW1048561,MATCH(Community_Care!#REF!,'graphs HES'!XEX1048559:XEX1048561,0))</definedName>
    <definedName name="new_working" localSheetId="12">INDEX('graphs HES'!XEW1048559:XEW1048561,MATCH(Mental_health!#REF!,'graphs HES'!XEX1048559:XEX1048561,0))</definedName>
    <definedName name="new_working" localSheetId="15">INDEX('graphs HES'!XEW1048559:XEW1048561,MATCH('Other NHS Activity'!$B$9,'graphs HES'!XEX1048559:XEX1048561,0))</definedName>
    <definedName name="new_working" localSheetId="11">INDEX('graphs HES'!XEW1048559:XEW1048561,MATCH(Outpatient!#REF!,'graphs HES'!XEX1048559:XEX1048561,0))</definedName>
    <definedName name="new_working">INDEX('graphs HES'!XEW1048559:XEW1048561,MATCH(Admited_care!$B$9,'graphs HES'!XEX1048559:XEX1048561,0))</definedName>
    <definedName name="Non_elective" localSheetId="14">'A&amp;E'!#REF!</definedName>
    <definedName name="Non_elective" localSheetId="13">Community_Care!#REF!</definedName>
    <definedName name="Non_elective" localSheetId="12">Mental_health!#REF!</definedName>
    <definedName name="Non_elective" localSheetId="15">'Other NHS Activity'!$B$9</definedName>
    <definedName name="Non_elective" localSheetId="11">Outpatient!#REF!</definedName>
    <definedName name="Non_elective">Admited_care!$B$9</definedName>
    <definedName name="now_please" localSheetId="14">INDEX(graphs_HES!XEX1048566:XEX1048568,MATCH('A&amp;E'!XEY1048573,graphs_HES!XEY1048566:XEY1048568,1))</definedName>
    <definedName name="now_please" localSheetId="13">INDEX(graphs_HES!XEX1048566:XEX1048568,MATCH(Community_Care!XEY1048573,graphs_HES!XEY1048566:XEY1048568,1))</definedName>
    <definedName name="now_please" localSheetId="12">INDEX(graphs_HES!XEX1048566:XEX1048568,MATCH(Mental_health!XEY1048573,graphs_HES!XEY1048566:XEY1048568,1))</definedName>
    <definedName name="now_please" localSheetId="15">INDEX(graphs_HES!XEX1048566:XEX1048568,MATCH('Other NHS Activity'!XEY1048573,graphs_HES!XEY1048566:XEY1048568,1))</definedName>
    <definedName name="now_please" localSheetId="11">INDEX(graphs_HES!XEX1048566:XEX1048568,MATCH(Outpatient!XEY1048573,graphs_HES!XEY1048566:XEY1048568,1))</definedName>
    <definedName name="now_please">INDEX(graphs_HES!XEX1048566:XEX1048568,MATCH(Admited_care!XEY1048573,graphs_HES!XEY1048566:XEY1048568,1))</definedName>
    <definedName name="pcts" localSheetId="64">'[1]Inputs direct labour (2)'!$S$31:$S$32</definedName>
    <definedName name="pcts" localSheetId="22">'[1]Inputs direct labour (2)'!$S$31:$S$32</definedName>
    <definedName name="pcts" localSheetId="21">'[1]Inputs direct labour (2)'!$S$31:$S$32</definedName>
    <definedName name="pcts">'Inputs direct labour (2)'!$S$31:$S$32</definedName>
    <definedName name="please_work" localSheetId="14">INDEX(graphs_HES!XEW1048566:XEW1048568,MATCH('A&amp;E'!XEX1048573,graphs_HES!XEX1048566:XEX1048568,1))</definedName>
    <definedName name="please_work" localSheetId="13">INDEX(graphs_HES!XEW1048566:XEW1048568,MATCH(Community_Care!XEX1048573,graphs_HES!XEX1048566:XEX1048568,1))</definedName>
    <definedName name="please_work" localSheetId="12">INDEX(graphs_HES!XEW1048566:XEW1048568,MATCH(Mental_health!XEX1048573,graphs_HES!XEX1048566:XEX1048568,1))</definedName>
    <definedName name="please_work" localSheetId="15">INDEX(graphs_HES!XEW1048566:XEW1048568,MATCH('Other NHS Activity'!XEX1048573,graphs_HES!XEX1048566:XEX1048568,1))</definedName>
    <definedName name="please_work" localSheetId="11">INDEX(graphs_HES!XEW1048566:XEW1048568,MATCH(Outpatient!XEX1048573,graphs_HES!XEX1048566:XEX1048568,1))</definedName>
    <definedName name="please_work">INDEX(graphs_HES!XEW1048566:XEW1048568,MATCH(Admited_care!XEX1048573,graphs_HES!XEX1048566:XEX1048568,1))</definedName>
    <definedName name="primary">Primary_care_and_Prescribing!$A$54:$A$55</definedName>
    <definedName name="primary_care">'Primary care (3)'!$G$3:$G$5</definedName>
    <definedName name="QA">'HES QA backend'!$Q$7:$Q$11</definedName>
    <definedName name="QAnew">'HES QA backend'!$P$23:$P$26</definedName>
    <definedName name="Ref_costs">'Reference Costs Output (2)'!$K$16:$P$34</definedName>
    <definedName name="Refcosts">'Reference Costs Output (2)'!$K$16:$P$34</definedName>
    <definedName name="Reference_costs" localSheetId="64">'[1]Reference Costs Output (2)'!$K$16:$K$27</definedName>
    <definedName name="Reference_costs" localSheetId="22">'[1]Reference Costs Output (2)'!$K$16:$K$27</definedName>
    <definedName name="Reference_costs" localSheetId="21">'[1]Reference Costs Output (2)'!$K$16:$K$27</definedName>
    <definedName name="Reference_costs">'Reference Costs Output (2)'!$K$16:$K$27</definedName>
    <definedName name="relative">Prescribing_hidden!$A$29:$A$31</definedName>
    <definedName name="Select_expenditure_type">Sheet14!$L$8:$M$9</definedName>
    <definedName name="setting">Admited_care!$A$55:$A$57</definedName>
    <definedName name="source_inter" localSheetId="64">'[1]Productivity (2)'!$N$15:$N$16</definedName>
    <definedName name="source_inter" localSheetId="22">'[1]Productivity (2)'!$N$15:$N$16</definedName>
    <definedName name="source_inter" localSheetId="21">'[1]Productivity (2)'!$N$15:$N$16</definedName>
    <definedName name="source_inter">'Productivity (2)'!$N$15:$N$16</definedName>
    <definedName name="source_labour" localSheetId="64">'[1]Productivity (2)'!$N$18:$N$19</definedName>
    <definedName name="source_labour" localSheetId="22">'[1]Productivity (2)'!$N$18:$N$19</definedName>
    <definedName name="source_labour" localSheetId="21">'[1]Productivity (2)'!$N$18:$N$19</definedName>
    <definedName name="source_labour">'Productivity (2)'!$N$18:$N$19</definedName>
    <definedName name="test1" localSheetId="64">Input_growth!$C$16:$C$46</definedName>
    <definedName name="test1" localSheetId="22">'Output growth (3)'!$C$15:$C$20</definedName>
    <definedName name="test1" localSheetId="21">Output_growth!$C$14:$C$18</definedName>
    <definedName name="test1">'Reference Costs Output'!$C$15:$C$21</definedName>
    <definedName name="Trend" localSheetId="14">'A&amp;E'!#REF!</definedName>
    <definedName name="Trend" localSheetId="13">Community_Care!#REF!</definedName>
    <definedName name="Trend" localSheetId="48">Admited_care!#REF!</definedName>
    <definedName name="Trend" localSheetId="27">Admited_care!#REF!</definedName>
    <definedName name="Trend" localSheetId="64">Admited_care!#REF!</definedName>
    <definedName name="Trend" localSheetId="12">Mental_health!#REF!</definedName>
    <definedName name="Trend" localSheetId="15">'Other NHS Activity'!#REF!</definedName>
    <definedName name="Trend" localSheetId="11">Outpatient!#REF!</definedName>
    <definedName name="Trend" localSheetId="22">Admited_care!#REF!</definedName>
    <definedName name="Trend" localSheetId="16">Admited_care!#REF!</definedName>
    <definedName name="Trend">Admited_care!#REF!</definedName>
    <definedName name="trusts">'Indirect intermediates - al (2'!$B$77:$B$78</definedName>
    <definedName name="view" localSheetId="64">[1]Sheet15!$Z$7:$Z$8</definedName>
    <definedName name="view" localSheetId="22">[1]Sheet15!$Z$7:$Z$8</definedName>
    <definedName name="view" localSheetId="21">[1]Sheet15!$Z$7:$Z$8</definedName>
    <definedName name="view">direct_labour!$Z$7:$Z$8</definedName>
    <definedName name="work_please" localSheetId="14">INDEX('graphs HES'!XEW1048559:XEW1048561,MATCH('A&amp;E'!#REF!,'graphs HES'!XEX1048559:XEX1048561,0))</definedName>
    <definedName name="work_please" localSheetId="13">INDEX('graphs HES'!XEW1048559:XEW1048561,MATCH(Community_Care!#REF!,'graphs HES'!XEX1048559:XEX1048561,0))</definedName>
    <definedName name="work_please" localSheetId="12">INDEX('graphs HES'!XEW1048559:XEW1048561,MATCH(Mental_health!#REF!,'graphs HES'!XEX1048559:XEX1048561,0))</definedName>
    <definedName name="work_please" localSheetId="15">INDEX('graphs HES'!XEW1048559:XEW1048561,MATCH('Other NHS Activity'!$B$9,'graphs HES'!XEX1048559:XEX1048561,0))</definedName>
    <definedName name="work_please" localSheetId="11">INDEX('graphs HES'!XEW1048559:XEW1048561,MATCH(Outpatient!#REF!,'graphs HES'!XEX1048559:XEX1048561,0))</definedName>
    <definedName name="work_please">INDEX('graphs HES'!XEW1048559:XEW1048561,MATCH(Admited_care!$B$9,'graphs HES'!XEX1048559:XEX1048561,0))</definedName>
  </definedNames>
  <calcPr calcId="145621"/>
  <customWorkbookViews>
    <customWorkbookView name="kg716 - Personal View" guid="{9EA95E61-FCA5-4867-AEB4-B8C24058ACDD}" mergeInterval="0" personalView="1" maximized="1" xWindow="1" yWindow="1" windowWidth="1276" windowHeight="806" activeSheetId="11"/>
  </customWorkbookViews>
</workbook>
</file>

<file path=xl/calcChain.xml><?xml version="1.0" encoding="utf-8"?>
<calcChain xmlns="http://schemas.openxmlformats.org/spreadsheetml/2006/main">
  <c r="H12" i="9" l="1"/>
  <c r="H11" i="9"/>
  <c r="H10" i="9"/>
  <c r="F12" i="9"/>
  <c r="E12" i="9"/>
  <c r="F11" i="9"/>
  <c r="F10" i="9"/>
  <c r="E11" i="9"/>
  <c r="E10" i="9"/>
  <c r="D12" i="9"/>
  <c r="D11" i="9"/>
  <c r="D10" i="9"/>
  <c r="C12" i="9"/>
  <c r="C11" i="9"/>
  <c r="C10" i="9"/>
  <c r="H67" i="30"/>
  <c r="H42" i="30" s="1"/>
  <c r="I76" i="30"/>
  <c r="J76" i="30"/>
  <c r="K76" i="30"/>
  <c r="L76" i="30"/>
  <c r="I77" i="30"/>
  <c r="J77" i="30"/>
  <c r="K77" i="30"/>
  <c r="L77" i="30"/>
  <c r="H77" i="30"/>
  <c r="H52" i="30" s="1"/>
  <c r="J73" i="30"/>
  <c r="K73" i="30"/>
  <c r="L73" i="30"/>
  <c r="M73" i="30"/>
  <c r="N73" i="30"/>
  <c r="J74" i="30"/>
  <c r="K74" i="30"/>
  <c r="L74" i="30"/>
  <c r="M74" i="30"/>
  <c r="N74" i="30"/>
  <c r="J75" i="30"/>
  <c r="K75" i="30"/>
  <c r="L75" i="30"/>
  <c r="M75" i="30"/>
  <c r="N75" i="30"/>
  <c r="M76" i="30"/>
  <c r="N76" i="30"/>
  <c r="H73" i="30"/>
  <c r="I73" i="30"/>
  <c r="H74" i="30"/>
  <c r="I74" i="30"/>
  <c r="H75" i="30"/>
  <c r="I75" i="30"/>
  <c r="H76" i="30"/>
  <c r="G74" i="30"/>
  <c r="G75" i="30"/>
  <c r="G76" i="30"/>
  <c r="F74" i="30"/>
  <c r="F75" i="30"/>
  <c r="F76" i="30"/>
  <c r="E74" i="30"/>
  <c r="E75" i="30"/>
  <c r="E76" i="30"/>
  <c r="D74" i="30"/>
  <c r="D75" i="30"/>
  <c r="D76" i="30"/>
  <c r="C74" i="30"/>
  <c r="C75" i="30"/>
  <c r="C76" i="30"/>
  <c r="C77" i="30"/>
  <c r="D77" i="30"/>
  <c r="E77" i="30"/>
  <c r="F77" i="30"/>
  <c r="G77" i="30"/>
  <c r="B77" i="30"/>
  <c r="B74" i="30"/>
  <c r="B49" i="30" s="1"/>
  <c r="B75" i="30"/>
  <c r="B50" i="30" s="1"/>
  <c r="B76" i="30"/>
  <c r="B51" i="30"/>
  <c r="E12" i="76" l="1"/>
  <c r="C14" i="61" l="1"/>
  <c r="G14" i="61"/>
  <c r="C16" i="78"/>
  <c r="D16" i="78"/>
  <c r="J16" i="78"/>
  <c r="H12" i="74"/>
  <c r="E44" i="43"/>
  <c r="E45" i="43"/>
  <c r="E46" i="43"/>
  <c r="E47" i="43"/>
  <c r="E48" i="43"/>
  <c r="E49" i="43"/>
  <c r="E50" i="43"/>
  <c r="E51" i="43"/>
  <c r="E52" i="43"/>
  <c r="E53" i="43"/>
  <c r="E54" i="43"/>
  <c r="E55" i="43"/>
  <c r="E56" i="43"/>
  <c r="E57" i="43"/>
  <c r="H105" i="61" l="1"/>
  <c r="H50" i="61"/>
  <c r="H20" i="76"/>
  <c r="H23" i="76"/>
  <c r="H24" i="76"/>
  <c r="H25" i="76"/>
  <c r="H26" i="76"/>
  <c r="H27" i="76"/>
  <c r="H28" i="76"/>
  <c r="H29" i="76"/>
  <c r="H30" i="76"/>
  <c r="H31" i="76"/>
  <c r="H32" i="76"/>
  <c r="H33" i="76"/>
  <c r="H34" i="76"/>
  <c r="H22" i="76"/>
  <c r="K21" i="76"/>
  <c r="J22" i="76"/>
  <c r="K22" i="76"/>
  <c r="K23" i="76"/>
  <c r="K24" i="76"/>
  <c r="K25" i="76"/>
  <c r="K26" i="76"/>
  <c r="K27" i="76"/>
  <c r="K28" i="76"/>
  <c r="K29" i="76"/>
  <c r="K30" i="76"/>
  <c r="K31" i="76"/>
  <c r="K32" i="76"/>
  <c r="K33" i="76"/>
  <c r="K34" i="76"/>
  <c r="J20" i="76"/>
  <c r="K20" i="76"/>
  <c r="J16" i="76"/>
  <c r="H16" i="76"/>
  <c r="H15" i="76"/>
  <c r="J40" i="76"/>
  <c r="J23" i="76" s="1"/>
  <c r="I40" i="76"/>
  <c r="I41" i="76" s="1"/>
  <c r="I42" i="76" s="1"/>
  <c r="I43" i="76" s="1"/>
  <c r="I44" i="76" s="1"/>
  <c r="I45" i="76" s="1"/>
  <c r="I46" i="76" s="1"/>
  <c r="I47" i="76" s="1"/>
  <c r="I48" i="76" s="1"/>
  <c r="I49" i="76" s="1"/>
  <c r="I50" i="76" s="1"/>
  <c r="I51" i="76" s="1"/>
  <c r="J41" i="76"/>
  <c r="J42" i="76" s="1"/>
  <c r="J95" i="61"/>
  <c r="J94" i="61"/>
  <c r="J93" i="61"/>
  <c r="J92" i="61"/>
  <c r="C48" i="61"/>
  <c r="I22" i="76"/>
  <c r="I20" i="76"/>
  <c r="D5" i="70"/>
  <c r="E5" i="70"/>
  <c r="D31" i="70"/>
  <c r="D34" i="70"/>
  <c r="D35" i="70"/>
  <c r="D36" i="70"/>
  <c r="D37" i="70"/>
  <c r="D38" i="70"/>
  <c r="D39" i="70"/>
  <c r="D40" i="70"/>
  <c r="D33" i="70"/>
  <c r="E13" i="70"/>
  <c r="E14" i="70"/>
  <c r="E15" i="70"/>
  <c r="E12" i="70"/>
  <c r="D13" i="70"/>
  <c r="D14" i="70"/>
  <c r="D15" i="70"/>
  <c r="D16" i="70"/>
  <c r="D8" i="70"/>
  <c r="D9" i="70"/>
  <c r="D10" i="70"/>
  <c r="D11" i="70"/>
  <c r="D12" i="70"/>
  <c r="D7" i="70"/>
  <c r="E7" i="70"/>
  <c r="E8" i="70"/>
  <c r="E9" i="70"/>
  <c r="E10" i="70"/>
  <c r="E11" i="70"/>
  <c r="T77" i="61"/>
  <c r="W77" i="61"/>
  <c r="AB77" i="61"/>
  <c r="AE77" i="61"/>
  <c r="S77" i="61"/>
  <c r="V76" i="61"/>
  <c r="Z76" i="61"/>
  <c r="AF76" i="61"/>
  <c r="S76" i="61"/>
  <c r="T75" i="61"/>
  <c r="U75" i="61"/>
  <c r="Y75" i="61"/>
  <c r="Z75" i="61"/>
  <c r="AB75" i="61"/>
  <c r="AC75" i="61"/>
  <c r="S75" i="61"/>
  <c r="T74" i="61"/>
  <c r="S74" i="61"/>
  <c r="S73" i="61"/>
  <c r="S72" i="61"/>
  <c r="T71" i="61"/>
  <c r="S71" i="61"/>
  <c r="S70" i="61"/>
  <c r="X51" i="61"/>
  <c r="U59" i="61"/>
  <c r="U71" i="61" s="1"/>
  <c r="V59" i="61"/>
  <c r="W59" i="61" s="1"/>
  <c r="X59" i="61" s="1"/>
  <c r="Y59" i="61" s="1"/>
  <c r="Z59" i="61" s="1"/>
  <c r="AA59" i="61" s="1"/>
  <c r="AB59" i="61" s="1"/>
  <c r="AC59" i="61" s="1"/>
  <c r="AD59" i="61" s="1"/>
  <c r="AE59" i="61" s="1"/>
  <c r="AF59" i="61" s="1"/>
  <c r="AF71" i="61" s="1"/>
  <c r="U65" i="61"/>
  <c r="V65" i="61" s="1"/>
  <c r="W65" i="61" s="1"/>
  <c r="X65" i="61" s="1"/>
  <c r="Y65" i="61" s="1"/>
  <c r="Z65" i="61" s="1"/>
  <c r="AA65" i="61" s="1"/>
  <c r="AB65" i="61" s="1"/>
  <c r="AC65" i="61" s="1"/>
  <c r="AD65" i="61" s="1"/>
  <c r="AE65" i="61" s="1"/>
  <c r="AF65" i="61" s="1"/>
  <c r="T59" i="61"/>
  <c r="T60" i="61"/>
  <c r="U60" i="61" s="1"/>
  <c r="V60" i="61" s="1"/>
  <c r="W60" i="61" s="1"/>
  <c r="X60" i="61" s="1"/>
  <c r="Y60" i="61" s="1"/>
  <c r="Z60" i="61" s="1"/>
  <c r="AA60" i="61" s="1"/>
  <c r="AB60" i="61" s="1"/>
  <c r="AC60" i="61" s="1"/>
  <c r="AD60" i="61" s="1"/>
  <c r="AE60" i="61" s="1"/>
  <c r="AF60" i="61" s="1"/>
  <c r="T61" i="61"/>
  <c r="U61" i="61" s="1"/>
  <c r="V61" i="61" s="1"/>
  <c r="W61" i="61" s="1"/>
  <c r="X61" i="61" s="1"/>
  <c r="Y61" i="61" s="1"/>
  <c r="Z61" i="61" s="1"/>
  <c r="AA61" i="61" s="1"/>
  <c r="AB61" i="61" s="1"/>
  <c r="AC61" i="61" s="1"/>
  <c r="AD61" i="61" s="1"/>
  <c r="AE61" i="61" s="1"/>
  <c r="AF61" i="61" s="1"/>
  <c r="T62" i="61"/>
  <c r="T70" i="61" s="1"/>
  <c r="T63" i="61"/>
  <c r="U63" i="61" s="1"/>
  <c r="V63" i="61" s="1"/>
  <c r="W63" i="61" s="1"/>
  <c r="X63" i="61" s="1"/>
  <c r="Y63" i="61" s="1"/>
  <c r="Z63" i="61" s="1"/>
  <c r="AA63" i="61" s="1"/>
  <c r="AB63" i="61" s="1"/>
  <c r="AC63" i="61" s="1"/>
  <c r="AD63" i="61" s="1"/>
  <c r="AE63" i="61" s="1"/>
  <c r="AF63" i="61" s="1"/>
  <c r="AF77" i="61" s="1"/>
  <c r="T64" i="61"/>
  <c r="T72" i="61" s="1"/>
  <c r="T65" i="61"/>
  <c r="T66" i="61"/>
  <c r="U66" i="61" s="1"/>
  <c r="V66" i="61" s="1"/>
  <c r="W66" i="61" s="1"/>
  <c r="X66" i="61" s="1"/>
  <c r="Y66" i="61" s="1"/>
  <c r="Z66" i="61" s="1"/>
  <c r="AA66" i="61" s="1"/>
  <c r="AB66" i="61" s="1"/>
  <c r="AC66" i="61" s="1"/>
  <c r="AD66" i="61" s="1"/>
  <c r="AE66" i="61" s="1"/>
  <c r="AF66" i="61" s="1"/>
  <c r="AF75" i="61" s="1"/>
  <c r="T67" i="61"/>
  <c r="U67" i="61" s="1"/>
  <c r="T58" i="61"/>
  <c r="U58" i="61" s="1"/>
  <c r="V58" i="61" s="1"/>
  <c r="W58" i="61" s="1"/>
  <c r="X58" i="61" s="1"/>
  <c r="Y58" i="61" s="1"/>
  <c r="Z58" i="61" s="1"/>
  <c r="AA58" i="61" s="1"/>
  <c r="AB58" i="61" s="1"/>
  <c r="AC58" i="61" s="1"/>
  <c r="AD58" i="61" s="1"/>
  <c r="AE58" i="61" s="1"/>
  <c r="AF58" i="61" s="1"/>
  <c r="I59" i="30"/>
  <c r="I34" i="30" s="1"/>
  <c r="I65" i="30"/>
  <c r="I40" i="30" s="1"/>
  <c r="F64" i="30"/>
  <c r="F39" i="30" s="1"/>
  <c r="F65" i="30"/>
  <c r="F40" i="30" s="1"/>
  <c r="G64" i="30"/>
  <c r="G39" i="30" s="1"/>
  <c r="G65" i="30"/>
  <c r="G40" i="30" s="1"/>
  <c r="H34" i="30"/>
  <c r="H36" i="30"/>
  <c r="G63" i="30"/>
  <c r="G38" i="30" s="1"/>
  <c r="H39" i="30"/>
  <c r="D60" i="30"/>
  <c r="D35" i="30" s="1"/>
  <c r="E60" i="30"/>
  <c r="E35" i="30" s="1"/>
  <c r="F60" i="30"/>
  <c r="F35" i="30" s="1"/>
  <c r="D61" i="30"/>
  <c r="D36" i="30" s="1"/>
  <c r="E61" i="30"/>
  <c r="E36" i="30" s="1"/>
  <c r="F61" i="30"/>
  <c r="F36" i="30" s="1"/>
  <c r="D62" i="30"/>
  <c r="D37" i="30" s="1"/>
  <c r="E62" i="30"/>
  <c r="E37" i="30" s="1"/>
  <c r="F62" i="30"/>
  <c r="F37" i="30" s="1"/>
  <c r="D63" i="30"/>
  <c r="D38" i="30" s="1"/>
  <c r="E63" i="30"/>
  <c r="E38" i="30" s="1"/>
  <c r="F63" i="30"/>
  <c r="F38" i="30" s="1"/>
  <c r="D64" i="30"/>
  <c r="D39" i="30" s="1"/>
  <c r="E64" i="30"/>
  <c r="E39" i="30" s="1"/>
  <c r="D65" i="30"/>
  <c r="D40" i="30" s="1"/>
  <c r="E65" i="30"/>
  <c r="E40" i="30" s="1"/>
  <c r="C61" i="30"/>
  <c r="C36" i="30" s="1"/>
  <c r="C62" i="30"/>
  <c r="C37" i="30" s="1"/>
  <c r="C63" i="30"/>
  <c r="C38" i="30" s="1"/>
  <c r="C64" i="30"/>
  <c r="C39" i="30" s="1"/>
  <c r="C65" i="30"/>
  <c r="C40" i="30" s="1"/>
  <c r="G60" i="30"/>
  <c r="G35" i="30" s="1"/>
  <c r="H35" i="30"/>
  <c r="C60" i="30"/>
  <c r="C35" i="30" s="1"/>
  <c r="I110" i="30"/>
  <c r="I60" i="30" s="1"/>
  <c r="I35" i="30" s="1"/>
  <c r="I111" i="30"/>
  <c r="I61" i="30" s="1"/>
  <c r="I36" i="30" s="1"/>
  <c r="I112" i="30"/>
  <c r="I62" i="30" s="1"/>
  <c r="I37" i="30" s="1"/>
  <c r="I113" i="30"/>
  <c r="I63" i="30" s="1"/>
  <c r="I38" i="30" s="1"/>
  <c r="I114" i="30"/>
  <c r="I64" i="30" s="1"/>
  <c r="I39" i="30" s="1"/>
  <c r="I115" i="30"/>
  <c r="I71" i="30"/>
  <c r="I46" i="30" s="1"/>
  <c r="C59" i="30"/>
  <c r="C34" i="30" s="1"/>
  <c r="D59" i="30"/>
  <c r="D34" i="30" s="1"/>
  <c r="E59" i="30"/>
  <c r="E34" i="30" s="1"/>
  <c r="F59" i="30"/>
  <c r="F34" i="30" s="1"/>
  <c r="G59" i="30"/>
  <c r="G34" i="30" s="1"/>
  <c r="G61" i="30"/>
  <c r="G36" i="30" s="1"/>
  <c r="G62" i="30"/>
  <c r="G37" i="30" s="1"/>
  <c r="H38" i="30"/>
  <c r="C66" i="30"/>
  <c r="C41" i="30" s="1"/>
  <c r="D66" i="30"/>
  <c r="D41" i="30" s="1"/>
  <c r="E66" i="30"/>
  <c r="E41" i="30" s="1"/>
  <c r="F66" i="30"/>
  <c r="F41" i="30" s="1"/>
  <c r="G66" i="30"/>
  <c r="G41" i="30" s="1"/>
  <c r="H66" i="30"/>
  <c r="H41" i="30" s="1"/>
  <c r="I66" i="30"/>
  <c r="C67" i="30"/>
  <c r="C42" i="30" s="1"/>
  <c r="D67" i="30"/>
  <c r="D42" i="30" s="1"/>
  <c r="E67" i="30"/>
  <c r="E42" i="30" s="1"/>
  <c r="F67" i="30"/>
  <c r="F42" i="30" s="1"/>
  <c r="G67" i="30"/>
  <c r="G42" i="30" s="1"/>
  <c r="I67" i="30"/>
  <c r="C68" i="30"/>
  <c r="C43" i="30" s="1"/>
  <c r="D68" i="30"/>
  <c r="D43" i="30" s="1"/>
  <c r="E68" i="30"/>
  <c r="E43" i="30" s="1"/>
  <c r="F68" i="30"/>
  <c r="F43" i="30" s="1"/>
  <c r="G68" i="30"/>
  <c r="G43" i="30" s="1"/>
  <c r="H68" i="30"/>
  <c r="H43" i="30" s="1"/>
  <c r="I68" i="30"/>
  <c r="I43" i="30" s="1"/>
  <c r="C69" i="30"/>
  <c r="C44" i="30" s="1"/>
  <c r="D69" i="30"/>
  <c r="D44" i="30" s="1"/>
  <c r="E69" i="30"/>
  <c r="E44" i="30" s="1"/>
  <c r="F69" i="30"/>
  <c r="F44" i="30" s="1"/>
  <c r="G69" i="30"/>
  <c r="G44" i="30" s="1"/>
  <c r="H69" i="30"/>
  <c r="H44" i="30" s="1"/>
  <c r="I69" i="30"/>
  <c r="I44" i="30" s="1"/>
  <c r="C70" i="30"/>
  <c r="C45" i="30" s="1"/>
  <c r="D70" i="30"/>
  <c r="D45" i="30" s="1"/>
  <c r="E70" i="30"/>
  <c r="E45" i="30" s="1"/>
  <c r="F70" i="30"/>
  <c r="F45" i="30" s="1"/>
  <c r="G70" i="30"/>
  <c r="G45" i="30" s="1"/>
  <c r="H70" i="30"/>
  <c r="H45" i="30" s="1"/>
  <c r="I70" i="30"/>
  <c r="I45" i="30" s="1"/>
  <c r="C71" i="30"/>
  <c r="C46" i="30" s="1"/>
  <c r="D71" i="30"/>
  <c r="D46" i="30" s="1"/>
  <c r="E71" i="30"/>
  <c r="E46" i="30" s="1"/>
  <c r="F71" i="30"/>
  <c r="F46" i="30" s="1"/>
  <c r="G71" i="30"/>
  <c r="G46" i="30" s="1"/>
  <c r="H71" i="30"/>
  <c r="H46" i="30" s="1"/>
  <c r="C72" i="30"/>
  <c r="C47" i="30" s="1"/>
  <c r="D72" i="30"/>
  <c r="D47" i="30" s="1"/>
  <c r="E72" i="30"/>
  <c r="E47" i="30" s="1"/>
  <c r="F72" i="30"/>
  <c r="F47" i="30" s="1"/>
  <c r="G72" i="30"/>
  <c r="G47" i="30" s="1"/>
  <c r="H72" i="30"/>
  <c r="H47" i="30" s="1"/>
  <c r="I72" i="30"/>
  <c r="I47" i="30" s="1"/>
  <c r="C73" i="30"/>
  <c r="C48" i="30" s="1"/>
  <c r="J13" i="30" s="1"/>
  <c r="D73" i="30"/>
  <c r="D48" i="30" s="1"/>
  <c r="E73" i="30"/>
  <c r="E48" i="30" s="1"/>
  <c r="J14" i="30" s="1"/>
  <c r="F73" i="30"/>
  <c r="F48" i="30" s="1"/>
  <c r="J15" i="30" s="1"/>
  <c r="G73" i="30"/>
  <c r="G48" i="30" s="1"/>
  <c r="H48" i="30"/>
  <c r="I48" i="30"/>
  <c r="C49" i="30"/>
  <c r="D49" i="30"/>
  <c r="E49" i="30"/>
  <c r="F49" i="30"/>
  <c r="G49" i="30"/>
  <c r="H49" i="30"/>
  <c r="I49" i="30"/>
  <c r="C50" i="30"/>
  <c r="D50" i="30"/>
  <c r="E50" i="30"/>
  <c r="F50" i="30"/>
  <c r="G50" i="30"/>
  <c r="H50" i="30"/>
  <c r="I50" i="30"/>
  <c r="C51" i="30"/>
  <c r="D51" i="30"/>
  <c r="E51" i="30"/>
  <c r="F51" i="30"/>
  <c r="G51" i="30"/>
  <c r="H51" i="30"/>
  <c r="I51" i="30"/>
  <c r="C52" i="30"/>
  <c r="D52" i="30"/>
  <c r="E52" i="30"/>
  <c r="F52" i="30"/>
  <c r="G52" i="30"/>
  <c r="I52" i="30"/>
  <c r="B60" i="30"/>
  <c r="B35" i="30" s="1"/>
  <c r="B61" i="30"/>
  <c r="B36" i="30" s="1"/>
  <c r="B62" i="30"/>
  <c r="B37" i="30" s="1"/>
  <c r="B63" i="30"/>
  <c r="B38" i="30" s="1"/>
  <c r="B64" i="30"/>
  <c r="B39" i="30" s="1"/>
  <c r="B65" i="30"/>
  <c r="B40" i="30" s="1"/>
  <c r="B66" i="30"/>
  <c r="B41" i="30" s="1"/>
  <c r="B67" i="30"/>
  <c r="B42" i="30" s="1"/>
  <c r="B68" i="30"/>
  <c r="B43" i="30" s="1"/>
  <c r="B69" i="30"/>
  <c r="B44" i="30" s="1"/>
  <c r="B70" i="30"/>
  <c r="B45" i="30" s="1"/>
  <c r="B71" i="30"/>
  <c r="B46" i="30" s="1"/>
  <c r="B72" i="30"/>
  <c r="B47" i="30" s="1"/>
  <c r="B73" i="30"/>
  <c r="B48" i="30" s="1"/>
  <c r="B52" i="30"/>
  <c r="B59" i="30"/>
  <c r="B34" i="30" s="1"/>
  <c r="C214" i="30"/>
  <c r="D214" i="30" s="1"/>
  <c r="E214" i="30" s="1"/>
  <c r="F214" i="30" s="1"/>
  <c r="G214" i="30" s="1"/>
  <c r="H214" i="30" s="1"/>
  <c r="I214" i="30" s="1"/>
  <c r="J214" i="30" s="1"/>
  <c r="K214" i="30" s="1"/>
  <c r="L214" i="30" s="1"/>
  <c r="M214" i="30" s="1"/>
  <c r="N214" i="30" s="1"/>
  <c r="O214" i="30" s="1"/>
  <c r="D20" i="30" s="1"/>
  <c r="E20" i="30" s="1"/>
  <c r="C84" i="30"/>
  <c r="D84" i="30" s="1"/>
  <c r="E84" i="30" s="1"/>
  <c r="F84" i="30" s="1"/>
  <c r="G84" i="30" s="1"/>
  <c r="H84" i="30" s="1"/>
  <c r="I84" i="30" s="1"/>
  <c r="J84" i="30" s="1"/>
  <c r="K84" i="30" s="1"/>
  <c r="L84" i="30" s="1"/>
  <c r="M84" i="30" s="1"/>
  <c r="N84" i="30" s="1"/>
  <c r="O84" i="30" s="1"/>
  <c r="C82" i="30"/>
  <c r="C83" i="30"/>
  <c r="D83" i="30" s="1"/>
  <c r="E83" i="30" s="1"/>
  <c r="F83" i="30" s="1"/>
  <c r="G83" i="30" s="1"/>
  <c r="H83" i="30" s="1"/>
  <c r="I83" i="30" s="1"/>
  <c r="J83" i="30" s="1"/>
  <c r="K83" i="30" s="1"/>
  <c r="L83" i="30" s="1"/>
  <c r="M83" i="30" s="1"/>
  <c r="N83" i="30" s="1"/>
  <c r="O83" i="30" s="1"/>
  <c r="C213" i="30"/>
  <c r="D213" i="30" s="1"/>
  <c r="E213" i="30" s="1"/>
  <c r="F213" i="30" s="1"/>
  <c r="G213" i="30" s="1"/>
  <c r="H213" i="30" s="1"/>
  <c r="I213" i="30" s="1"/>
  <c r="J213" i="30" s="1"/>
  <c r="K213" i="30" s="1"/>
  <c r="L213" i="30" s="1"/>
  <c r="M213" i="30" s="1"/>
  <c r="N213" i="30" s="1"/>
  <c r="O213" i="30" s="1"/>
  <c r="D19" i="30" s="1"/>
  <c r="E19" i="30" s="1"/>
  <c r="C212" i="30"/>
  <c r="D212" i="30" s="1"/>
  <c r="E212" i="30" s="1"/>
  <c r="F212" i="30" s="1"/>
  <c r="G212" i="30" s="1"/>
  <c r="H212" i="30" s="1"/>
  <c r="I212" i="30" s="1"/>
  <c r="J212" i="30" s="1"/>
  <c r="K212" i="30" s="1"/>
  <c r="L212" i="30" s="1"/>
  <c r="M212" i="30" s="1"/>
  <c r="N212" i="30" s="1"/>
  <c r="O212" i="30" s="1"/>
  <c r="D18" i="30" s="1"/>
  <c r="E18" i="30" s="1"/>
  <c r="C20" i="30"/>
  <c r="C19" i="30"/>
  <c r="C18" i="30"/>
  <c r="L27" i="43"/>
  <c r="K27" i="43"/>
  <c r="F44" i="43"/>
  <c r="H15" i="43" s="1"/>
  <c r="F45" i="43"/>
  <c r="F46" i="43"/>
  <c r="F47" i="43"/>
  <c r="F48" i="43"/>
  <c r="F49" i="43"/>
  <c r="F50" i="43"/>
  <c r="F51" i="43"/>
  <c r="F52" i="43"/>
  <c r="F53" i="43"/>
  <c r="F54" i="43"/>
  <c r="F55" i="43"/>
  <c r="F56" i="43"/>
  <c r="F57" i="43"/>
  <c r="C15" i="43" s="1"/>
  <c r="K29" i="43"/>
  <c r="L29" i="43"/>
  <c r="K30" i="43"/>
  <c r="L30" i="43"/>
  <c r="K31" i="43"/>
  <c r="L31" i="43"/>
  <c r="K32" i="43"/>
  <c r="L32" i="43"/>
  <c r="K33" i="43"/>
  <c r="L33" i="43"/>
  <c r="K34" i="43"/>
  <c r="L34" i="43"/>
  <c r="K35" i="43"/>
  <c r="L35" i="43"/>
  <c r="K36" i="43"/>
  <c r="L36" i="43"/>
  <c r="K37" i="43"/>
  <c r="L37" i="43"/>
  <c r="K38" i="43"/>
  <c r="L38" i="43"/>
  <c r="K39" i="43"/>
  <c r="L39" i="43"/>
  <c r="K40" i="43"/>
  <c r="L40" i="43"/>
  <c r="K28" i="43"/>
  <c r="L28" i="43"/>
  <c r="L26" i="43"/>
  <c r="K26" i="43"/>
  <c r="K45" i="43"/>
  <c r="L45" i="43"/>
  <c r="K46" i="43"/>
  <c r="L46" i="43"/>
  <c r="K47" i="43"/>
  <c r="L47" i="43"/>
  <c r="K48" i="43"/>
  <c r="L48" i="43"/>
  <c r="K49" i="43"/>
  <c r="L49" i="43"/>
  <c r="K50" i="43"/>
  <c r="L50" i="43"/>
  <c r="K51" i="43"/>
  <c r="L51" i="43"/>
  <c r="K52" i="43"/>
  <c r="L52" i="43"/>
  <c r="K53" i="43"/>
  <c r="L53" i="43"/>
  <c r="K54" i="43"/>
  <c r="L54" i="43"/>
  <c r="K55" i="43"/>
  <c r="L55" i="43"/>
  <c r="K56" i="43"/>
  <c r="L56" i="43"/>
  <c r="K57" i="43"/>
  <c r="L57" i="43"/>
  <c r="L44" i="43"/>
  <c r="M44" i="43"/>
  <c r="K44" i="43" s="1"/>
  <c r="J19" i="30"/>
  <c r="H19" i="30"/>
  <c r="J18" i="30"/>
  <c r="H18" i="30"/>
  <c r="F27" i="67"/>
  <c r="N46" i="43"/>
  <c r="N47" i="43"/>
  <c r="N48" i="43" s="1"/>
  <c r="N49" i="43" s="1"/>
  <c r="N50" i="43" s="1"/>
  <c r="N51" i="43" s="1"/>
  <c r="N52" i="43" s="1"/>
  <c r="N53" i="43" s="1"/>
  <c r="N54" i="43" s="1"/>
  <c r="N55" i="43" s="1"/>
  <c r="N56" i="43" s="1"/>
  <c r="N57" i="43" s="1"/>
  <c r="D22" i="43" s="1"/>
  <c r="E22" i="43" s="1"/>
  <c r="N45" i="43"/>
  <c r="M45" i="43"/>
  <c r="M46" i="43" s="1"/>
  <c r="M47" i="43" s="1"/>
  <c r="M48" i="43" s="1"/>
  <c r="M49" i="43" s="1"/>
  <c r="M50" i="43" s="1"/>
  <c r="M51" i="43" s="1"/>
  <c r="M52" i="43" s="1"/>
  <c r="M53" i="43" s="1"/>
  <c r="M54" i="43" s="1"/>
  <c r="M55" i="43" s="1"/>
  <c r="M56" i="43" s="1"/>
  <c r="M57" i="43" s="1"/>
  <c r="D82" i="30"/>
  <c r="E82" i="30" s="1"/>
  <c r="F82" i="30" s="1"/>
  <c r="G82" i="30" s="1"/>
  <c r="H82" i="30" s="1"/>
  <c r="I82" i="30" s="1"/>
  <c r="J82" i="30" s="1"/>
  <c r="K82" i="30" s="1"/>
  <c r="L82" i="30" s="1"/>
  <c r="M82" i="30" s="1"/>
  <c r="N82" i="30" s="1"/>
  <c r="O82" i="30" s="1"/>
  <c r="E40" i="43"/>
  <c r="G44" i="43"/>
  <c r="H16" i="43" s="1"/>
  <c r="G45" i="43"/>
  <c r="F28" i="43" s="1"/>
  <c r="G46" i="43"/>
  <c r="F29" i="43" s="1"/>
  <c r="G47" i="43"/>
  <c r="F30" i="43" s="1"/>
  <c r="G48" i="43"/>
  <c r="F31" i="43" s="1"/>
  <c r="G49" i="43"/>
  <c r="F32" i="43" s="1"/>
  <c r="G50" i="43"/>
  <c r="F33" i="43" s="1"/>
  <c r="G51" i="43"/>
  <c r="F34" i="43" s="1"/>
  <c r="G52" i="43"/>
  <c r="F35" i="43" s="1"/>
  <c r="G53" i="43"/>
  <c r="F36" i="43" s="1"/>
  <c r="G54" i="43"/>
  <c r="F37" i="43" s="1"/>
  <c r="G55" i="43"/>
  <c r="F38" i="43" s="1"/>
  <c r="G56" i="43"/>
  <c r="F39" i="43" s="1"/>
  <c r="G57" i="43"/>
  <c r="F40" i="43" s="1"/>
  <c r="H19" i="74"/>
  <c r="F19" i="74"/>
  <c r="E19" i="74"/>
  <c r="D19" i="74"/>
  <c r="C19" i="74"/>
  <c r="M13" i="33"/>
  <c r="M15" i="33"/>
  <c r="M14" i="33"/>
  <c r="O15" i="33"/>
  <c r="O14" i="33"/>
  <c r="O13" i="33"/>
  <c r="J13" i="33"/>
  <c r="J15" i="33"/>
  <c r="J14" i="33"/>
  <c r="C23" i="74"/>
  <c r="D23" i="74"/>
  <c r="E23" i="74"/>
  <c r="F23" i="74"/>
  <c r="B34" i="74"/>
  <c r="B35" i="74"/>
  <c r="B36" i="74"/>
  <c r="B37" i="74"/>
  <c r="B31" i="74"/>
  <c r="B32" i="74"/>
  <c r="B33" i="74"/>
  <c r="B24" i="74"/>
  <c r="C24" i="74"/>
  <c r="D24" i="74"/>
  <c r="B25" i="74"/>
  <c r="C25" i="74"/>
  <c r="D25" i="74"/>
  <c r="B26" i="74"/>
  <c r="C26" i="74"/>
  <c r="D26" i="74"/>
  <c r="B27" i="74"/>
  <c r="C27" i="74"/>
  <c r="D27" i="74"/>
  <c r="B28" i="74"/>
  <c r="C28" i="74"/>
  <c r="D28" i="74"/>
  <c r="B29" i="74"/>
  <c r="C29" i="74"/>
  <c r="D29" i="74"/>
  <c r="B30" i="74"/>
  <c r="H79" i="74"/>
  <c r="F25" i="74" s="1"/>
  <c r="H80" i="74"/>
  <c r="F26" i="74" s="1"/>
  <c r="H81" i="74"/>
  <c r="F27" i="74" s="1"/>
  <c r="H82" i="74"/>
  <c r="F28" i="74" s="1"/>
  <c r="H83" i="74"/>
  <c r="F29" i="74" s="1"/>
  <c r="H84" i="74"/>
  <c r="F30" i="74" s="1"/>
  <c r="H85" i="74"/>
  <c r="F31" i="74" s="1"/>
  <c r="H86" i="74"/>
  <c r="F32" i="74" s="1"/>
  <c r="H87" i="74"/>
  <c r="F33" i="74" s="1"/>
  <c r="H88" i="74"/>
  <c r="F34" i="74" s="1"/>
  <c r="H89" i="74"/>
  <c r="F35" i="74" s="1"/>
  <c r="H90" i="74"/>
  <c r="F36" i="74" s="1"/>
  <c r="H91" i="74"/>
  <c r="F37" i="74" s="1"/>
  <c r="H78" i="74"/>
  <c r="F24" i="74" s="1"/>
  <c r="G79" i="74"/>
  <c r="E25" i="74" s="1"/>
  <c r="G80" i="74"/>
  <c r="E26" i="74" s="1"/>
  <c r="G81" i="74"/>
  <c r="E27" i="74" s="1"/>
  <c r="G82" i="74"/>
  <c r="E28" i="74" s="1"/>
  <c r="G83" i="74"/>
  <c r="E29" i="74" s="1"/>
  <c r="G84" i="74"/>
  <c r="E30" i="74" s="1"/>
  <c r="G85" i="74"/>
  <c r="E31" i="74" s="1"/>
  <c r="G86" i="74"/>
  <c r="E32" i="74" s="1"/>
  <c r="G87" i="74"/>
  <c r="E33" i="74" s="1"/>
  <c r="G88" i="74"/>
  <c r="E34" i="74" s="1"/>
  <c r="G89" i="74"/>
  <c r="E35" i="74" s="1"/>
  <c r="G90" i="74"/>
  <c r="E36" i="74" s="1"/>
  <c r="G91" i="74"/>
  <c r="E37" i="74" s="1"/>
  <c r="G78" i="74"/>
  <c r="E24" i="74" s="1"/>
  <c r="F84" i="74"/>
  <c r="D30" i="74" s="1"/>
  <c r="F85" i="74"/>
  <c r="D31" i="74" s="1"/>
  <c r="F86" i="74"/>
  <c r="D32" i="74" s="1"/>
  <c r="F87" i="74"/>
  <c r="D33" i="74" s="1"/>
  <c r="F88" i="74"/>
  <c r="D34" i="74" s="1"/>
  <c r="F89" i="74"/>
  <c r="D35" i="74" s="1"/>
  <c r="F90" i="74"/>
  <c r="D36" i="74" s="1"/>
  <c r="F91" i="74"/>
  <c r="D37" i="74" s="1"/>
  <c r="E85" i="74"/>
  <c r="C31" i="74" s="1"/>
  <c r="E86" i="74"/>
  <c r="C32" i="74" s="1"/>
  <c r="E87" i="74"/>
  <c r="C33" i="74" s="1"/>
  <c r="E88" i="74"/>
  <c r="C34" i="74" s="1"/>
  <c r="E89" i="74"/>
  <c r="C35" i="74" s="1"/>
  <c r="E90" i="74"/>
  <c r="C36" i="74" s="1"/>
  <c r="E91" i="74"/>
  <c r="C37" i="74" s="1"/>
  <c r="E84" i="74"/>
  <c r="C30" i="74" s="1"/>
  <c r="H15" i="74"/>
  <c r="H14" i="74"/>
  <c r="H13" i="74"/>
  <c r="F15" i="74"/>
  <c r="F14" i="74"/>
  <c r="F13" i="74"/>
  <c r="F12" i="74"/>
  <c r="D15" i="74"/>
  <c r="B16" i="74"/>
  <c r="D16" i="74"/>
  <c r="C16" i="74"/>
  <c r="C15" i="74"/>
  <c r="D14" i="74"/>
  <c r="D13" i="74"/>
  <c r="D12" i="74"/>
  <c r="C13" i="74"/>
  <c r="C12" i="74"/>
  <c r="C14" i="74"/>
  <c r="P69" i="79"/>
  <c r="O69" i="79"/>
  <c r="N69" i="79"/>
  <c r="M69" i="79"/>
  <c r="L69" i="79"/>
  <c r="K69" i="79"/>
  <c r="J69" i="79"/>
  <c r="I69" i="79"/>
  <c r="P68" i="79"/>
  <c r="O68" i="79"/>
  <c r="N68" i="79"/>
  <c r="M68" i="79"/>
  <c r="L68" i="79"/>
  <c r="K68" i="79"/>
  <c r="J68" i="79"/>
  <c r="I68" i="79"/>
  <c r="B68" i="79"/>
  <c r="P67" i="79"/>
  <c r="O67" i="79"/>
  <c r="N67" i="79"/>
  <c r="M67" i="79"/>
  <c r="L67" i="79"/>
  <c r="K67" i="79"/>
  <c r="J67" i="79"/>
  <c r="I67" i="79"/>
  <c r="B67" i="79"/>
  <c r="P66" i="79"/>
  <c r="O66" i="79"/>
  <c r="N66" i="79"/>
  <c r="M66" i="79"/>
  <c r="L66" i="79"/>
  <c r="K66" i="79"/>
  <c r="J66" i="79"/>
  <c r="I66" i="79"/>
  <c r="B66" i="79"/>
  <c r="P65" i="79"/>
  <c r="O65" i="79"/>
  <c r="N65" i="79"/>
  <c r="M65" i="79"/>
  <c r="L65" i="79"/>
  <c r="K65" i="79"/>
  <c r="J65" i="79"/>
  <c r="I65" i="79"/>
  <c r="B65" i="79"/>
  <c r="P64" i="79"/>
  <c r="O64" i="79"/>
  <c r="N64" i="79"/>
  <c r="M64" i="79"/>
  <c r="L64" i="79"/>
  <c r="K64" i="79"/>
  <c r="J64" i="79"/>
  <c r="I64" i="79"/>
  <c r="B64" i="79"/>
  <c r="P63" i="79"/>
  <c r="O63" i="79"/>
  <c r="N63" i="79"/>
  <c r="M63" i="79"/>
  <c r="L63" i="79"/>
  <c r="K63" i="79"/>
  <c r="J63" i="79"/>
  <c r="I63" i="79"/>
  <c r="B63" i="79"/>
  <c r="P62" i="79"/>
  <c r="O62" i="79"/>
  <c r="N62" i="79"/>
  <c r="M62" i="79"/>
  <c r="L62" i="79"/>
  <c r="K62" i="79"/>
  <c r="J62" i="79"/>
  <c r="I62" i="79"/>
  <c r="B62" i="79"/>
  <c r="B61" i="79"/>
  <c r="P54" i="79"/>
  <c r="O54" i="79"/>
  <c r="N54" i="79"/>
  <c r="M54" i="79"/>
  <c r="L54" i="79"/>
  <c r="K54" i="79"/>
  <c r="J54" i="79"/>
  <c r="I54" i="79"/>
  <c r="D31" i="79"/>
  <c r="C31" i="79"/>
  <c r="B31" i="79"/>
  <c r="D30" i="79"/>
  <c r="C30" i="79"/>
  <c r="B30" i="79"/>
  <c r="D29" i="79"/>
  <c r="C29" i="79"/>
  <c r="B29" i="79"/>
  <c r="D28" i="79"/>
  <c r="C28" i="79"/>
  <c r="B28" i="79"/>
  <c r="D27" i="79"/>
  <c r="C27" i="79"/>
  <c r="B27" i="79"/>
  <c r="D26" i="79"/>
  <c r="C26" i="79"/>
  <c r="B26" i="79"/>
  <c r="D25" i="79"/>
  <c r="C25" i="79"/>
  <c r="B25" i="79"/>
  <c r="D24" i="79"/>
  <c r="C24" i="79"/>
  <c r="B24" i="79"/>
  <c r="D23" i="79"/>
  <c r="C23" i="79"/>
  <c r="B23" i="79"/>
  <c r="D22" i="79"/>
  <c r="C22" i="79"/>
  <c r="B22" i="79"/>
  <c r="D21" i="79"/>
  <c r="C21" i="79"/>
  <c r="B21" i="79"/>
  <c r="D20" i="79"/>
  <c r="C20" i="79"/>
  <c r="B20" i="79"/>
  <c r="D19" i="79"/>
  <c r="C19" i="79"/>
  <c r="B19" i="79"/>
  <c r="D18" i="79"/>
  <c r="C18" i="79"/>
  <c r="B18" i="79"/>
  <c r="D17" i="79"/>
  <c r="C17" i="79"/>
  <c r="H14" i="79"/>
  <c r="E14" i="79"/>
  <c r="H12" i="79"/>
  <c r="E12" i="79"/>
  <c r="E67" i="11"/>
  <c r="O118" i="61"/>
  <c r="N118" i="61"/>
  <c r="M118" i="61"/>
  <c r="L118" i="61"/>
  <c r="K118" i="61"/>
  <c r="J118" i="61"/>
  <c r="I118" i="61"/>
  <c r="G25" i="76"/>
  <c r="G26" i="76"/>
  <c r="G27" i="76"/>
  <c r="G28" i="76"/>
  <c r="G29" i="76"/>
  <c r="G30" i="76"/>
  <c r="G31" i="76"/>
  <c r="G32" i="76"/>
  <c r="G33" i="76"/>
  <c r="G34" i="76"/>
  <c r="G24" i="76"/>
  <c r="B53" i="30"/>
  <c r="C53" i="30"/>
  <c r="D53" i="30"/>
  <c r="E53" i="30"/>
  <c r="F53" i="30"/>
  <c r="G53" i="30"/>
  <c r="H53" i="30"/>
  <c r="I53" i="30"/>
  <c r="H133" i="30"/>
  <c r="H134" i="30"/>
  <c r="H135" i="30"/>
  <c r="H136" i="30"/>
  <c r="H137" i="30"/>
  <c r="H132" i="30"/>
  <c r="F22" i="78"/>
  <c r="F23" i="78"/>
  <c r="F24" i="78"/>
  <c r="F25" i="78"/>
  <c r="F26" i="78"/>
  <c r="F27" i="78"/>
  <c r="F28" i="78"/>
  <c r="F29" i="78"/>
  <c r="F30" i="78"/>
  <c r="F31" i="78"/>
  <c r="F32" i="78"/>
  <c r="F33" i="78"/>
  <c r="D45" i="78"/>
  <c r="D28" i="78" s="1"/>
  <c r="D46" i="78"/>
  <c r="D29" i="78" s="1"/>
  <c r="D47" i="78"/>
  <c r="D30" i="78" s="1"/>
  <c r="D48" i="78"/>
  <c r="D31" i="78" s="1"/>
  <c r="D49" i="78"/>
  <c r="D32" i="78" s="1"/>
  <c r="D50" i="78"/>
  <c r="J13" i="78" s="1"/>
  <c r="D51" i="78"/>
  <c r="D44" i="78"/>
  <c r="D27" i="78" s="1"/>
  <c r="C45" i="78"/>
  <c r="C28" i="78" s="1"/>
  <c r="C46" i="78"/>
  <c r="C29" i="78" s="1"/>
  <c r="C47" i="78"/>
  <c r="C30" i="78" s="1"/>
  <c r="C48" i="78"/>
  <c r="C31" i="78" s="1"/>
  <c r="C49" i="78"/>
  <c r="C32" i="78" s="1"/>
  <c r="C50" i="78"/>
  <c r="J12" i="78" s="1"/>
  <c r="C51" i="78"/>
  <c r="C12" i="78" s="1"/>
  <c r="C44" i="78"/>
  <c r="H12" i="78" s="1"/>
  <c r="J39" i="78"/>
  <c r="J40" i="78" s="1"/>
  <c r="J41" i="78" s="1"/>
  <c r="J42" i="78" s="1"/>
  <c r="J43" i="78" s="1"/>
  <c r="J44" i="78" s="1"/>
  <c r="J45" i="78" s="1"/>
  <c r="J46" i="78" s="1"/>
  <c r="J47" i="78" s="1"/>
  <c r="J48" i="78" s="1"/>
  <c r="J49" i="78" s="1"/>
  <c r="J50" i="78" s="1"/>
  <c r="J51" i="78" s="1"/>
  <c r="I39" i="78"/>
  <c r="I40" i="78" s="1"/>
  <c r="I41" i="78" s="1"/>
  <c r="I42" i="78" s="1"/>
  <c r="I43" i="78" s="1"/>
  <c r="I44" i="78" s="1"/>
  <c r="I45" i="78" s="1"/>
  <c r="I46" i="78" s="1"/>
  <c r="I47" i="78" s="1"/>
  <c r="I48" i="78" s="1"/>
  <c r="I49" i="78" s="1"/>
  <c r="I50" i="78" s="1"/>
  <c r="I51" i="78" s="1"/>
  <c r="E16" i="78" s="1"/>
  <c r="E33" i="78"/>
  <c r="B33" i="78"/>
  <c r="E32" i="78"/>
  <c r="B32" i="78"/>
  <c r="E31" i="78"/>
  <c r="B31" i="78"/>
  <c r="E30" i="78"/>
  <c r="B30" i="78"/>
  <c r="E29" i="78"/>
  <c r="B29" i="78"/>
  <c r="E28" i="78"/>
  <c r="B28" i="78"/>
  <c r="E27" i="78"/>
  <c r="B27" i="78"/>
  <c r="E26" i="78"/>
  <c r="D26" i="78"/>
  <c r="C26" i="78"/>
  <c r="B26" i="78"/>
  <c r="E25" i="78"/>
  <c r="D25" i="78"/>
  <c r="C25" i="78"/>
  <c r="B25" i="78"/>
  <c r="E24" i="78"/>
  <c r="D24" i="78"/>
  <c r="C24" i="78"/>
  <c r="B24" i="78"/>
  <c r="E23" i="78"/>
  <c r="D23" i="78"/>
  <c r="C23" i="78"/>
  <c r="B23" i="78"/>
  <c r="E22" i="78"/>
  <c r="D22" i="78"/>
  <c r="C22" i="78"/>
  <c r="B22" i="78"/>
  <c r="D21" i="78"/>
  <c r="C21" i="78"/>
  <c r="B21" i="78"/>
  <c r="Q22" i="78"/>
  <c r="P22" i="78"/>
  <c r="O22" i="78"/>
  <c r="N22" i="78"/>
  <c r="M22" i="78"/>
  <c r="L22" i="78"/>
  <c r="K22" i="78"/>
  <c r="F20" i="78"/>
  <c r="D20" i="78"/>
  <c r="C20" i="78"/>
  <c r="H16" i="78"/>
  <c r="J40" i="77"/>
  <c r="J41" i="77" s="1"/>
  <c r="J42" i="77" s="1"/>
  <c r="J43" i="77" s="1"/>
  <c r="J44" i="77" s="1"/>
  <c r="J45" i="77" s="1"/>
  <c r="J46" i="77" s="1"/>
  <c r="J47" i="77" s="1"/>
  <c r="J48" i="77" s="1"/>
  <c r="J49" i="77" s="1"/>
  <c r="J50" i="77" s="1"/>
  <c r="J51" i="77" s="1"/>
  <c r="D16" i="77" s="1"/>
  <c r="E16" i="77" s="1"/>
  <c r="I40" i="77"/>
  <c r="I41" i="77" s="1"/>
  <c r="I42" i="77" s="1"/>
  <c r="I43" i="77" s="1"/>
  <c r="I44" i="77" s="1"/>
  <c r="I45" i="77" s="1"/>
  <c r="I46" i="77" s="1"/>
  <c r="I47" i="77" s="1"/>
  <c r="I48" i="77" s="1"/>
  <c r="I49" i="77" s="1"/>
  <c r="I50" i="77" s="1"/>
  <c r="I51" i="77" s="1"/>
  <c r="D15" i="77" s="1"/>
  <c r="E15" i="77" s="1"/>
  <c r="J39" i="77"/>
  <c r="I39" i="77"/>
  <c r="G34" i="77"/>
  <c r="F34" i="77"/>
  <c r="E34" i="77"/>
  <c r="D34" i="77"/>
  <c r="C34" i="77"/>
  <c r="B34" i="77"/>
  <c r="G33" i="77"/>
  <c r="F33" i="77"/>
  <c r="E33" i="77"/>
  <c r="D33" i="77"/>
  <c r="C33" i="77"/>
  <c r="B33" i="77"/>
  <c r="G32" i="77"/>
  <c r="F32" i="77"/>
  <c r="E32" i="77"/>
  <c r="D32" i="77"/>
  <c r="C32" i="77"/>
  <c r="B32" i="77"/>
  <c r="G31" i="77"/>
  <c r="F31" i="77"/>
  <c r="E31" i="77"/>
  <c r="D31" i="77"/>
  <c r="C31" i="77"/>
  <c r="B31" i="77"/>
  <c r="G30" i="77"/>
  <c r="F30" i="77"/>
  <c r="E30" i="77"/>
  <c r="D30" i="77"/>
  <c r="C30" i="77"/>
  <c r="B30" i="77"/>
  <c r="G29" i="77"/>
  <c r="F29" i="77"/>
  <c r="E29" i="77"/>
  <c r="D29" i="77"/>
  <c r="C29" i="77"/>
  <c r="B29" i="77"/>
  <c r="G28" i="77"/>
  <c r="F28" i="77"/>
  <c r="E28" i="77"/>
  <c r="D28" i="77"/>
  <c r="C28" i="77"/>
  <c r="B28" i="77"/>
  <c r="G27" i="77"/>
  <c r="F27" i="77"/>
  <c r="E27" i="77"/>
  <c r="D27" i="77"/>
  <c r="C27" i="77"/>
  <c r="B27" i="77"/>
  <c r="G26" i="77"/>
  <c r="F26" i="77"/>
  <c r="E26" i="77"/>
  <c r="D26" i="77"/>
  <c r="C26" i="77"/>
  <c r="B26" i="77"/>
  <c r="G25" i="77"/>
  <c r="F25" i="77"/>
  <c r="E25" i="77"/>
  <c r="D25" i="77"/>
  <c r="C25" i="77"/>
  <c r="B25" i="77"/>
  <c r="G24" i="77"/>
  <c r="F24" i="77"/>
  <c r="E24" i="77"/>
  <c r="D24" i="77"/>
  <c r="C24" i="77"/>
  <c r="B24" i="77"/>
  <c r="G23" i="77"/>
  <c r="F23" i="77"/>
  <c r="E23" i="77"/>
  <c r="D23" i="77"/>
  <c r="C23" i="77"/>
  <c r="B23" i="77"/>
  <c r="G22" i="77"/>
  <c r="F22" i="77"/>
  <c r="E22" i="77"/>
  <c r="D22" i="77"/>
  <c r="C22" i="77"/>
  <c r="B22" i="77"/>
  <c r="E21" i="77"/>
  <c r="D21" i="77"/>
  <c r="C21" i="77"/>
  <c r="B21" i="77"/>
  <c r="R20" i="77"/>
  <c r="Q20" i="77"/>
  <c r="P20" i="77"/>
  <c r="O20" i="77"/>
  <c r="N20" i="77"/>
  <c r="M20" i="77"/>
  <c r="L20" i="77"/>
  <c r="G20" i="77"/>
  <c r="E20" i="77"/>
  <c r="D20" i="77"/>
  <c r="C20" i="77"/>
  <c r="J16" i="77"/>
  <c r="H16" i="77"/>
  <c r="G16" i="77"/>
  <c r="F16" i="77"/>
  <c r="C16" i="77"/>
  <c r="J15" i="77"/>
  <c r="H15" i="77"/>
  <c r="G15" i="77"/>
  <c r="F15" i="77"/>
  <c r="C15" i="77"/>
  <c r="J12" i="77"/>
  <c r="H12" i="77"/>
  <c r="G12" i="77"/>
  <c r="F12" i="77"/>
  <c r="D12" i="77"/>
  <c r="E12" i="77" s="1"/>
  <c r="C12" i="77"/>
  <c r="J11" i="77"/>
  <c r="H11" i="77"/>
  <c r="G11" i="77"/>
  <c r="F11" i="77"/>
  <c r="D11" i="77"/>
  <c r="E11" i="77" s="1"/>
  <c r="C11" i="77"/>
  <c r="J10" i="77"/>
  <c r="H10" i="77"/>
  <c r="G10" i="77"/>
  <c r="F10" i="77"/>
  <c r="E10" i="77"/>
  <c r="D10" i="77"/>
  <c r="C10" i="77"/>
  <c r="D12" i="76"/>
  <c r="J15" i="76"/>
  <c r="C16" i="76"/>
  <c r="C15" i="76"/>
  <c r="J11" i="76"/>
  <c r="J12" i="76"/>
  <c r="H12" i="76"/>
  <c r="G12" i="76"/>
  <c r="F12" i="76"/>
  <c r="C12" i="76"/>
  <c r="E20" i="76"/>
  <c r="E21" i="76"/>
  <c r="E22" i="76"/>
  <c r="E23" i="76"/>
  <c r="E24" i="76"/>
  <c r="E25" i="76"/>
  <c r="E26" i="76"/>
  <c r="E27" i="76"/>
  <c r="E28" i="76"/>
  <c r="E29" i="76"/>
  <c r="E30" i="76"/>
  <c r="E31" i="76"/>
  <c r="E32" i="76"/>
  <c r="E33" i="76"/>
  <c r="E34" i="76"/>
  <c r="F34" i="76"/>
  <c r="D34" i="76"/>
  <c r="C34" i="76"/>
  <c r="B34" i="76"/>
  <c r="F33" i="76"/>
  <c r="D33" i="76"/>
  <c r="C33" i="76"/>
  <c r="B33" i="76"/>
  <c r="F32" i="76"/>
  <c r="D32" i="76"/>
  <c r="C32" i="76"/>
  <c r="B32" i="76"/>
  <c r="F31" i="76"/>
  <c r="D31" i="76"/>
  <c r="C31" i="76"/>
  <c r="B31" i="76"/>
  <c r="F30" i="76"/>
  <c r="D30" i="76"/>
  <c r="C30" i="76"/>
  <c r="B30" i="76"/>
  <c r="F29" i="76"/>
  <c r="D29" i="76"/>
  <c r="C29" i="76"/>
  <c r="B29" i="76"/>
  <c r="F28" i="76"/>
  <c r="D28" i="76"/>
  <c r="C28" i="76"/>
  <c r="B28" i="76"/>
  <c r="F27" i="76"/>
  <c r="D27" i="76"/>
  <c r="C27" i="76"/>
  <c r="B27" i="76"/>
  <c r="F26" i="76"/>
  <c r="D26" i="76"/>
  <c r="C26" i="76"/>
  <c r="B26" i="76"/>
  <c r="F25" i="76"/>
  <c r="D25" i="76"/>
  <c r="C25" i="76"/>
  <c r="B25" i="76"/>
  <c r="F24" i="76"/>
  <c r="D24" i="76"/>
  <c r="C24" i="76"/>
  <c r="B24" i="76"/>
  <c r="G23" i="76"/>
  <c r="F23" i="76"/>
  <c r="D23" i="76"/>
  <c r="C23" i="76"/>
  <c r="B23" i="76"/>
  <c r="G22" i="76"/>
  <c r="F22" i="76"/>
  <c r="D22" i="76"/>
  <c r="C22" i="76"/>
  <c r="B22" i="76"/>
  <c r="D21" i="76"/>
  <c r="C21" i="76"/>
  <c r="B21" i="76"/>
  <c r="S20" i="76"/>
  <c r="R20" i="76"/>
  <c r="Q20" i="76"/>
  <c r="P20" i="76"/>
  <c r="O20" i="76"/>
  <c r="N20" i="76"/>
  <c r="M20" i="76"/>
  <c r="G20" i="76"/>
  <c r="D20" i="76"/>
  <c r="C20" i="76"/>
  <c r="H11" i="76"/>
  <c r="G11" i="76"/>
  <c r="F11" i="76"/>
  <c r="D11" i="76"/>
  <c r="E11" i="76" s="1"/>
  <c r="C11" i="76"/>
  <c r="J10" i="76"/>
  <c r="H10" i="76"/>
  <c r="G10" i="76"/>
  <c r="F10" i="76"/>
  <c r="D10" i="76"/>
  <c r="E10" i="76" s="1"/>
  <c r="C10" i="76"/>
  <c r="J15" i="67"/>
  <c r="H15" i="67"/>
  <c r="J11" i="67"/>
  <c r="H11" i="67"/>
  <c r="J10" i="67"/>
  <c r="H10" i="67"/>
  <c r="C11" i="67"/>
  <c r="G11" i="67"/>
  <c r="F11" i="67"/>
  <c r="G42" i="67"/>
  <c r="G43" i="67" s="1"/>
  <c r="G44" i="67" s="1"/>
  <c r="G45" i="67" s="1"/>
  <c r="G46" i="67" s="1"/>
  <c r="G47" i="67" s="1"/>
  <c r="G48" i="67" s="1"/>
  <c r="G49" i="67" s="1"/>
  <c r="G50" i="67" s="1"/>
  <c r="G51" i="67" s="1"/>
  <c r="G52" i="67" s="1"/>
  <c r="D15" i="67" s="1"/>
  <c r="G41" i="67"/>
  <c r="C15" i="67"/>
  <c r="E26" i="67"/>
  <c r="C25" i="67"/>
  <c r="D25" i="67"/>
  <c r="C26" i="67"/>
  <c r="D26" i="67"/>
  <c r="B26" i="67"/>
  <c r="F25" i="67"/>
  <c r="F26" i="67"/>
  <c r="F28" i="67"/>
  <c r="F29" i="67"/>
  <c r="F30" i="67"/>
  <c r="F31" i="67"/>
  <c r="F32" i="67"/>
  <c r="F33" i="67"/>
  <c r="F34" i="67"/>
  <c r="F24" i="67"/>
  <c r="F20" i="67"/>
  <c r="E22" i="67"/>
  <c r="F22" i="67"/>
  <c r="E23" i="67"/>
  <c r="F23" i="67"/>
  <c r="E24" i="67"/>
  <c r="E25" i="67"/>
  <c r="E27" i="67"/>
  <c r="E28" i="67"/>
  <c r="E29" i="67"/>
  <c r="E30" i="67"/>
  <c r="E31" i="67"/>
  <c r="E32" i="67"/>
  <c r="E33" i="67"/>
  <c r="E34" i="67"/>
  <c r="C22" i="67"/>
  <c r="D22" i="67"/>
  <c r="C23" i="67"/>
  <c r="D23" i="67"/>
  <c r="C24" i="67"/>
  <c r="D24" i="67"/>
  <c r="C27" i="67"/>
  <c r="D27" i="67"/>
  <c r="C28" i="67"/>
  <c r="D28" i="67"/>
  <c r="C29" i="67"/>
  <c r="D29" i="67"/>
  <c r="C30" i="67"/>
  <c r="D30" i="67"/>
  <c r="C31" i="67"/>
  <c r="D31" i="67"/>
  <c r="C32" i="67"/>
  <c r="D32" i="67"/>
  <c r="C33" i="67"/>
  <c r="D33" i="67"/>
  <c r="C34" i="67"/>
  <c r="D34" i="67"/>
  <c r="C21" i="67"/>
  <c r="D21" i="67"/>
  <c r="G10" i="67"/>
  <c r="F10" i="67"/>
  <c r="D11" i="67"/>
  <c r="E11" i="67" s="1"/>
  <c r="D10" i="67"/>
  <c r="C10" i="67"/>
  <c r="I28" i="43"/>
  <c r="J28" i="43"/>
  <c r="I29" i="43"/>
  <c r="J29" i="43"/>
  <c r="I30" i="43"/>
  <c r="J30" i="43"/>
  <c r="I31" i="43"/>
  <c r="J31" i="43"/>
  <c r="I32" i="43"/>
  <c r="J32" i="43"/>
  <c r="I33" i="43"/>
  <c r="J33" i="43"/>
  <c r="I34" i="43"/>
  <c r="J34" i="43"/>
  <c r="I35" i="43"/>
  <c r="J35" i="43"/>
  <c r="I36" i="43"/>
  <c r="J36" i="43"/>
  <c r="I37" i="43"/>
  <c r="J37" i="43"/>
  <c r="I38" i="43"/>
  <c r="J38" i="43"/>
  <c r="I39" i="43"/>
  <c r="J39" i="43"/>
  <c r="I40" i="43"/>
  <c r="J40" i="43"/>
  <c r="H28" i="43"/>
  <c r="H29" i="43"/>
  <c r="H30" i="43"/>
  <c r="H31" i="43"/>
  <c r="H32" i="43"/>
  <c r="H33" i="43"/>
  <c r="H34" i="43"/>
  <c r="H35" i="43"/>
  <c r="H36" i="43"/>
  <c r="H37" i="43"/>
  <c r="H38" i="43"/>
  <c r="H39" i="43"/>
  <c r="H40" i="43"/>
  <c r="J26" i="43"/>
  <c r="I26" i="43"/>
  <c r="J22" i="43"/>
  <c r="J21" i="43"/>
  <c r="H22" i="43"/>
  <c r="H21" i="43"/>
  <c r="C22" i="43"/>
  <c r="C21" i="43"/>
  <c r="C12" i="61"/>
  <c r="M70" i="73"/>
  <c r="L70" i="73"/>
  <c r="J70" i="73"/>
  <c r="I70" i="73"/>
  <c r="M69" i="73"/>
  <c r="L69" i="73"/>
  <c r="J69" i="73"/>
  <c r="I69" i="73"/>
  <c r="M68" i="73"/>
  <c r="L68" i="73"/>
  <c r="J68" i="73"/>
  <c r="I68" i="73"/>
  <c r="M67" i="73"/>
  <c r="L67" i="73"/>
  <c r="J67" i="73"/>
  <c r="I67" i="73"/>
  <c r="M66" i="73"/>
  <c r="L66" i="73"/>
  <c r="J66" i="73"/>
  <c r="I66" i="73"/>
  <c r="M65" i="73"/>
  <c r="L65" i="73"/>
  <c r="J65" i="73"/>
  <c r="I65" i="73"/>
  <c r="M64" i="73"/>
  <c r="L64" i="73"/>
  <c r="J64" i="73"/>
  <c r="I64" i="73"/>
  <c r="M63" i="73"/>
  <c r="L63" i="73"/>
  <c r="J63" i="73"/>
  <c r="I63" i="73"/>
  <c r="M62" i="73"/>
  <c r="L62" i="73"/>
  <c r="H62" i="73"/>
  <c r="G62" i="73"/>
  <c r="M61" i="73"/>
  <c r="L61" i="73"/>
  <c r="H61" i="73"/>
  <c r="G61" i="73"/>
  <c r="M60" i="73"/>
  <c r="L60" i="73"/>
  <c r="H60" i="73"/>
  <c r="G60" i="73"/>
  <c r="M59" i="73"/>
  <c r="L59" i="73"/>
  <c r="H59" i="73"/>
  <c r="G59" i="73"/>
  <c r="M58" i="73"/>
  <c r="L58" i="73"/>
  <c r="H58" i="73"/>
  <c r="G58" i="73"/>
  <c r="M57" i="73"/>
  <c r="L57" i="73"/>
  <c r="H57" i="73"/>
  <c r="G57" i="73"/>
  <c r="G54" i="73"/>
  <c r="F54" i="73"/>
  <c r="E54" i="73"/>
  <c r="D54" i="73"/>
  <c r="C54" i="73"/>
  <c r="B54" i="73"/>
  <c r="F14" i="73" s="1"/>
  <c r="D45" i="73"/>
  <c r="C45" i="73"/>
  <c r="B45" i="73"/>
  <c r="D44" i="73"/>
  <c r="C44" i="73"/>
  <c r="B44" i="73"/>
  <c r="D43" i="73"/>
  <c r="C43" i="73"/>
  <c r="B43" i="73"/>
  <c r="D42" i="73"/>
  <c r="C42" i="73"/>
  <c r="B42" i="73"/>
  <c r="D41" i="73"/>
  <c r="C41" i="73"/>
  <c r="B41" i="73"/>
  <c r="D40" i="73"/>
  <c r="C40" i="73"/>
  <c r="B40" i="73"/>
  <c r="D39" i="73"/>
  <c r="C39" i="73"/>
  <c r="B39" i="73"/>
  <c r="D38" i="73"/>
  <c r="C38" i="73"/>
  <c r="B38" i="73"/>
  <c r="D37" i="73"/>
  <c r="C37" i="73"/>
  <c r="B37" i="73"/>
  <c r="D36" i="73"/>
  <c r="C36" i="73"/>
  <c r="B36" i="73"/>
  <c r="D35" i="73"/>
  <c r="C35" i="73"/>
  <c r="B35" i="73"/>
  <c r="D34" i="73"/>
  <c r="C34" i="73"/>
  <c r="B34" i="73"/>
  <c r="D33" i="73"/>
  <c r="C33" i="73"/>
  <c r="B33" i="73"/>
  <c r="D32" i="73"/>
  <c r="C32" i="73"/>
  <c r="B32" i="73"/>
  <c r="D31" i="73"/>
  <c r="C31" i="73"/>
  <c r="B31" i="73"/>
  <c r="G14" i="73"/>
  <c r="D14" i="73"/>
  <c r="E14" i="73" s="1"/>
  <c r="C14" i="73"/>
  <c r="G12" i="73"/>
  <c r="F12" i="73"/>
  <c r="D12" i="73"/>
  <c r="E12" i="73" s="1"/>
  <c r="C12" i="73"/>
  <c r="V67" i="61" l="1"/>
  <c r="U74" i="61"/>
  <c r="Z71" i="61"/>
  <c r="Y73" i="61"/>
  <c r="U64" i="61"/>
  <c r="X73" i="61"/>
  <c r="Y76" i="61"/>
  <c r="AD77" i="61"/>
  <c r="V77" i="61"/>
  <c r="U62" i="61"/>
  <c r="V62" i="61" s="1"/>
  <c r="W62" i="61" s="1"/>
  <c r="X62" i="61" s="1"/>
  <c r="Y62" i="61" s="1"/>
  <c r="Z62" i="61" s="1"/>
  <c r="AA62" i="61" s="1"/>
  <c r="AB62" i="61" s="1"/>
  <c r="AC62" i="61" s="1"/>
  <c r="AD62" i="61" s="1"/>
  <c r="AE62" i="61" s="1"/>
  <c r="AF62" i="61" s="1"/>
  <c r="AF70" i="61" s="1"/>
  <c r="AE73" i="61"/>
  <c r="W73" i="61"/>
  <c r="AA75" i="61"/>
  <c r="X76" i="61"/>
  <c r="AC77" i="61"/>
  <c r="U77" i="61"/>
  <c r="AB73" i="61"/>
  <c r="T73" i="61"/>
  <c r="X75" i="61"/>
  <c r="AC76" i="61"/>
  <c r="T76" i="61"/>
  <c r="Z77" i="61"/>
  <c r="V73" i="61"/>
  <c r="AC73" i="61"/>
  <c r="AD76" i="61"/>
  <c r="AA77" i="61"/>
  <c r="AA73" i="61"/>
  <c r="AE75" i="61"/>
  <c r="W75" i="61"/>
  <c r="AB76" i="61"/>
  <c r="Y77" i="61"/>
  <c r="AD73" i="61"/>
  <c r="U73" i="61"/>
  <c r="U76" i="61"/>
  <c r="Z73" i="61"/>
  <c r="AD75" i="61"/>
  <c r="V75" i="61"/>
  <c r="AA76" i="61"/>
  <c r="X77" i="61"/>
  <c r="J43" i="76"/>
  <c r="J25" i="76"/>
  <c r="J24" i="76"/>
  <c r="I24" i="76"/>
  <c r="I25" i="76"/>
  <c r="I23" i="76"/>
  <c r="AE76" i="61"/>
  <c r="W76" i="61"/>
  <c r="AD71" i="61"/>
  <c r="V71" i="61"/>
  <c r="AA70" i="61"/>
  <c r="AC71" i="61"/>
  <c r="Z70" i="61"/>
  <c r="AB71" i="61"/>
  <c r="AA71" i="61"/>
  <c r="X70" i="61"/>
  <c r="V70" i="61"/>
  <c r="X71" i="61"/>
  <c r="AC70" i="61"/>
  <c r="U70" i="61"/>
  <c r="Y71" i="61"/>
  <c r="AD70" i="61"/>
  <c r="AE71" i="61"/>
  <c r="W71" i="61"/>
  <c r="AB70" i="61"/>
  <c r="H40" i="30"/>
  <c r="H37" i="30"/>
  <c r="J15" i="43"/>
  <c r="G16" i="43"/>
  <c r="F16" i="43"/>
  <c r="D21" i="43"/>
  <c r="E21" i="43" s="1"/>
  <c r="D17" i="43"/>
  <c r="J16" i="43"/>
  <c r="D15" i="43"/>
  <c r="E15" i="43" s="1"/>
  <c r="C17" i="43"/>
  <c r="D16" i="43"/>
  <c r="C16" i="43"/>
  <c r="F15" i="43"/>
  <c r="G15" i="43"/>
  <c r="H13" i="78"/>
  <c r="D13" i="78"/>
  <c r="E13" i="78" s="1"/>
  <c r="C13" i="78"/>
  <c r="D33" i="78"/>
  <c r="F13" i="78"/>
  <c r="G13" i="78"/>
  <c r="D12" i="78"/>
  <c r="E12" i="78" s="1"/>
  <c r="C27" i="78"/>
  <c r="G12" i="78"/>
  <c r="F12" i="78"/>
  <c r="C33" i="78"/>
  <c r="G17" i="43"/>
  <c r="F17" i="43"/>
  <c r="F49" i="71"/>
  <c r="F48" i="71"/>
  <c r="F47" i="71"/>
  <c r="F46" i="71"/>
  <c r="F45" i="71"/>
  <c r="F44" i="71"/>
  <c r="K33" i="71"/>
  <c r="O19" i="71"/>
  <c r="N19" i="71"/>
  <c r="M19" i="71"/>
  <c r="L19" i="71"/>
  <c r="K19" i="71"/>
  <c r="J19" i="71"/>
  <c r="I19" i="71"/>
  <c r="O18" i="71"/>
  <c r="N18" i="71"/>
  <c r="M18" i="71"/>
  <c r="L18" i="71"/>
  <c r="K18" i="71"/>
  <c r="J18" i="71"/>
  <c r="O17" i="71"/>
  <c r="N17" i="71"/>
  <c r="M17" i="71"/>
  <c r="L17" i="71"/>
  <c r="K17" i="71"/>
  <c r="J17" i="71"/>
  <c r="O16" i="71"/>
  <c r="N16" i="71"/>
  <c r="M16" i="71"/>
  <c r="L16" i="71"/>
  <c r="K16" i="71"/>
  <c r="J16" i="71"/>
  <c r="O15" i="71"/>
  <c r="N15" i="71"/>
  <c r="M15" i="71"/>
  <c r="L15" i="71"/>
  <c r="K15" i="71"/>
  <c r="J15" i="71"/>
  <c r="O14" i="71"/>
  <c r="N14" i="71"/>
  <c r="M14" i="71"/>
  <c r="L14" i="71"/>
  <c r="K14" i="71"/>
  <c r="J14" i="71"/>
  <c r="O13" i="71"/>
  <c r="N13" i="71"/>
  <c r="M13" i="71"/>
  <c r="L13" i="71"/>
  <c r="K13" i="71"/>
  <c r="J13" i="71"/>
  <c r="AE70" i="61" l="1"/>
  <c r="Y70" i="61"/>
  <c r="V64" i="61"/>
  <c r="U72" i="61"/>
  <c r="W70" i="61"/>
  <c r="W67" i="61"/>
  <c r="V74" i="61"/>
  <c r="J44" i="76"/>
  <c r="J26" i="76"/>
  <c r="I26" i="76"/>
  <c r="F53" i="69"/>
  <c r="E53" i="69"/>
  <c r="E35" i="69" s="1"/>
  <c r="D53" i="69"/>
  <c r="C14" i="69" s="1"/>
  <c r="C53" i="69"/>
  <c r="C35" i="69" s="1"/>
  <c r="F52" i="69"/>
  <c r="F34" i="69" s="1"/>
  <c r="E52" i="69"/>
  <c r="E34" i="69" s="1"/>
  <c r="D52" i="69"/>
  <c r="D34" i="69" s="1"/>
  <c r="C52" i="69"/>
  <c r="C34" i="69" s="1"/>
  <c r="F51" i="69"/>
  <c r="F33" i="69" s="1"/>
  <c r="E51" i="69"/>
  <c r="E33" i="69" s="1"/>
  <c r="D51" i="69"/>
  <c r="D33" i="69" s="1"/>
  <c r="C51" i="69"/>
  <c r="C33" i="69" s="1"/>
  <c r="F50" i="69"/>
  <c r="F32" i="69" s="1"/>
  <c r="E50" i="69"/>
  <c r="E32" i="69" s="1"/>
  <c r="D50" i="69"/>
  <c r="D32" i="69" s="1"/>
  <c r="C50" i="69"/>
  <c r="C32" i="69" s="1"/>
  <c r="F49" i="69"/>
  <c r="F31" i="69" s="1"/>
  <c r="E49" i="69"/>
  <c r="E31" i="69" s="1"/>
  <c r="D49" i="69"/>
  <c r="C49" i="69"/>
  <c r="C31" i="69" s="1"/>
  <c r="F48" i="69"/>
  <c r="F30" i="69" s="1"/>
  <c r="E48" i="69"/>
  <c r="E30" i="69" s="1"/>
  <c r="D48" i="69"/>
  <c r="D30" i="69" s="1"/>
  <c r="C48" i="69"/>
  <c r="C30" i="69" s="1"/>
  <c r="F47" i="69"/>
  <c r="E47" i="69"/>
  <c r="E29" i="69" s="1"/>
  <c r="D47" i="69"/>
  <c r="D29" i="69" s="1"/>
  <c r="C47" i="69"/>
  <c r="C29" i="69" s="1"/>
  <c r="F46" i="69"/>
  <c r="F28" i="69" s="1"/>
  <c r="E46" i="69"/>
  <c r="E28" i="69" s="1"/>
  <c r="D46" i="69"/>
  <c r="D28" i="69" s="1"/>
  <c r="C46" i="69"/>
  <c r="C28" i="69" s="1"/>
  <c r="F45" i="69"/>
  <c r="E45" i="69"/>
  <c r="E27" i="69" s="1"/>
  <c r="D45" i="69"/>
  <c r="D27" i="69" s="1"/>
  <c r="C45" i="69"/>
  <c r="C27" i="69" s="1"/>
  <c r="F44" i="69"/>
  <c r="F26" i="69" s="1"/>
  <c r="E44" i="69"/>
  <c r="E26" i="69" s="1"/>
  <c r="D44" i="69"/>
  <c r="D26" i="69" s="1"/>
  <c r="C44" i="69"/>
  <c r="C26" i="69" s="1"/>
  <c r="F43" i="69"/>
  <c r="F25" i="69" s="1"/>
  <c r="E43" i="69"/>
  <c r="E25" i="69" s="1"/>
  <c r="D43" i="69"/>
  <c r="D25" i="69" s="1"/>
  <c r="C43" i="69"/>
  <c r="C25" i="69" s="1"/>
  <c r="F42" i="69"/>
  <c r="F24" i="69" s="1"/>
  <c r="E42" i="69"/>
  <c r="E24" i="69" s="1"/>
  <c r="D42" i="69"/>
  <c r="D24" i="69" s="1"/>
  <c r="C42" i="69"/>
  <c r="C24" i="69" s="1"/>
  <c r="F41" i="69"/>
  <c r="F23" i="69" s="1"/>
  <c r="E41" i="69"/>
  <c r="D41" i="69"/>
  <c r="D23" i="69" s="1"/>
  <c r="C41" i="69"/>
  <c r="C23" i="69" s="1"/>
  <c r="F40" i="69"/>
  <c r="F22" i="69" s="1"/>
  <c r="E40" i="69"/>
  <c r="E22" i="69" s="1"/>
  <c r="D40" i="69"/>
  <c r="D22" i="69" s="1"/>
  <c r="C40" i="69"/>
  <c r="F39" i="69"/>
  <c r="F21" i="69" s="1"/>
  <c r="E39" i="69"/>
  <c r="E21" i="69" s="1"/>
  <c r="D39" i="69"/>
  <c r="H14" i="69" s="1"/>
  <c r="C39" i="69"/>
  <c r="H13" i="69" s="1"/>
  <c r="F38" i="69"/>
  <c r="F20" i="69" s="1"/>
  <c r="F35" i="69"/>
  <c r="B35" i="69"/>
  <c r="B34" i="69"/>
  <c r="B33" i="69"/>
  <c r="B32" i="69"/>
  <c r="D31" i="69"/>
  <c r="B31" i="69"/>
  <c r="B30" i="69"/>
  <c r="F29" i="69"/>
  <c r="B29" i="69"/>
  <c r="B28" i="69"/>
  <c r="F27" i="69"/>
  <c r="B27" i="69"/>
  <c r="B26" i="69"/>
  <c r="B25" i="69"/>
  <c r="B24" i="69"/>
  <c r="E23" i="69"/>
  <c r="B23" i="69"/>
  <c r="C22" i="69"/>
  <c r="B22" i="69"/>
  <c r="B21" i="69"/>
  <c r="Q20" i="69"/>
  <c r="P20" i="69"/>
  <c r="O20" i="69"/>
  <c r="N20" i="69"/>
  <c r="M20" i="69"/>
  <c r="L20" i="69"/>
  <c r="K20" i="69"/>
  <c r="E20" i="69"/>
  <c r="D20" i="69"/>
  <c r="C20" i="69"/>
  <c r="J16" i="69"/>
  <c r="H16" i="69"/>
  <c r="G16" i="69"/>
  <c r="F16" i="69"/>
  <c r="D16" i="69"/>
  <c r="E16" i="69" s="1"/>
  <c r="C16" i="69"/>
  <c r="B16" i="69"/>
  <c r="J15" i="69"/>
  <c r="B34" i="67"/>
  <c r="B33" i="67"/>
  <c r="B32" i="67"/>
  <c r="B31" i="67"/>
  <c r="B30" i="67"/>
  <c r="B29" i="67"/>
  <c r="B28" i="67"/>
  <c r="B27" i="67"/>
  <c r="B25" i="67"/>
  <c r="B24" i="67"/>
  <c r="B23" i="67"/>
  <c r="B22" i="67"/>
  <c r="B21" i="67"/>
  <c r="Q20" i="67"/>
  <c r="P20" i="67"/>
  <c r="O20" i="67"/>
  <c r="N20" i="67"/>
  <c r="M20" i="67"/>
  <c r="L20" i="67"/>
  <c r="K20" i="67"/>
  <c r="D20" i="67"/>
  <c r="C20" i="67"/>
  <c r="W64" i="61" l="1"/>
  <c r="V72" i="61"/>
  <c r="X67" i="61"/>
  <c r="W74" i="61"/>
  <c r="J45" i="76"/>
  <c r="J27" i="76"/>
  <c r="I27" i="76"/>
  <c r="C15" i="69"/>
  <c r="J14" i="69"/>
  <c r="E15" i="67"/>
  <c r="F15" i="69"/>
  <c r="G14" i="69"/>
  <c r="D15" i="69"/>
  <c r="E15" i="69" s="1"/>
  <c r="G13" i="69"/>
  <c r="C13" i="69"/>
  <c r="D14" i="69"/>
  <c r="E14" i="69" s="1"/>
  <c r="D35" i="69"/>
  <c r="D13" i="69"/>
  <c r="E13" i="69" s="1"/>
  <c r="F14" i="69"/>
  <c r="G15" i="69"/>
  <c r="D21" i="69"/>
  <c r="J13" i="69"/>
  <c r="C21" i="69"/>
  <c r="F13" i="69"/>
  <c r="H15" i="69"/>
  <c r="E10" i="67"/>
  <c r="Y67" i="61" l="1"/>
  <c r="X74" i="61"/>
  <c r="X64" i="61"/>
  <c r="W72" i="61"/>
  <c r="J46" i="76"/>
  <c r="J28" i="76"/>
  <c r="I28" i="76"/>
  <c r="D60" i="11"/>
  <c r="E60" i="11"/>
  <c r="F60" i="11"/>
  <c r="D61" i="11"/>
  <c r="E61" i="11"/>
  <c r="F61" i="11"/>
  <c r="D62" i="11"/>
  <c r="E62" i="11"/>
  <c r="F62" i="11"/>
  <c r="D63" i="11"/>
  <c r="D26" i="11" s="1"/>
  <c r="E63" i="11"/>
  <c r="E26" i="11" s="1"/>
  <c r="F63" i="11"/>
  <c r="F26" i="11" s="1"/>
  <c r="D64" i="11"/>
  <c r="E64" i="11"/>
  <c r="F64" i="11"/>
  <c r="D65" i="11"/>
  <c r="E65" i="11"/>
  <c r="F65" i="11"/>
  <c r="D66" i="11"/>
  <c r="E66" i="11"/>
  <c r="F66" i="11"/>
  <c r="D67" i="11"/>
  <c r="F67" i="11"/>
  <c r="C60" i="11"/>
  <c r="C61" i="11"/>
  <c r="C62" i="11"/>
  <c r="C63" i="11"/>
  <c r="C26" i="11" s="1"/>
  <c r="C64" i="11"/>
  <c r="C65" i="11"/>
  <c r="C66" i="11"/>
  <c r="C67" i="11"/>
  <c r="B41" i="28"/>
  <c r="E17" i="61"/>
  <c r="D85" i="33"/>
  <c r="B38" i="12"/>
  <c r="B35" i="52"/>
  <c r="C28" i="9"/>
  <c r="C27" i="9"/>
  <c r="C26" i="9"/>
  <c r="C24" i="9"/>
  <c r="C23" i="9"/>
  <c r="C22" i="9"/>
  <c r="Y64" i="61" l="1"/>
  <c r="X72" i="61"/>
  <c r="Z67" i="61"/>
  <c r="Y74" i="61"/>
  <c r="J47" i="76"/>
  <c r="J29" i="76"/>
  <c r="I29" i="76"/>
  <c r="B2" i="13"/>
  <c r="AA67" i="61" l="1"/>
  <c r="Z74" i="61"/>
  <c r="Z64" i="61"/>
  <c r="Y72" i="61"/>
  <c r="J48" i="76"/>
  <c r="J30" i="76"/>
  <c r="I30" i="76"/>
  <c r="L68" i="41"/>
  <c r="M68" i="41"/>
  <c r="N68" i="41"/>
  <c r="O68" i="41"/>
  <c r="P68" i="41"/>
  <c r="M67" i="41"/>
  <c r="N67" i="41"/>
  <c r="O67" i="41"/>
  <c r="P67" i="41"/>
  <c r="O11" i="42"/>
  <c r="G13" i="41"/>
  <c r="C13" i="41"/>
  <c r="H12" i="41"/>
  <c r="H11" i="41"/>
  <c r="AA64" i="61" l="1"/>
  <c r="Z72" i="61"/>
  <c r="AB67" i="61"/>
  <c r="AA74" i="61"/>
  <c r="J49" i="76"/>
  <c r="J31" i="76"/>
  <c r="I31" i="76"/>
  <c r="G39" i="13"/>
  <c r="H39" i="13" s="1"/>
  <c r="G12" i="61"/>
  <c r="G13" i="61"/>
  <c r="G15" i="61"/>
  <c r="G16" i="61"/>
  <c r="G17" i="61"/>
  <c r="G18" i="61"/>
  <c r="G19" i="61"/>
  <c r="C19" i="61" s="1"/>
  <c r="AB64" i="61" l="1"/>
  <c r="AA72" i="61"/>
  <c r="AC67" i="61"/>
  <c r="AB74" i="61"/>
  <c r="J50" i="76"/>
  <c r="J32" i="76"/>
  <c r="I32" i="76"/>
  <c r="E61" i="13"/>
  <c r="C57" i="13"/>
  <c r="C58" i="13"/>
  <c r="C59" i="13"/>
  <c r="C60" i="13"/>
  <c r="C21" i="13"/>
  <c r="C22" i="13"/>
  <c r="C23" i="13"/>
  <c r="C24" i="13"/>
  <c r="C25" i="13"/>
  <c r="D55" i="9"/>
  <c r="E55" i="9"/>
  <c r="F55" i="9"/>
  <c r="G55" i="9"/>
  <c r="D56" i="9"/>
  <c r="E56" i="9"/>
  <c r="F56" i="9"/>
  <c r="G56" i="9"/>
  <c r="C56" i="9"/>
  <c r="B33" i="9"/>
  <c r="B46" i="9"/>
  <c r="N73" i="9"/>
  <c r="O73" i="9"/>
  <c r="E58" i="9" s="1"/>
  <c r="P73" i="9"/>
  <c r="F58" i="9" s="1"/>
  <c r="M73" i="9"/>
  <c r="C58" i="9" s="1"/>
  <c r="B47" i="9"/>
  <c r="C47" i="9"/>
  <c r="D47" i="9"/>
  <c r="E47" i="9"/>
  <c r="F47" i="9"/>
  <c r="G47" i="9"/>
  <c r="B48" i="9"/>
  <c r="C48" i="9"/>
  <c r="D48" i="9"/>
  <c r="E48" i="9"/>
  <c r="F48" i="9"/>
  <c r="G48" i="9"/>
  <c r="B49" i="9"/>
  <c r="C49" i="9"/>
  <c r="D49" i="9"/>
  <c r="E49" i="9"/>
  <c r="F49" i="9"/>
  <c r="G49" i="9"/>
  <c r="B50" i="9"/>
  <c r="C50" i="9"/>
  <c r="D50" i="9"/>
  <c r="E50" i="9"/>
  <c r="F50" i="9"/>
  <c r="G50" i="9"/>
  <c r="B51" i="9"/>
  <c r="C51" i="9"/>
  <c r="D51" i="9"/>
  <c r="E51" i="9"/>
  <c r="F51" i="9"/>
  <c r="G51" i="9"/>
  <c r="B52" i="9"/>
  <c r="C52" i="9"/>
  <c r="D52" i="9"/>
  <c r="E52" i="9"/>
  <c r="F52" i="9"/>
  <c r="G52" i="9"/>
  <c r="B53" i="9"/>
  <c r="C53" i="9"/>
  <c r="D53" i="9"/>
  <c r="E53" i="9"/>
  <c r="F53" i="9"/>
  <c r="G53" i="9"/>
  <c r="B54" i="9"/>
  <c r="C54" i="9"/>
  <c r="D54" i="9"/>
  <c r="E54" i="9"/>
  <c r="F54" i="9"/>
  <c r="G54" i="9"/>
  <c r="B55" i="9"/>
  <c r="C55" i="9"/>
  <c r="B56" i="9"/>
  <c r="B58" i="9"/>
  <c r="D58" i="9"/>
  <c r="G58" i="9"/>
  <c r="C46" i="9"/>
  <c r="D46" i="9"/>
  <c r="E46" i="9"/>
  <c r="F46" i="9"/>
  <c r="G46" i="9"/>
  <c r="AD67" i="61" l="1"/>
  <c r="AC74" i="61"/>
  <c r="AC64" i="61"/>
  <c r="AB72" i="61"/>
  <c r="J51" i="76"/>
  <c r="J33" i="76"/>
  <c r="I33" i="76"/>
  <c r="M13" i="49"/>
  <c r="M11" i="49"/>
  <c r="K13" i="49"/>
  <c r="K11" i="49"/>
  <c r="J13" i="49"/>
  <c r="J11" i="49"/>
  <c r="H13" i="49"/>
  <c r="H11" i="49"/>
  <c r="G13" i="49"/>
  <c r="F13" i="49"/>
  <c r="G11" i="49"/>
  <c r="F11" i="49"/>
  <c r="D13" i="49"/>
  <c r="D11" i="49"/>
  <c r="C11" i="49"/>
  <c r="C13" i="49"/>
  <c r="H52" i="49"/>
  <c r="I52" i="49"/>
  <c r="J52" i="49"/>
  <c r="K52" i="49"/>
  <c r="L52" i="49"/>
  <c r="H53" i="49"/>
  <c r="I53" i="49"/>
  <c r="J53" i="49"/>
  <c r="K53" i="49"/>
  <c r="L53" i="49"/>
  <c r="H54" i="49"/>
  <c r="I54" i="49"/>
  <c r="J54" i="49"/>
  <c r="K54" i="49"/>
  <c r="L54" i="49"/>
  <c r="H55" i="49"/>
  <c r="I55" i="49"/>
  <c r="J55" i="49"/>
  <c r="K55" i="49"/>
  <c r="L55" i="49"/>
  <c r="H56" i="49"/>
  <c r="I56" i="49"/>
  <c r="J56" i="49"/>
  <c r="K56" i="49"/>
  <c r="L56" i="49"/>
  <c r="H57" i="49"/>
  <c r="I57" i="49"/>
  <c r="J57" i="49"/>
  <c r="K57" i="49"/>
  <c r="L57" i="49"/>
  <c r="H58" i="49"/>
  <c r="I58" i="49"/>
  <c r="J58" i="49"/>
  <c r="K58" i="49"/>
  <c r="L58" i="49"/>
  <c r="H59" i="49"/>
  <c r="I59" i="49"/>
  <c r="J59" i="49"/>
  <c r="K59" i="49"/>
  <c r="L59" i="49"/>
  <c r="H60" i="49"/>
  <c r="I60" i="49"/>
  <c r="J60" i="49"/>
  <c r="K60" i="49"/>
  <c r="L60" i="49"/>
  <c r="H61" i="49"/>
  <c r="I61" i="49"/>
  <c r="J61" i="49"/>
  <c r="K61" i="49"/>
  <c r="L61" i="49"/>
  <c r="H62" i="49"/>
  <c r="I62" i="49"/>
  <c r="J62" i="49"/>
  <c r="K62" i="49"/>
  <c r="L62" i="49"/>
  <c r="H63" i="49"/>
  <c r="I63" i="49"/>
  <c r="J63" i="49"/>
  <c r="K63" i="49"/>
  <c r="L63" i="49"/>
  <c r="H64" i="49"/>
  <c r="I64" i="49"/>
  <c r="J64" i="49"/>
  <c r="K64" i="49"/>
  <c r="L64" i="49"/>
  <c r="K51" i="49"/>
  <c r="L51" i="49"/>
  <c r="I51" i="49"/>
  <c r="J51" i="49"/>
  <c r="H51" i="49"/>
  <c r="G32" i="49"/>
  <c r="G33" i="49"/>
  <c r="G34" i="49"/>
  <c r="G35" i="49"/>
  <c r="G36" i="49"/>
  <c r="G37" i="49"/>
  <c r="G38" i="49"/>
  <c r="G39" i="49"/>
  <c r="G40" i="49"/>
  <c r="G41" i="49"/>
  <c r="G42" i="49"/>
  <c r="G43" i="49"/>
  <c r="G44" i="49"/>
  <c r="G45" i="49"/>
  <c r="E32" i="49"/>
  <c r="E33" i="49"/>
  <c r="E34" i="49"/>
  <c r="E35" i="49"/>
  <c r="E36" i="49"/>
  <c r="E37" i="49"/>
  <c r="E38" i="49"/>
  <c r="E39" i="49"/>
  <c r="E40" i="49"/>
  <c r="E41" i="49"/>
  <c r="E42" i="49"/>
  <c r="E43" i="49"/>
  <c r="E44" i="49"/>
  <c r="E45" i="49"/>
  <c r="D32" i="49"/>
  <c r="D33" i="49"/>
  <c r="D34" i="49"/>
  <c r="D35" i="49"/>
  <c r="D36" i="49"/>
  <c r="D37" i="49"/>
  <c r="D38" i="49"/>
  <c r="D39" i="49"/>
  <c r="D40" i="49"/>
  <c r="D41" i="49"/>
  <c r="D42" i="49"/>
  <c r="D43" i="49"/>
  <c r="D44" i="49"/>
  <c r="D45" i="49"/>
  <c r="C32" i="49"/>
  <c r="C33" i="49"/>
  <c r="C34" i="49"/>
  <c r="C35" i="49"/>
  <c r="C36" i="49"/>
  <c r="C37" i="49"/>
  <c r="C38" i="49"/>
  <c r="C39" i="49"/>
  <c r="C40" i="49"/>
  <c r="C41" i="49"/>
  <c r="C42" i="49"/>
  <c r="C43" i="49"/>
  <c r="C44" i="49"/>
  <c r="C45" i="49"/>
  <c r="B32" i="49"/>
  <c r="B33" i="49"/>
  <c r="B34" i="49"/>
  <c r="B35" i="49"/>
  <c r="B36" i="49"/>
  <c r="B37" i="49"/>
  <c r="B38" i="49"/>
  <c r="B39" i="49"/>
  <c r="B40" i="49"/>
  <c r="B41" i="49"/>
  <c r="B42" i="49"/>
  <c r="B43" i="49"/>
  <c r="B44" i="49"/>
  <c r="B45" i="49"/>
  <c r="G31" i="49"/>
  <c r="E31" i="49"/>
  <c r="D31" i="49"/>
  <c r="C31" i="49"/>
  <c r="AD64" i="61" l="1"/>
  <c r="AC72" i="61"/>
  <c r="AE67" i="61"/>
  <c r="AD74" i="61"/>
  <c r="J34" i="76"/>
  <c r="D16" i="76"/>
  <c r="E16" i="76" s="1"/>
  <c r="I34" i="76"/>
  <c r="D15" i="76"/>
  <c r="E15" i="76" s="1"/>
  <c r="H63" i="28"/>
  <c r="H64" i="28" s="1"/>
  <c r="H65" i="28" s="1"/>
  <c r="H66" i="28" s="1"/>
  <c r="H67" i="28" s="1"/>
  <c r="H68" i="28" s="1"/>
  <c r="H69" i="28" s="1"/>
  <c r="H70" i="28" s="1"/>
  <c r="H71" i="28" s="1"/>
  <c r="H72" i="28" s="1"/>
  <c r="H73" i="28" s="1"/>
  <c r="H74" i="28" s="1"/>
  <c r="H75" i="28" s="1"/>
  <c r="F63" i="28"/>
  <c r="F64" i="28" s="1"/>
  <c r="F65" i="28" s="1"/>
  <c r="F66" i="28" s="1"/>
  <c r="F67" i="28" s="1"/>
  <c r="F68" i="28" s="1"/>
  <c r="F69" i="28" s="1"/>
  <c r="F70" i="28" s="1"/>
  <c r="F71" i="28" s="1"/>
  <c r="F72" i="28" s="1"/>
  <c r="F73" i="28" s="1"/>
  <c r="F74" i="28" s="1"/>
  <c r="F75" i="28" s="1"/>
  <c r="D63" i="28"/>
  <c r="D64" i="28" s="1"/>
  <c r="D65" i="28" s="1"/>
  <c r="D66" i="28" s="1"/>
  <c r="D67" i="28" s="1"/>
  <c r="D68" i="28" s="1"/>
  <c r="D69" i="28" s="1"/>
  <c r="D70" i="28" s="1"/>
  <c r="D71" i="28" s="1"/>
  <c r="D72" i="28" s="1"/>
  <c r="D73" i="28" s="1"/>
  <c r="D74" i="28" s="1"/>
  <c r="D75" i="28" s="1"/>
  <c r="F26" i="43"/>
  <c r="B38" i="43"/>
  <c r="B39" i="43"/>
  <c r="B40" i="43"/>
  <c r="B27" i="43"/>
  <c r="B28" i="43"/>
  <c r="B29" i="43"/>
  <c r="B30" i="43"/>
  <c r="B31" i="43"/>
  <c r="B32" i="43"/>
  <c r="B33" i="43"/>
  <c r="B34" i="43"/>
  <c r="B35" i="43"/>
  <c r="B36" i="43"/>
  <c r="B37" i="43"/>
  <c r="C26" i="43"/>
  <c r="D26" i="43"/>
  <c r="E26" i="43"/>
  <c r="E28" i="43"/>
  <c r="E29" i="43"/>
  <c r="E30" i="43"/>
  <c r="E31" i="43"/>
  <c r="E32" i="43"/>
  <c r="E33" i="43"/>
  <c r="E34" i="43"/>
  <c r="E35" i="43"/>
  <c r="E36" i="43"/>
  <c r="E37" i="43"/>
  <c r="E38" i="43"/>
  <c r="E39" i="43"/>
  <c r="D44" i="43"/>
  <c r="H14" i="43" s="1"/>
  <c r="D45" i="43"/>
  <c r="D28" i="43" s="1"/>
  <c r="D46" i="43"/>
  <c r="D29" i="43" s="1"/>
  <c r="D47" i="43"/>
  <c r="D30" i="43" s="1"/>
  <c r="D48" i="43"/>
  <c r="D31" i="43" s="1"/>
  <c r="D49" i="43"/>
  <c r="D32" i="43" s="1"/>
  <c r="D50" i="43"/>
  <c r="D33" i="43" s="1"/>
  <c r="D51" i="43"/>
  <c r="D34" i="43" s="1"/>
  <c r="D52" i="43"/>
  <c r="D35" i="43" s="1"/>
  <c r="D53" i="43"/>
  <c r="D36" i="43" s="1"/>
  <c r="D54" i="43"/>
  <c r="D37" i="43" s="1"/>
  <c r="D55" i="43"/>
  <c r="D38" i="43" s="1"/>
  <c r="D56" i="43"/>
  <c r="D57" i="43"/>
  <c r="J14" i="43" s="1"/>
  <c r="C45" i="43"/>
  <c r="C28" i="43" s="1"/>
  <c r="C46" i="43"/>
  <c r="C29" i="43" s="1"/>
  <c r="C47" i="43"/>
  <c r="C30" i="43" s="1"/>
  <c r="C48" i="43"/>
  <c r="C31" i="43" s="1"/>
  <c r="C49" i="43"/>
  <c r="C32" i="43" s="1"/>
  <c r="C50" i="43"/>
  <c r="C33" i="43" s="1"/>
  <c r="C51" i="43"/>
  <c r="C34" i="43" s="1"/>
  <c r="C52" i="43"/>
  <c r="C35" i="43" s="1"/>
  <c r="C53" i="43"/>
  <c r="C36" i="43" s="1"/>
  <c r="C54" i="43"/>
  <c r="C37" i="43" s="1"/>
  <c r="C55" i="43"/>
  <c r="C38" i="43" s="1"/>
  <c r="C56" i="43"/>
  <c r="C39" i="43" s="1"/>
  <c r="C57" i="43"/>
  <c r="J13" i="43" s="1"/>
  <c r="C44" i="43"/>
  <c r="H13" i="43" s="1"/>
  <c r="M26" i="43"/>
  <c r="N26" i="43"/>
  <c r="O26" i="43"/>
  <c r="P26" i="43"/>
  <c r="Q26" i="43"/>
  <c r="R26" i="43"/>
  <c r="S26" i="43"/>
  <c r="AF67" i="61" l="1"/>
  <c r="AF74" i="61" s="1"/>
  <c r="AE74" i="61"/>
  <c r="AE64" i="61"/>
  <c r="AD72" i="61"/>
  <c r="E16" i="43"/>
  <c r="E17" i="43"/>
  <c r="F27" i="43"/>
  <c r="D27" i="43"/>
  <c r="G14" i="43"/>
  <c r="F14" i="43"/>
  <c r="E27" i="43"/>
  <c r="D39" i="43"/>
  <c r="D14" i="43"/>
  <c r="E14" i="43" s="1"/>
  <c r="D40" i="43"/>
  <c r="C14" i="43"/>
  <c r="C40" i="43"/>
  <c r="D13" i="43"/>
  <c r="E13" i="43" s="1"/>
  <c r="C13" i="43"/>
  <c r="C27" i="43"/>
  <c r="G13" i="43"/>
  <c r="F13" i="43"/>
  <c r="B17" i="43"/>
  <c r="S39" i="62"/>
  <c r="R39" i="62"/>
  <c r="Q39" i="62"/>
  <c r="P39" i="62"/>
  <c r="O39" i="62"/>
  <c r="Q38" i="62"/>
  <c r="P38" i="62"/>
  <c r="O38" i="62"/>
  <c r="M38" i="62"/>
  <c r="L38" i="62"/>
  <c r="K38" i="62"/>
  <c r="J38" i="62"/>
  <c r="J34" i="62"/>
  <c r="H28" i="62"/>
  <c r="E28" i="62"/>
  <c r="D28" i="62"/>
  <c r="C28" i="62"/>
  <c r="B28" i="62"/>
  <c r="H21" i="62"/>
  <c r="E21" i="62"/>
  <c r="D21" i="62"/>
  <c r="C21" i="62"/>
  <c r="B21" i="62"/>
  <c r="S14" i="62"/>
  <c r="R14" i="62"/>
  <c r="Q14" i="62"/>
  <c r="P14" i="62"/>
  <c r="O14" i="62"/>
  <c r="M14" i="62"/>
  <c r="L14" i="62"/>
  <c r="K14" i="62"/>
  <c r="J14" i="62"/>
  <c r="I14" i="62"/>
  <c r="H14" i="62"/>
  <c r="E14" i="62"/>
  <c r="D14" i="62"/>
  <c r="C14" i="62"/>
  <c r="B14" i="62"/>
  <c r="S6" i="62"/>
  <c r="S42" i="62" s="1"/>
  <c r="S44" i="62" s="1"/>
  <c r="R6" i="62"/>
  <c r="Q6" i="62"/>
  <c r="P6" i="62"/>
  <c r="O6" i="62"/>
  <c r="M6" i="62"/>
  <c r="L6" i="62"/>
  <c r="K6" i="62"/>
  <c r="J6" i="62"/>
  <c r="J42" i="62" s="1"/>
  <c r="J44" i="62" s="1"/>
  <c r="I6" i="62"/>
  <c r="H6" i="62"/>
  <c r="E6" i="62"/>
  <c r="D6" i="62"/>
  <c r="C6" i="62"/>
  <c r="B6" i="62"/>
  <c r="AF64" i="61" l="1"/>
  <c r="AF72" i="61" s="1"/>
  <c r="AE72" i="61"/>
  <c r="D42" i="62"/>
  <c r="D44" i="62" s="1"/>
  <c r="I42" i="62"/>
  <c r="R42" i="62"/>
  <c r="R43" i="62" s="1"/>
  <c r="M42" i="62"/>
  <c r="M43" i="62" s="1"/>
  <c r="O42" i="62"/>
  <c r="O44" i="62" s="1"/>
  <c r="E42" i="62"/>
  <c r="E43" i="62" s="1"/>
  <c r="P42" i="62"/>
  <c r="P43" i="62" s="1"/>
  <c r="J18" i="62"/>
  <c r="I18" i="62"/>
  <c r="K42" i="62"/>
  <c r="K43" i="62" s="1"/>
  <c r="C42" i="62"/>
  <c r="C44" i="62" s="1"/>
  <c r="S43" i="62"/>
  <c r="Q42" i="62"/>
  <c r="Q44" i="62" s="1"/>
  <c r="L42" i="62"/>
  <c r="L43" i="62" s="1"/>
  <c r="H42" i="62"/>
  <c r="H43" i="62" s="1"/>
  <c r="B42" i="62"/>
  <c r="B44" i="62" s="1"/>
  <c r="J43" i="62"/>
  <c r="I44" i="62"/>
  <c r="I43" i="62"/>
  <c r="C39" i="28"/>
  <c r="D39" i="28"/>
  <c r="E39" i="28"/>
  <c r="F39" i="28"/>
  <c r="G39" i="28"/>
  <c r="H39" i="28"/>
  <c r="D40" i="28"/>
  <c r="F40" i="28"/>
  <c r="H40" i="28"/>
  <c r="C41" i="28"/>
  <c r="D41" i="28"/>
  <c r="E41" i="28"/>
  <c r="F41" i="28"/>
  <c r="G41" i="28"/>
  <c r="H41" i="28"/>
  <c r="C42" i="28"/>
  <c r="D42" i="28"/>
  <c r="E42" i="28"/>
  <c r="F42" i="28"/>
  <c r="G42" i="28"/>
  <c r="H42" i="28"/>
  <c r="C43" i="28"/>
  <c r="D43" i="28"/>
  <c r="E43" i="28"/>
  <c r="F43" i="28"/>
  <c r="G43" i="28"/>
  <c r="H43" i="28"/>
  <c r="C44" i="28"/>
  <c r="D44" i="28"/>
  <c r="E44" i="28"/>
  <c r="F44" i="28"/>
  <c r="G44" i="28"/>
  <c r="H44" i="28"/>
  <c r="C45" i="28"/>
  <c r="D45" i="28"/>
  <c r="E45" i="28"/>
  <c r="F45" i="28"/>
  <c r="G45" i="28"/>
  <c r="H45" i="28"/>
  <c r="C46" i="28"/>
  <c r="D46" i="28"/>
  <c r="E46" i="28"/>
  <c r="F46" i="28"/>
  <c r="G46" i="28"/>
  <c r="H46" i="28"/>
  <c r="C47" i="28"/>
  <c r="D47" i="28"/>
  <c r="E47" i="28"/>
  <c r="F47" i="28"/>
  <c r="G47" i="28"/>
  <c r="H47" i="28"/>
  <c r="C48" i="28"/>
  <c r="D48" i="28"/>
  <c r="E48" i="28"/>
  <c r="F48" i="28"/>
  <c r="G48" i="28"/>
  <c r="H48" i="28"/>
  <c r="C49" i="28"/>
  <c r="D49" i="28"/>
  <c r="E49" i="28"/>
  <c r="F49" i="28"/>
  <c r="G49" i="28"/>
  <c r="H49" i="28"/>
  <c r="C50" i="28"/>
  <c r="D50" i="28"/>
  <c r="E50" i="28"/>
  <c r="F50" i="28"/>
  <c r="G50" i="28"/>
  <c r="H50" i="28"/>
  <c r="C51" i="28"/>
  <c r="D51" i="28"/>
  <c r="E51" i="28"/>
  <c r="F51" i="28"/>
  <c r="G51" i="28"/>
  <c r="H51" i="28"/>
  <c r="C52" i="28"/>
  <c r="D52" i="28"/>
  <c r="E52" i="28"/>
  <c r="F52" i="28"/>
  <c r="G52" i="28"/>
  <c r="H52" i="28"/>
  <c r="C53" i="28"/>
  <c r="D53" i="28"/>
  <c r="E53" i="28"/>
  <c r="F53" i="28"/>
  <c r="G53" i="28"/>
  <c r="H53" i="28"/>
  <c r="B40" i="28"/>
  <c r="B42" i="28"/>
  <c r="B43" i="28"/>
  <c r="B44" i="28"/>
  <c r="B45" i="28"/>
  <c r="B46" i="28"/>
  <c r="B47" i="28"/>
  <c r="B48" i="28"/>
  <c r="B49" i="28"/>
  <c r="B50" i="28"/>
  <c r="B51" i="28"/>
  <c r="B52" i="28"/>
  <c r="B53" i="28"/>
  <c r="H19" i="28"/>
  <c r="H16" i="28"/>
  <c r="H13" i="28"/>
  <c r="F19" i="28"/>
  <c r="F16" i="28"/>
  <c r="F13" i="28"/>
  <c r="E20" i="28"/>
  <c r="E19" i="28"/>
  <c r="E17" i="28"/>
  <c r="E16" i="28"/>
  <c r="E14" i="28"/>
  <c r="E13" i="28"/>
  <c r="D20" i="28"/>
  <c r="D19" i="28"/>
  <c r="D17" i="28"/>
  <c r="D16" i="28"/>
  <c r="D14" i="28"/>
  <c r="D13" i="28"/>
  <c r="C20" i="28"/>
  <c r="C19" i="28"/>
  <c r="C17" i="28"/>
  <c r="C16" i="28"/>
  <c r="C14" i="28"/>
  <c r="C13" i="28"/>
  <c r="B150" i="61"/>
  <c r="B149" i="61"/>
  <c r="B148" i="61"/>
  <c r="B147" i="61"/>
  <c r="B146" i="61"/>
  <c r="B145" i="61"/>
  <c r="B144" i="61"/>
  <c r="B143" i="61"/>
  <c r="B142" i="61"/>
  <c r="B141" i="61"/>
  <c r="B140" i="61"/>
  <c r="O125" i="61"/>
  <c r="N125" i="61"/>
  <c r="M125" i="61"/>
  <c r="L125" i="61"/>
  <c r="K125" i="61"/>
  <c r="J125" i="61"/>
  <c r="I125" i="61"/>
  <c r="H125" i="61"/>
  <c r="G125" i="61"/>
  <c r="F125" i="61"/>
  <c r="E125" i="61"/>
  <c r="D125" i="61"/>
  <c r="C125" i="61"/>
  <c r="C137" i="61" s="1"/>
  <c r="O124" i="61"/>
  <c r="N124" i="61"/>
  <c r="M124" i="61"/>
  <c r="L124" i="61"/>
  <c r="K124" i="61"/>
  <c r="J124" i="61"/>
  <c r="I124" i="61"/>
  <c r="H124" i="61"/>
  <c r="G124" i="61"/>
  <c r="F124" i="61"/>
  <c r="E124" i="61"/>
  <c r="D124" i="61"/>
  <c r="C124" i="61"/>
  <c r="C136" i="61" s="1"/>
  <c r="O123" i="61"/>
  <c r="N123" i="61"/>
  <c r="M123" i="61"/>
  <c r="L123" i="61"/>
  <c r="K123" i="61"/>
  <c r="J123" i="61"/>
  <c r="I123" i="61"/>
  <c r="H123" i="61"/>
  <c r="G123" i="61"/>
  <c r="F123" i="61"/>
  <c r="E123" i="61"/>
  <c r="D123" i="61"/>
  <c r="C123" i="61"/>
  <c r="C135" i="61" s="1"/>
  <c r="C148" i="61" s="1"/>
  <c r="O122" i="61"/>
  <c r="N122" i="61"/>
  <c r="M122" i="61"/>
  <c r="L122" i="61"/>
  <c r="K122" i="61"/>
  <c r="J122" i="61"/>
  <c r="I122" i="61"/>
  <c r="H122" i="61"/>
  <c r="G122" i="61"/>
  <c r="F122" i="61"/>
  <c r="E122" i="61"/>
  <c r="D122" i="61"/>
  <c r="C122" i="61"/>
  <c r="C134" i="61" s="1"/>
  <c r="C147" i="61" s="1"/>
  <c r="O121" i="61"/>
  <c r="N121" i="61"/>
  <c r="M121" i="61"/>
  <c r="L121" i="61"/>
  <c r="K121" i="61"/>
  <c r="J121" i="61"/>
  <c r="I121" i="61"/>
  <c r="H121" i="61"/>
  <c r="G121" i="61"/>
  <c r="F121" i="61"/>
  <c r="E121" i="61"/>
  <c r="D121" i="61"/>
  <c r="C121" i="61"/>
  <c r="C133" i="61" s="1"/>
  <c r="C146" i="61" s="1"/>
  <c r="O120" i="61"/>
  <c r="N120" i="61"/>
  <c r="M120" i="61"/>
  <c r="L120" i="61"/>
  <c r="K120" i="61"/>
  <c r="J120" i="61"/>
  <c r="I120" i="61"/>
  <c r="H120" i="61"/>
  <c r="G120" i="61"/>
  <c r="F120" i="61"/>
  <c r="E120" i="61"/>
  <c r="D120" i="61"/>
  <c r="C120" i="61"/>
  <c r="C132" i="61" s="1"/>
  <c r="C145" i="61" s="1"/>
  <c r="O119" i="61"/>
  <c r="N119" i="61"/>
  <c r="M119" i="61"/>
  <c r="L119" i="61"/>
  <c r="K119" i="61"/>
  <c r="J119" i="61"/>
  <c r="I119" i="61"/>
  <c r="H119" i="61"/>
  <c r="G119" i="61"/>
  <c r="F119" i="61"/>
  <c r="E119" i="61"/>
  <c r="D119" i="61"/>
  <c r="C119" i="61"/>
  <c r="C131" i="61" s="1"/>
  <c r="C144" i="61" s="1"/>
  <c r="O117" i="61"/>
  <c r="N117" i="61"/>
  <c r="M117" i="61"/>
  <c r="L117" i="61"/>
  <c r="K117" i="61"/>
  <c r="J117" i="61"/>
  <c r="I117" i="61"/>
  <c r="H117" i="61"/>
  <c r="G117" i="61"/>
  <c r="F117" i="61"/>
  <c r="E117" i="61"/>
  <c r="D117" i="61"/>
  <c r="C117" i="61"/>
  <c r="C130" i="61" s="1"/>
  <c r="C143" i="61" s="1"/>
  <c r="O116" i="61"/>
  <c r="N116" i="61"/>
  <c r="M116" i="61"/>
  <c r="L116" i="61"/>
  <c r="K116" i="61"/>
  <c r="J116" i="61"/>
  <c r="I116" i="61"/>
  <c r="H116" i="61"/>
  <c r="G116" i="61"/>
  <c r="F116" i="61"/>
  <c r="E116" i="61"/>
  <c r="D116" i="61"/>
  <c r="C116" i="61"/>
  <c r="O115" i="61"/>
  <c r="N115" i="61"/>
  <c r="M115" i="61"/>
  <c r="L115" i="61"/>
  <c r="K115" i="61"/>
  <c r="J115" i="61"/>
  <c r="I115" i="61"/>
  <c r="H115" i="61"/>
  <c r="G115" i="61"/>
  <c r="F115" i="61"/>
  <c r="E115" i="61"/>
  <c r="D115" i="61"/>
  <c r="C115" i="61"/>
  <c r="C129" i="61" s="1"/>
  <c r="C142" i="61" s="1"/>
  <c r="O114" i="61"/>
  <c r="N114" i="61"/>
  <c r="M114" i="61"/>
  <c r="L114" i="61"/>
  <c r="K114" i="61"/>
  <c r="J114" i="61"/>
  <c r="I114" i="61"/>
  <c r="H114" i="61"/>
  <c r="G114" i="61"/>
  <c r="F114" i="61"/>
  <c r="E114" i="61"/>
  <c r="D114" i="61"/>
  <c r="C114" i="61"/>
  <c r="C128" i="61" s="1"/>
  <c r="C141" i="61" s="1"/>
  <c r="O113" i="61"/>
  <c r="N113" i="61"/>
  <c r="M113" i="61"/>
  <c r="L113" i="61"/>
  <c r="K113" i="61"/>
  <c r="J113" i="61"/>
  <c r="I113" i="61"/>
  <c r="H113" i="61"/>
  <c r="G113" i="61"/>
  <c r="F113" i="61"/>
  <c r="E113" i="61"/>
  <c r="D113" i="61"/>
  <c r="C113" i="61"/>
  <c r="O55" i="61"/>
  <c r="N55" i="61"/>
  <c r="M55" i="61"/>
  <c r="L55" i="61"/>
  <c r="K55" i="61"/>
  <c r="J55" i="61"/>
  <c r="I55" i="61"/>
  <c r="H55" i="61"/>
  <c r="G55" i="61"/>
  <c r="F55" i="61"/>
  <c r="E55" i="61"/>
  <c r="D55" i="61"/>
  <c r="C55" i="61"/>
  <c r="B55" i="61"/>
  <c r="O54" i="61"/>
  <c r="N54" i="61"/>
  <c r="M54" i="61"/>
  <c r="L54" i="61"/>
  <c r="K54" i="61"/>
  <c r="J54" i="61"/>
  <c r="I54" i="61"/>
  <c r="H54" i="61"/>
  <c r="G54" i="61"/>
  <c r="F54" i="61"/>
  <c r="E54" i="61"/>
  <c r="D54" i="61"/>
  <c r="C54" i="61"/>
  <c r="B54" i="61"/>
  <c r="O53" i="61"/>
  <c r="N53" i="61"/>
  <c r="M53" i="61"/>
  <c r="L53" i="61"/>
  <c r="K53" i="61"/>
  <c r="J53" i="61"/>
  <c r="I53" i="61"/>
  <c r="H53" i="61"/>
  <c r="G53" i="61"/>
  <c r="F53" i="61"/>
  <c r="E53" i="61"/>
  <c r="D53" i="61"/>
  <c r="C53" i="61"/>
  <c r="B53" i="61"/>
  <c r="O52" i="61"/>
  <c r="N52" i="61"/>
  <c r="M52" i="61"/>
  <c r="L52" i="61"/>
  <c r="K52" i="61"/>
  <c r="J52" i="61"/>
  <c r="I52" i="61"/>
  <c r="H52" i="61"/>
  <c r="G52" i="61"/>
  <c r="F52" i="61"/>
  <c r="E52" i="61"/>
  <c r="D52" i="61"/>
  <c r="C52" i="61"/>
  <c r="B52" i="61"/>
  <c r="O51" i="61"/>
  <c r="N51" i="61"/>
  <c r="M51" i="61"/>
  <c r="L51" i="61"/>
  <c r="K51" i="61"/>
  <c r="J51" i="61"/>
  <c r="I51" i="61"/>
  <c r="H51" i="61"/>
  <c r="G51" i="61"/>
  <c r="F51" i="61"/>
  <c r="E51" i="61"/>
  <c r="D51" i="61"/>
  <c r="C51" i="61"/>
  <c r="B51" i="61"/>
  <c r="O50" i="61"/>
  <c r="N50" i="61"/>
  <c r="M50" i="61"/>
  <c r="L50" i="61"/>
  <c r="K50" i="61"/>
  <c r="J50" i="61"/>
  <c r="I50" i="61"/>
  <c r="G50" i="61"/>
  <c r="F50" i="61"/>
  <c r="E50" i="61"/>
  <c r="D50" i="61"/>
  <c r="C50" i="61"/>
  <c r="B50" i="61"/>
  <c r="N49" i="61"/>
  <c r="M49" i="61"/>
  <c r="L49" i="61"/>
  <c r="K49" i="61"/>
  <c r="J49" i="61"/>
  <c r="I49" i="61"/>
  <c r="H49" i="61"/>
  <c r="G49" i="61"/>
  <c r="F49" i="61"/>
  <c r="E49" i="61"/>
  <c r="D49" i="61"/>
  <c r="C49" i="61"/>
  <c r="B49" i="61"/>
  <c r="O48" i="61"/>
  <c r="N48" i="61"/>
  <c r="M48" i="61"/>
  <c r="L48" i="61"/>
  <c r="K48" i="61"/>
  <c r="J48" i="61"/>
  <c r="I48" i="61"/>
  <c r="H48" i="61"/>
  <c r="G48" i="61"/>
  <c r="F48" i="61"/>
  <c r="E48" i="61"/>
  <c r="D48" i="61"/>
  <c r="B48" i="61"/>
  <c r="O47" i="61"/>
  <c r="N47" i="61"/>
  <c r="M47" i="61"/>
  <c r="L47" i="61"/>
  <c r="K47" i="61"/>
  <c r="J47" i="61"/>
  <c r="I47" i="61"/>
  <c r="H47" i="61"/>
  <c r="G47" i="61"/>
  <c r="F47" i="61"/>
  <c r="E47" i="61"/>
  <c r="D47" i="61"/>
  <c r="C47" i="61"/>
  <c r="B47" i="61"/>
  <c r="O46" i="61"/>
  <c r="N46" i="61"/>
  <c r="M46" i="61"/>
  <c r="L46" i="61"/>
  <c r="K46" i="61"/>
  <c r="J46" i="61"/>
  <c r="I46" i="61"/>
  <c r="H46" i="61"/>
  <c r="G46" i="61"/>
  <c r="F46" i="61"/>
  <c r="E46" i="61"/>
  <c r="D46" i="61"/>
  <c r="C46" i="61"/>
  <c r="E19" i="61"/>
  <c r="D19" i="61"/>
  <c r="E18" i="61"/>
  <c r="C18" i="61"/>
  <c r="D18" i="61" s="1"/>
  <c r="C17" i="61"/>
  <c r="D17" i="61" s="1"/>
  <c r="E16" i="61"/>
  <c r="C16" i="61"/>
  <c r="D16" i="61" s="1"/>
  <c r="E15" i="61"/>
  <c r="C15" i="61"/>
  <c r="D15" i="61" s="1"/>
  <c r="E14" i="61"/>
  <c r="D14" i="61"/>
  <c r="E13" i="61"/>
  <c r="D13" i="61"/>
  <c r="E12" i="61"/>
  <c r="D12" i="61"/>
  <c r="C23" i="17"/>
  <c r="D23" i="17" s="1"/>
  <c r="C22" i="17"/>
  <c r="D22" i="17" s="1"/>
  <c r="C21" i="17"/>
  <c r="D21" i="17" s="1"/>
  <c r="C20" i="17"/>
  <c r="D20" i="17" s="1"/>
  <c r="C19" i="17"/>
  <c r="D19" i="17" s="1"/>
  <c r="C18" i="17"/>
  <c r="D18" i="17" s="1"/>
  <c r="C17" i="17"/>
  <c r="D17" i="17" s="1"/>
  <c r="C16" i="17"/>
  <c r="D16" i="17" s="1"/>
  <c r="C15" i="17"/>
  <c r="D15" i="17" s="1"/>
  <c r="C14" i="17"/>
  <c r="D14" i="17" s="1"/>
  <c r="C13" i="17"/>
  <c r="D13" i="17" s="1"/>
  <c r="C12" i="17"/>
  <c r="D12" i="17" s="1"/>
  <c r="J10" i="59"/>
  <c r="P19" i="59"/>
  <c r="O19" i="59"/>
  <c r="N19" i="59"/>
  <c r="M19" i="59"/>
  <c r="L19" i="59"/>
  <c r="K19" i="59"/>
  <c r="J19" i="59"/>
  <c r="I19" i="59"/>
  <c r="H19" i="59"/>
  <c r="P10" i="59"/>
  <c r="O10" i="59"/>
  <c r="N10" i="59"/>
  <c r="M10" i="59"/>
  <c r="L10" i="59"/>
  <c r="K10" i="59"/>
  <c r="I10" i="59"/>
  <c r="H10" i="59"/>
  <c r="Q17" i="59"/>
  <c r="P17" i="59"/>
  <c r="O17" i="59"/>
  <c r="N17" i="59"/>
  <c r="M17" i="59"/>
  <c r="L17" i="59"/>
  <c r="K17" i="59"/>
  <c r="J17" i="59"/>
  <c r="I17" i="59"/>
  <c r="H17" i="59"/>
  <c r="G17" i="59"/>
  <c r="F17" i="59"/>
  <c r="E17" i="59"/>
  <c r="D17" i="59"/>
  <c r="C17" i="59"/>
  <c r="H18" i="59"/>
  <c r="G18" i="59"/>
  <c r="F18" i="59"/>
  <c r="E18" i="59"/>
  <c r="D18" i="59"/>
  <c r="C18" i="59"/>
  <c r="Q8" i="59"/>
  <c r="P8" i="59"/>
  <c r="O8" i="59"/>
  <c r="N8" i="59"/>
  <c r="M8" i="59"/>
  <c r="L8" i="59"/>
  <c r="K8" i="59"/>
  <c r="J8" i="59"/>
  <c r="I8" i="59"/>
  <c r="H8" i="59"/>
  <c r="G8" i="59"/>
  <c r="F8" i="59"/>
  <c r="E8" i="59"/>
  <c r="D8" i="59"/>
  <c r="C8" i="59"/>
  <c r="G104" i="59"/>
  <c r="K65" i="59"/>
  <c r="J65" i="59"/>
  <c r="I65" i="59"/>
  <c r="H65" i="59"/>
  <c r="G65" i="59"/>
  <c r="F65" i="59"/>
  <c r="E65" i="59"/>
  <c r="D65" i="59"/>
  <c r="C65" i="59"/>
  <c r="K57" i="59"/>
  <c r="J57" i="59"/>
  <c r="I57" i="59"/>
  <c r="H57" i="59"/>
  <c r="G57" i="59"/>
  <c r="F57" i="59"/>
  <c r="E57" i="59"/>
  <c r="D57" i="59"/>
  <c r="C57" i="59"/>
  <c r="H9" i="59"/>
  <c r="H26" i="59" s="1"/>
  <c r="H27" i="59" s="1"/>
  <c r="G9" i="59"/>
  <c r="G26" i="59" s="1"/>
  <c r="G27" i="59" s="1"/>
  <c r="F9" i="59"/>
  <c r="E9" i="59"/>
  <c r="D9" i="59"/>
  <c r="C9" i="59"/>
  <c r="C26" i="59" s="1"/>
  <c r="C27" i="59" s="1"/>
  <c r="G93" i="58"/>
  <c r="K54" i="58"/>
  <c r="J54" i="58"/>
  <c r="I54" i="58"/>
  <c r="H54" i="58"/>
  <c r="G54" i="58"/>
  <c r="F54" i="58"/>
  <c r="E54" i="58"/>
  <c r="D54" i="58"/>
  <c r="C54" i="58"/>
  <c r="K46" i="58"/>
  <c r="J46" i="58"/>
  <c r="I46" i="58"/>
  <c r="H46" i="58"/>
  <c r="G46" i="58"/>
  <c r="F46" i="58"/>
  <c r="E46" i="58"/>
  <c r="D46" i="58"/>
  <c r="C46" i="58"/>
  <c r="Q15" i="58"/>
  <c r="P15" i="58"/>
  <c r="O15" i="58"/>
  <c r="N15" i="58"/>
  <c r="M15" i="58"/>
  <c r="L15" i="58"/>
  <c r="K15" i="58"/>
  <c r="J15" i="58"/>
  <c r="I15" i="58"/>
  <c r="H15" i="58"/>
  <c r="G15" i="58"/>
  <c r="F15" i="58"/>
  <c r="E15" i="58"/>
  <c r="D15" i="58"/>
  <c r="C15" i="58"/>
  <c r="Q8" i="58"/>
  <c r="P8" i="58"/>
  <c r="O8" i="58"/>
  <c r="N8" i="58"/>
  <c r="N19" i="58" s="1"/>
  <c r="M8" i="58"/>
  <c r="L8" i="58"/>
  <c r="K8" i="58"/>
  <c r="J8" i="58"/>
  <c r="J19" i="58" s="1"/>
  <c r="I8" i="58"/>
  <c r="H8" i="58"/>
  <c r="G8" i="58"/>
  <c r="F8" i="58"/>
  <c r="F19" i="58" s="1"/>
  <c r="E8" i="58"/>
  <c r="D8" i="58"/>
  <c r="C8" i="58"/>
  <c r="G38" i="12"/>
  <c r="H38" i="12"/>
  <c r="I38" i="12"/>
  <c r="J38" i="12"/>
  <c r="K38" i="12"/>
  <c r="F38" i="12"/>
  <c r="D38" i="12"/>
  <c r="C38" i="12"/>
  <c r="A23" i="12"/>
  <c r="C127" i="61" l="1"/>
  <c r="C140" i="61" s="1"/>
  <c r="O43" i="62"/>
  <c r="D43" i="62"/>
  <c r="E44" i="62"/>
  <c r="C43" i="62"/>
  <c r="M44" i="62"/>
  <c r="R44" i="62"/>
  <c r="D134" i="61"/>
  <c r="D147" i="61" s="1"/>
  <c r="D133" i="61"/>
  <c r="D146" i="61" s="1"/>
  <c r="P44" i="62"/>
  <c r="K44" i="62"/>
  <c r="L44" i="62"/>
  <c r="Q43" i="62"/>
  <c r="D26" i="59"/>
  <c r="D27" i="59" s="1"/>
  <c r="D137" i="61"/>
  <c r="E137" i="61" s="1"/>
  <c r="F137" i="61" s="1"/>
  <c r="G137" i="61" s="1"/>
  <c r="H137" i="61" s="1"/>
  <c r="I137" i="61" s="1"/>
  <c r="J137" i="61" s="1"/>
  <c r="K137" i="61" s="1"/>
  <c r="L137" i="61" s="1"/>
  <c r="M137" i="61" s="1"/>
  <c r="N137" i="61" s="1"/>
  <c r="O137" i="61" s="1"/>
  <c r="B43" i="62"/>
  <c r="H44" i="62"/>
  <c r="D130" i="61"/>
  <c r="D143" i="61" s="1"/>
  <c r="I26" i="59"/>
  <c r="I31" i="59" s="1"/>
  <c r="F26" i="59"/>
  <c r="F27" i="59" s="1"/>
  <c r="J26" i="59"/>
  <c r="J28" i="59" s="1"/>
  <c r="D128" i="61"/>
  <c r="D141" i="61" s="1"/>
  <c r="D135" i="61"/>
  <c r="D148" i="61" s="1"/>
  <c r="D131" i="61"/>
  <c r="D144" i="61" s="1"/>
  <c r="D129" i="61"/>
  <c r="D132" i="61"/>
  <c r="D145" i="61" s="1"/>
  <c r="D136" i="61"/>
  <c r="E136" i="61" s="1"/>
  <c r="F136" i="61" s="1"/>
  <c r="G136" i="61" s="1"/>
  <c r="H136" i="61" s="1"/>
  <c r="I136" i="61" s="1"/>
  <c r="J136" i="61" s="1"/>
  <c r="K136" i="61" s="1"/>
  <c r="L136" i="61" s="1"/>
  <c r="M136" i="61" s="1"/>
  <c r="N136" i="61" s="1"/>
  <c r="O136" i="61" s="1"/>
  <c r="C19" i="58"/>
  <c r="G19" i="58"/>
  <c r="G20" i="58" s="1"/>
  <c r="K19" i="58"/>
  <c r="O19" i="58"/>
  <c r="O20" i="58" s="1"/>
  <c r="E26" i="59"/>
  <c r="E27" i="59" s="1"/>
  <c r="D19" i="58"/>
  <c r="D20" i="58" s="1"/>
  <c r="H19" i="58"/>
  <c r="L19" i="58"/>
  <c r="P19" i="58"/>
  <c r="P25" i="58"/>
  <c r="E19" i="58"/>
  <c r="E20" i="58" s="1"/>
  <c r="I19" i="58"/>
  <c r="I20" i="58" s="1"/>
  <c r="M19" i="58"/>
  <c r="M20" i="58" s="1"/>
  <c r="Q19" i="58"/>
  <c r="Q20" i="58" s="1"/>
  <c r="K26" i="59"/>
  <c r="K27" i="59" s="1"/>
  <c r="M26" i="59"/>
  <c r="M27" i="59" s="1"/>
  <c r="O26" i="59"/>
  <c r="O27" i="59" s="1"/>
  <c r="Q26" i="59"/>
  <c r="Q28" i="59" s="1"/>
  <c r="D28" i="59"/>
  <c r="H28" i="59"/>
  <c r="L26" i="59"/>
  <c r="L28" i="59" s="1"/>
  <c r="N26" i="59"/>
  <c r="N27" i="59" s="1"/>
  <c r="P26" i="59"/>
  <c r="P28" i="59" s="1"/>
  <c r="N28" i="59"/>
  <c r="C28" i="59"/>
  <c r="E28" i="59"/>
  <c r="G28" i="59"/>
  <c r="I28" i="59"/>
  <c r="K28" i="59"/>
  <c r="M28" i="59"/>
  <c r="K20" i="58"/>
  <c r="F20" i="58"/>
  <c r="J20" i="58"/>
  <c r="L20" i="58"/>
  <c r="N20" i="58"/>
  <c r="P20" i="58"/>
  <c r="D127" i="61" l="1"/>
  <c r="D140" i="61" s="1"/>
  <c r="E135" i="61"/>
  <c r="E148" i="61" s="1"/>
  <c r="E127" i="61"/>
  <c r="E140" i="61" s="1"/>
  <c r="E128" i="61"/>
  <c r="E141" i="61" s="1"/>
  <c r="E134" i="61"/>
  <c r="E147" i="61" s="1"/>
  <c r="E133" i="61"/>
  <c r="E146" i="61" s="1"/>
  <c r="F31" i="59"/>
  <c r="L31" i="59"/>
  <c r="M31" i="59"/>
  <c r="E31" i="59"/>
  <c r="I27" i="59"/>
  <c r="O28" i="59"/>
  <c r="J27" i="59"/>
  <c r="E132" i="61"/>
  <c r="F132" i="61" s="1"/>
  <c r="E130" i="61"/>
  <c r="E143" i="61" s="1"/>
  <c r="P31" i="59"/>
  <c r="F28" i="59"/>
  <c r="E131" i="61"/>
  <c r="E144" i="61" s="1"/>
  <c r="D142" i="61"/>
  <c r="E129" i="61"/>
  <c r="Q27" i="59"/>
  <c r="Q31" i="59"/>
  <c r="J31" i="59"/>
  <c r="N31" i="59"/>
  <c r="D31" i="59"/>
  <c r="O31" i="59"/>
  <c r="K31" i="59"/>
  <c r="G31" i="59"/>
  <c r="L27" i="59"/>
  <c r="P27" i="59"/>
  <c r="F127" i="61" l="1"/>
  <c r="G127" i="61" s="1"/>
  <c r="H127" i="61" s="1"/>
  <c r="F135" i="61"/>
  <c r="F148" i="61" s="1"/>
  <c r="F133" i="61"/>
  <c r="F146" i="61" s="1"/>
  <c r="F140" i="61"/>
  <c r="F128" i="61"/>
  <c r="G128" i="61" s="1"/>
  <c r="F134" i="61"/>
  <c r="E145" i="61"/>
  <c r="F130" i="61"/>
  <c r="F143" i="61" s="1"/>
  <c r="F131" i="61"/>
  <c r="F144" i="61" s="1"/>
  <c r="F145" i="61"/>
  <c r="G132" i="61"/>
  <c r="E142" i="61"/>
  <c r="F129" i="61"/>
  <c r="G140" i="61"/>
  <c r="E75" i="24"/>
  <c r="G135" i="61" l="1"/>
  <c r="H135" i="61" s="1"/>
  <c r="H148" i="61" s="1"/>
  <c r="G148" i="61"/>
  <c r="G133" i="61"/>
  <c r="H133" i="61" s="1"/>
  <c r="F141" i="61"/>
  <c r="F147" i="61"/>
  <c r="G134" i="61"/>
  <c r="G130" i="61"/>
  <c r="G143" i="61" s="1"/>
  <c r="H140" i="61"/>
  <c r="I127" i="61"/>
  <c r="I140" i="61" s="1"/>
  <c r="G141" i="61"/>
  <c r="H128" i="61"/>
  <c r="H141" i="61" s="1"/>
  <c r="F142" i="61"/>
  <c r="G129" i="61"/>
  <c r="G131" i="61"/>
  <c r="G144" i="61" s="1"/>
  <c r="G145" i="61"/>
  <c r="H132" i="61"/>
  <c r="H146" i="61" s="1"/>
  <c r="E74" i="24"/>
  <c r="E76" i="24"/>
  <c r="E77" i="24"/>
  <c r="I135" i="61" l="1"/>
  <c r="I148" i="61" s="1"/>
  <c r="G146" i="61"/>
  <c r="G147" i="61"/>
  <c r="H134" i="61"/>
  <c r="H130" i="61"/>
  <c r="I133" i="61"/>
  <c r="G142" i="61"/>
  <c r="H129" i="61"/>
  <c r="H142" i="61" s="1"/>
  <c r="I132" i="61"/>
  <c r="I146" i="61" s="1"/>
  <c r="I128" i="61"/>
  <c r="I141" i="61" s="1"/>
  <c r="J127" i="61"/>
  <c r="H131" i="61"/>
  <c r="H145" i="61" s="1"/>
  <c r="J13" i="12"/>
  <c r="H15" i="12"/>
  <c r="H13" i="12"/>
  <c r="H12" i="12"/>
  <c r="G14" i="12"/>
  <c r="G13" i="12"/>
  <c r="F14" i="12"/>
  <c r="F13" i="12"/>
  <c r="D13" i="12"/>
  <c r="C14" i="12"/>
  <c r="C13" i="12"/>
  <c r="I28" i="56"/>
  <c r="I51" i="56" s="1"/>
  <c r="J15" i="12" s="1"/>
  <c r="B58" i="12"/>
  <c r="G127" i="13"/>
  <c r="G128" i="13"/>
  <c r="G129" i="13"/>
  <c r="G130" i="13"/>
  <c r="G131" i="13"/>
  <c r="G132" i="13"/>
  <c r="G134" i="13"/>
  <c r="F127" i="13"/>
  <c r="F128" i="13"/>
  <c r="F129" i="13"/>
  <c r="F130" i="13"/>
  <c r="F131" i="13"/>
  <c r="F132" i="13"/>
  <c r="F133" i="13"/>
  <c r="F134" i="13"/>
  <c r="E127" i="13"/>
  <c r="E128" i="13"/>
  <c r="H128" i="13" s="1"/>
  <c r="E129" i="13"/>
  <c r="E130" i="13"/>
  <c r="E131" i="13"/>
  <c r="H131" i="13" s="1"/>
  <c r="E132" i="13"/>
  <c r="H132" i="13" s="1"/>
  <c r="E133" i="13"/>
  <c r="E134" i="13"/>
  <c r="H134" i="13" s="1"/>
  <c r="H110" i="13"/>
  <c r="H111" i="13"/>
  <c r="H112" i="13"/>
  <c r="H113" i="13"/>
  <c r="H93" i="13"/>
  <c r="H94" i="13"/>
  <c r="H95" i="13"/>
  <c r="H96" i="13"/>
  <c r="E43" i="13"/>
  <c r="G97" i="13"/>
  <c r="H97" i="13" s="1"/>
  <c r="G114" i="13"/>
  <c r="H114" i="13" s="1"/>
  <c r="G72" i="13"/>
  <c r="G73" i="13"/>
  <c r="G74" i="13"/>
  <c r="G75" i="13"/>
  <c r="G76" i="13"/>
  <c r="G77" i="13"/>
  <c r="G78" i="13"/>
  <c r="G79" i="13"/>
  <c r="F79" i="13"/>
  <c r="F78" i="13"/>
  <c r="E72" i="13"/>
  <c r="E73" i="13"/>
  <c r="E74" i="13"/>
  <c r="E75" i="13"/>
  <c r="H75" i="13" s="1"/>
  <c r="E76" i="13"/>
  <c r="E77" i="13"/>
  <c r="E78" i="13"/>
  <c r="E79" i="13"/>
  <c r="G43" i="13"/>
  <c r="G36" i="13"/>
  <c r="G37" i="13"/>
  <c r="G38" i="13"/>
  <c r="G40" i="13"/>
  <c r="G41" i="13"/>
  <c r="G42" i="13"/>
  <c r="F36" i="13"/>
  <c r="F37" i="13"/>
  <c r="F38" i="13"/>
  <c r="F43" i="13"/>
  <c r="E36" i="13"/>
  <c r="E37" i="13"/>
  <c r="E38" i="13"/>
  <c r="E39" i="13"/>
  <c r="E40" i="13"/>
  <c r="E41" i="13"/>
  <c r="E42" i="13"/>
  <c r="H19" i="13"/>
  <c r="H20" i="13"/>
  <c r="H21" i="13"/>
  <c r="H22" i="13"/>
  <c r="H23" i="13"/>
  <c r="H24" i="13"/>
  <c r="H25" i="13"/>
  <c r="J135" i="61" l="1"/>
  <c r="H143" i="61"/>
  <c r="H144" i="61"/>
  <c r="H147" i="61"/>
  <c r="I134" i="61"/>
  <c r="H129" i="13"/>
  <c r="G151" i="13"/>
  <c r="K69" i="11" s="1"/>
  <c r="H41" i="13"/>
  <c r="H40" i="13"/>
  <c r="H127" i="13"/>
  <c r="H37" i="13"/>
  <c r="E151" i="13"/>
  <c r="H36" i="13"/>
  <c r="H42" i="13"/>
  <c r="H38" i="13"/>
  <c r="H78" i="13"/>
  <c r="F151" i="13"/>
  <c r="J69" i="11" s="1"/>
  <c r="H130" i="13"/>
  <c r="H43" i="13"/>
  <c r="J133" i="61"/>
  <c r="H77" i="13"/>
  <c r="I130" i="61"/>
  <c r="H76" i="13"/>
  <c r="I131" i="61"/>
  <c r="I145" i="61" s="1"/>
  <c r="J148" i="61"/>
  <c r="K135" i="61"/>
  <c r="J128" i="61"/>
  <c r="I129" i="61"/>
  <c r="I142" i="61" s="1"/>
  <c r="J140" i="61"/>
  <c r="K127" i="61"/>
  <c r="J132" i="61"/>
  <c r="I69" i="11"/>
  <c r="G133" i="13"/>
  <c r="H133" i="13" s="1"/>
  <c r="D14" i="12"/>
  <c r="F15" i="12"/>
  <c r="H79" i="13"/>
  <c r="C15" i="12"/>
  <c r="F12" i="12"/>
  <c r="D15" i="12"/>
  <c r="G15" i="12"/>
  <c r="J12" i="12"/>
  <c r="C12" i="12"/>
  <c r="D12" i="12"/>
  <c r="G12" i="12"/>
  <c r="B24" i="12"/>
  <c r="B39" i="12"/>
  <c r="I144" i="61" l="1"/>
  <c r="I143" i="61"/>
  <c r="I147" i="61"/>
  <c r="J134" i="61"/>
  <c r="H151" i="13"/>
  <c r="L69" i="11" s="1"/>
  <c r="J130" i="61"/>
  <c r="J146" i="61"/>
  <c r="K133" i="61"/>
  <c r="J129" i="61"/>
  <c r="K148" i="61"/>
  <c r="L135" i="61"/>
  <c r="J145" i="61"/>
  <c r="K132" i="61"/>
  <c r="K140" i="61"/>
  <c r="L127" i="61"/>
  <c r="J141" i="61"/>
  <c r="K128" i="61"/>
  <c r="J131" i="61"/>
  <c r="H14" i="12"/>
  <c r="D76" i="54"/>
  <c r="E76" i="54"/>
  <c r="F76" i="54"/>
  <c r="G76" i="54"/>
  <c r="H76" i="54"/>
  <c r="C76" i="54"/>
  <c r="P67" i="54"/>
  <c r="O67" i="54"/>
  <c r="N67" i="54"/>
  <c r="M67" i="54"/>
  <c r="L67" i="54"/>
  <c r="K67" i="54"/>
  <c r="J67" i="54"/>
  <c r="I67" i="54"/>
  <c r="P66" i="54"/>
  <c r="J43" i="54" s="1"/>
  <c r="O66" i="54"/>
  <c r="N66" i="54"/>
  <c r="H43" i="54" s="1"/>
  <c r="M66" i="54"/>
  <c r="G43" i="54" s="1"/>
  <c r="L66" i="54"/>
  <c r="F43" i="54" s="1"/>
  <c r="K66" i="54"/>
  <c r="J66" i="54"/>
  <c r="D43" i="54" s="1"/>
  <c r="I66" i="54"/>
  <c r="C43" i="54" s="1"/>
  <c r="P65" i="54"/>
  <c r="J42" i="54" s="1"/>
  <c r="O65" i="54"/>
  <c r="I42" i="54" s="1"/>
  <c r="N65" i="54"/>
  <c r="H42" i="54" s="1"/>
  <c r="M65" i="54"/>
  <c r="G42" i="54" s="1"/>
  <c r="L65" i="54"/>
  <c r="F42" i="54" s="1"/>
  <c r="K65" i="54"/>
  <c r="E42" i="54" s="1"/>
  <c r="J65" i="54"/>
  <c r="D42" i="54" s="1"/>
  <c r="I65" i="54"/>
  <c r="C42" i="54" s="1"/>
  <c r="P64" i="54"/>
  <c r="J41" i="54" s="1"/>
  <c r="O64" i="54"/>
  <c r="I41" i="54" s="1"/>
  <c r="N64" i="54"/>
  <c r="H41" i="54" s="1"/>
  <c r="M64" i="54"/>
  <c r="G41" i="54" s="1"/>
  <c r="L64" i="54"/>
  <c r="F41" i="54" s="1"/>
  <c r="K64" i="54"/>
  <c r="E41" i="54" s="1"/>
  <c r="J64" i="54"/>
  <c r="D41" i="54" s="1"/>
  <c r="I64" i="54"/>
  <c r="C41" i="54" s="1"/>
  <c r="P63" i="54"/>
  <c r="J40" i="54" s="1"/>
  <c r="O63" i="54"/>
  <c r="I40" i="54" s="1"/>
  <c r="N63" i="54"/>
  <c r="H40" i="54" s="1"/>
  <c r="M63" i="54"/>
  <c r="G40" i="54" s="1"/>
  <c r="L63" i="54"/>
  <c r="F40" i="54" s="1"/>
  <c r="K63" i="54"/>
  <c r="E40" i="54" s="1"/>
  <c r="J63" i="54"/>
  <c r="D40" i="54" s="1"/>
  <c r="I63" i="54"/>
  <c r="B63" i="54"/>
  <c r="B39" i="54" s="1"/>
  <c r="P62" i="54"/>
  <c r="O62" i="54"/>
  <c r="I39" i="54" s="1"/>
  <c r="N62" i="54"/>
  <c r="M62" i="54"/>
  <c r="G39" i="54" s="1"/>
  <c r="L62" i="54"/>
  <c r="K62" i="54"/>
  <c r="E39" i="54" s="1"/>
  <c r="J62" i="54"/>
  <c r="I62" i="54"/>
  <c r="C39" i="54" s="1"/>
  <c r="P61" i="54"/>
  <c r="O61" i="54"/>
  <c r="I38" i="54" s="1"/>
  <c r="N61" i="54"/>
  <c r="M61" i="54"/>
  <c r="G38" i="54" s="1"/>
  <c r="L61" i="54"/>
  <c r="K61" i="54"/>
  <c r="E38" i="54" s="1"/>
  <c r="J61" i="54"/>
  <c r="D38" i="54" s="1"/>
  <c r="I61" i="54"/>
  <c r="C38" i="54" s="1"/>
  <c r="P60" i="54"/>
  <c r="J37" i="54" s="1"/>
  <c r="O60" i="54"/>
  <c r="N60" i="54"/>
  <c r="H37" i="54" s="1"/>
  <c r="M60" i="54"/>
  <c r="L60" i="54"/>
  <c r="F37" i="54" s="1"/>
  <c r="K60" i="54"/>
  <c r="J60" i="54"/>
  <c r="D37" i="54" s="1"/>
  <c r="I60" i="54"/>
  <c r="I68" i="54" s="1"/>
  <c r="P59" i="54"/>
  <c r="J36" i="54" s="1"/>
  <c r="O59" i="54"/>
  <c r="I36" i="54" s="1"/>
  <c r="N59" i="54"/>
  <c r="H36" i="54" s="1"/>
  <c r="M59" i="54"/>
  <c r="G36" i="54" s="1"/>
  <c r="L59" i="54"/>
  <c r="F36" i="54" s="1"/>
  <c r="K59" i="54"/>
  <c r="E36" i="54" s="1"/>
  <c r="J59" i="54"/>
  <c r="I59" i="54"/>
  <c r="C36" i="54" s="1"/>
  <c r="P58" i="54"/>
  <c r="O58" i="54"/>
  <c r="N58" i="54"/>
  <c r="M58" i="54"/>
  <c r="L58" i="54"/>
  <c r="K58" i="54"/>
  <c r="J58" i="54"/>
  <c r="I58" i="54"/>
  <c r="P56" i="54"/>
  <c r="O56" i="54"/>
  <c r="I33" i="54" s="1"/>
  <c r="N56" i="54"/>
  <c r="M56" i="54"/>
  <c r="G33" i="54" s="1"/>
  <c r="L56" i="54"/>
  <c r="K56" i="54"/>
  <c r="E33" i="54" s="1"/>
  <c r="J56" i="54"/>
  <c r="I56" i="54"/>
  <c r="F19" i="54" s="1"/>
  <c r="P55" i="54"/>
  <c r="O55" i="54"/>
  <c r="I32" i="54" s="1"/>
  <c r="N55" i="54"/>
  <c r="H32" i="54" s="1"/>
  <c r="M55" i="54"/>
  <c r="G32" i="54" s="1"/>
  <c r="L55" i="54"/>
  <c r="F32" i="54" s="1"/>
  <c r="K55" i="54"/>
  <c r="E32" i="54" s="1"/>
  <c r="J55" i="54"/>
  <c r="D32" i="54" s="1"/>
  <c r="I55" i="54"/>
  <c r="C32" i="54" s="1"/>
  <c r="P54" i="54"/>
  <c r="H17" i="54" s="1"/>
  <c r="O54" i="54"/>
  <c r="I31" i="54" s="1"/>
  <c r="N54" i="54"/>
  <c r="H31" i="54" s="1"/>
  <c r="M54" i="54"/>
  <c r="G31" i="54" s="1"/>
  <c r="L54" i="54"/>
  <c r="F31" i="54" s="1"/>
  <c r="K54" i="54"/>
  <c r="J54" i="54"/>
  <c r="I54" i="54"/>
  <c r="P53" i="54"/>
  <c r="O53" i="54"/>
  <c r="I30" i="54" s="1"/>
  <c r="N53" i="54"/>
  <c r="N75" i="54" s="1"/>
  <c r="M53" i="54"/>
  <c r="M75" i="54" s="1"/>
  <c r="L53" i="54"/>
  <c r="L75" i="54" s="1"/>
  <c r="K53" i="54"/>
  <c r="E30" i="54" s="1"/>
  <c r="J53" i="54"/>
  <c r="J75" i="54" s="1"/>
  <c r="I53" i="54"/>
  <c r="C30" i="54" s="1"/>
  <c r="B53" i="54"/>
  <c r="B29" i="54" s="1"/>
  <c r="P52" i="54"/>
  <c r="J29" i="54" s="1"/>
  <c r="O52" i="54"/>
  <c r="I29" i="54" s="1"/>
  <c r="N52" i="54"/>
  <c r="M52" i="54"/>
  <c r="G29" i="54" s="1"/>
  <c r="L52" i="54"/>
  <c r="F29" i="54" s="1"/>
  <c r="K52" i="54"/>
  <c r="E29" i="54" s="1"/>
  <c r="J52" i="54"/>
  <c r="I52" i="54"/>
  <c r="F15" i="54" s="1"/>
  <c r="P51" i="54"/>
  <c r="J28" i="54" s="1"/>
  <c r="O51" i="54"/>
  <c r="I28" i="54" s="1"/>
  <c r="N51" i="54"/>
  <c r="H28" i="54" s="1"/>
  <c r="M51" i="54"/>
  <c r="G28" i="54" s="1"/>
  <c r="L51" i="54"/>
  <c r="F28" i="54" s="1"/>
  <c r="K51" i="54"/>
  <c r="E28" i="54" s="1"/>
  <c r="J51" i="54"/>
  <c r="D28" i="54" s="1"/>
  <c r="I51" i="54"/>
  <c r="C28" i="54" s="1"/>
  <c r="P50" i="54"/>
  <c r="P57" i="54" s="1"/>
  <c r="H21" i="54" s="1"/>
  <c r="O50" i="54"/>
  <c r="O73" i="54" s="1"/>
  <c r="N50" i="54"/>
  <c r="N57" i="54" s="1"/>
  <c r="H34" i="54" s="1"/>
  <c r="M50" i="54"/>
  <c r="G27" i="54" s="1"/>
  <c r="L50" i="54"/>
  <c r="K50" i="54"/>
  <c r="J50" i="54"/>
  <c r="I50" i="54"/>
  <c r="I43" i="54"/>
  <c r="E43" i="54"/>
  <c r="B43" i="54"/>
  <c r="B42" i="54"/>
  <c r="B41" i="54"/>
  <c r="C40" i="54"/>
  <c r="B40" i="54"/>
  <c r="J39" i="54"/>
  <c r="H39" i="54"/>
  <c r="F39" i="54"/>
  <c r="D39" i="54"/>
  <c r="J38" i="54"/>
  <c r="H38" i="54"/>
  <c r="F38" i="54"/>
  <c r="B38" i="54"/>
  <c r="B37" i="54"/>
  <c r="D36" i="54"/>
  <c r="B36" i="54"/>
  <c r="B34" i="54"/>
  <c r="J33" i="54"/>
  <c r="H33" i="54"/>
  <c r="F33" i="54"/>
  <c r="D33" i="54"/>
  <c r="B33" i="54"/>
  <c r="J32" i="54"/>
  <c r="B32" i="54"/>
  <c r="E31" i="54"/>
  <c r="D31" i="54"/>
  <c r="B31" i="54"/>
  <c r="J30" i="54"/>
  <c r="B30" i="54"/>
  <c r="B28" i="54"/>
  <c r="E27" i="54"/>
  <c r="C27" i="54"/>
  <c r="B27" i="54"/>
  <c r="B26" i="54"/>
  <c r="J25" i="54"/>
  <c r="I25" i="54"/>
  <c r="H25" i="54"/>
  <c r="G25" i="54"/>
  <c r="F25" i="54"/>
  <c r="E25" i="54"/>
  <c r="D25" i="54"/>
  <c r="C25" i="54"/>
  <c r="H19" i="54"/>
  <c r="C19" i="54"/>
  <c r="H18" i="54"/>
  <c r="F18" i="54"/>
  <c r="C18" i="54"/>
  <c r="H16" i="54"/>
  <c r="C16" i="54"/>
  <c r="F13" i="54"/>
  <c r="B45" i="52"/>
  <c r="C45" i="52"/>
  <c r="D45" i="52"/>
  <c r="B43" i="52"/>
  <c r="C43" i="52"/>
  <c r="D43" i="52"/>
  <c r="B44" i="52"/>
  <c r="C44" i="52"/>
  <c r="D44" i="52"/>
  <c r="B32" i="52"/>
  <c r="C32" i="52"/>
  <c r="D32" i="52"/>
  <c r="B33" i="52"/>
  <c r="C33" i="52"/>
  <c r="D33" i="52"/>
  <c r="B34" i="52"/>
  <c r="C34" i="52"/>
  <c r="D34" i="52"/>
  <c r="C35" i="52"/>
  <c r="D35" i="52"/>
  <c r="B36" i="52"/>
  <c r="C36" i="52"/>
  <c r="D36" i="52"/>
  <c r="B37" i="52"/>
  <c r="C37" i="52"/>
  <c r="D37" i="52"/>
  <c r="B38" i="52"/>
  <c r="C38" i="52"/>
  <c r="D38" i="52"/>
  <c r="B39" i="52"/>
  <c r="C39" i="52"/>
  <c r="D39" i="52"/>
  <c r="B40" i="52"/>
  <c r="C40" i="52"/>
  <c r="D40" i="52"/>
  <c r="B41" i="52"/>
  <c r="C41" i="52"/>
  <c r="D41" i="52"/>
  <c r="B42" i="52"/>
  <c r="C42" i="52"/>
  <c r="D42" i="52"/>
  <c r="C31" i="52"/>
  <c r="D31" i="52"/>
  <c r="B31" i="52"/>
  <c r="M57" i="52"/>
  <c r="M58" i="52"/>
  <c r="M59" i="52"/>
  <c r="M60" i="52"/>
  <c r="M61" i="52"/>
  <c r="M62" i="52"/>
  <c r="M63" i="52"/>
  <c r="M64" i="52"/>
  <c r="M65" i="52"/>
  <c r="M66" i="52"/>
  <c r="M67" i="52"/>
  <c r="M68" i="52"/>
  <c r="M69" i="52"/>
  <c r="M70" i="52"/>
  <c r="L58" i="52"/>
  <c r="L59" i="52"/>
  <c r="L60" i="52"/>
  <c r="L61" i="52"/>
  <c r="L62" i="52"/>
  <c r="L63" i="52"/>
  <c r="L64" i="52"/>
  <c r="L65" i="52"/>
  <c r="L66" i="52"/>
  <c r="L67" i="52"/>
  <c r="L68" i="52"/>
  <c r="L69" i="52"/>
  <c r="L70" i="52"/>
  <c r="L57" i="52"/>
  <c r="J147" i="61" l="1"/>
  <c r="K134" i="61"/>
  <c r="J31" i="54"/>
  <c r="F14" i="54"/>
  <c r="C15" i="54"/>
  <c r="N74" i="54"/>
  <c r="I27" i="54"/>
  <c r="K68" i="54"/>
  <c r="H15" i="54"/>
  <c r="E17" i="54"/>
  <c r="C17" i="54"/>
  <c r="F30" i="54"/>
  <c r="K73" i="54"/>
  <c r="M68" i="54"/>
  <c r="O68" i="54"/>
  <c r="J74" i="54"/>
  <c r="G37" i="54"/>
  <c r="F16" i="54"/>
  <c r="D30" i="54"/>
  <c r="J57" i="54"/>
  <c r="D34" i="54" s="1"/>
  <c r="H30" i="54"/>
  <c r="L57" i="54"/>
  <c r="F34" i="54" s="1"/>
  <c r="E13" i="54"/>
  <c r="F17" i="54"/>
  <c r="D27" i="54"/>
  <c r="H29" i="54"/>
  <c r="J34" i="54"/>
  <c r="M74" i="54"/>
  <c r="I75" i="54"/>
  <c r="D29" i="54"/>
  <c r="C37" i="54"/>
  <c r="K74" i="54"/>
  <c r="O74" i="54"/>
  <c r="D14" i="54"/>
  <c r="G30" i="54"/>
  <c r="C31" i="54"/>
  <c r="C33" i="54"/>
  <c r="D17" i="54"/>
  <c r="J143" i="61"/>
  <c r="K130" i="61"/>
  <c r="D18" i="54"/>
  <c r="H27" i="54"/>
  <c r="I57" i="54"/>
  <c r="M57" i="54"/>
  <c r="G34" i="54" s="1"/>
  <c r="I74" i="54"/>
  <c r="L68" i="54"/>
  <c r="P68" i="54"/>
  <c r="K146" i="61"/>
  <c r="L133" i="61"/>
  <c r="K145" i="61"/>
  <c r="L132" i="61"/>
  <c r="L148" i="61"/>
  <c r="M135" i="61"/>
  <c r="J144" i="61"/>
  <c r="K131" i="61"/>
  <c r="L140" i="61"/>
  <c r="M127" i="61"/>
  <c r="J142" i="61"/>
  <c r="K129" i="61"/>
  <c r="K141" i="61"/>
  <c r="L128" i="61"/>
  <c r="E14" i="54"/>
  <c r="D15" i="54"/>
  <c r="E18" i="54"/>
  <c r="D19" i="54"/>
  <c r="E37" i="54"/>
  <c r="I37" i="54"/>
  <c r="N73" i="54"/>
  <c r="N76" i="54" s="1"/>
  <c r="J73" i="54"/>
  <c r="L74" i="54"/>
  <c r="O75" i="54"/>
  <c r="K75" i="54"/>
  <c r="C13" i="54"/>
  <c r="E15" i="54"/>
  <c r="E19" i="54"/>
  <c r="K19" i="54" s="1"/>
  <c r="F27" i="54"/>
  <c r="J27" i="54"/>
  <c r="M73" i="54"/>
  <c r="K17" i="54"/>
  <c r="H13" i="54"/>
  <c r="D16" i="54"/>
  <c r="D13" i="54"/>
  <c r="C14" i="54"/>
  <c r="H14" i="54"/>
  <c r="E16" i="54"/>
  <c r="K57" i="54"/>
  <c r="E34" i="54" s="1"/>
  <c r="O57" i="54"/>
  <c r="I34" i="54" s="1"/>
  <c r="J68" i="54"/>
  <c r="N68" i="54"/>
  <c r="I73" i="54"/>
  <c r="L73" i="54"/>
  <c r="C29" i="54"/>
  <c r="I64" i="52"/>
  <c r="J64" i="52"/>
  <c r="I65" i="52"/>
  <c r="J65" i="52"/>
  <c r="I66" i="52"/>
  <c r="J66" i="52"/>
  <c r="I67" i="52"/>
  <c r="J67" i="52"/>
  <c r="I68" i="52"/>
  <c r="J68" i="52"/>
  <c r="I69" i="52"/>
  <c r="J69" i="52"/>
  <c r="I70" i="52"/>
  <c r="J70" i="52"/>
  <c r="J63" i="52"/>
  <c r="I63" i="52"/>
  <c r="G58" i="52"/>
  <c r="H58" i="52"/>
  <c r="G59" i="52"/>
  <c r="H59" i="52"/>
  <c r="G60" i="52"/>
  <c r="H60" i="52"/>
  <c r="G61" i="52"/>
  <c r="H61" i="52"/>
  <c r="G62" i="52"/>
  <c r="H62" i="52"/>
  <c r="H57" i="52"/>
  <c r="G57" i="52"/>
  <c r="B54" i="52"/>
  <c r="C54" i="52"/>
  <c r="D54" i="52"/>
  <c r="E54" i="52"/>
  <c r="F54" i="52"/>
  <c r="G54" i="52"/>
  <c r="G12" i="52"/>
  <c r="F12" i="52"/>
  <c r="D14" i="52"/>
  <c r="D12" i="52"/>
  <c r="C14" i="52"/>
  <c r="C12" i="52"/>
  <c r="K147" i="61" l="1"/>
  <c r="L134" i="61"/>
  <c r="K14" i="54"/>
  <c r="J76" i="54"/>
  <c r="M76" i="54"/>
  <c r="O76" i="54"/>
  <c r="I76" i="54"/>
  <c r="K13" i="54"/>
  <c r="K15" i="54"/>
  <c r="K18" i="54"/>
  <c r="L130" i="61"/>
  <c r="K143" i="61"/>
  <c r="F21" i="54"/>
  <c r="C34" i="54"/>
  <c r="K76" i="54"/>
  <c r="L146" i="61"/>
  <c r="M133" i="61"/>
  <c r="L141" i="61"/>
  <c r="M128" i="61"/>
  <c r="K144" i="61"/>
  <c r="L131" i="61"/>
  <c r="L145" i="61"/>
  <c r="M132" i="61"/>
  <c r="K142" i="61"/>
  <c r="L129" i="61"/>
  <c r="M140" i="61"/>
  <c r="N127" i="61"/>
  <c r="M148" i="61"/>
  <c r="N135" i="61"/>
  <c r="K16" i="54"/>
  <c r="C21" i="54"/>
  <c r="I14" i="54" s="1"/>
  <c r="L76" i="54"/>
  <c r="G14" i="52"/>
  <c r="F14" i="52"/>
  <c r="L147" i="61" l="1"/>
  <c r="M134" i="61"/>
  <c r="M146" i="61"/>
  <c r="N133" i="61"/>
  <c r="M130" i="61"/>
  <c r="L143" i="61"/>
  <c r="L142" i="61"/>
  <c r="M129" i="61"/>
  <c r="L144" i="61"/>
  <c r="M131" i="61"/>
  <c r="M141" i="61"/>
  <c r="N128" i="61"/>
  <c r="N148" i="61"/>
  <c r="O135" i="61"/>
  <c r="O148" i="61" s="1"/>
  <c r="M145" i="61"/>
  <c r="N132" i="61"/>
  <c r="N140" i="61"/>
  <c r="O127" i="61"/>
  <c r="O140" i="61" s="1"/>
  <c r="I18" i="54"/>
  <c r="I13" i="54"/>
  <c r="I15" i="54"/>
  <c r="I17" i="54"/>
  <c r="I16" i="54"/>
  <c r="I19" i="54"/>
  <c r="E14" i="52"/>
  <c r="E12" i="52"/>
  <c r="E52" i="33"/>
  <c r="E53" i="33"/>
  <c r="E54" i="33"/>
  <c r="E55" i="33"/>
  <c r="E56" i="33"/>
  <c r="E57" i="33"/>
  <c r="E58" i="33"/>
  <c r="C49" i="33"/>
  <c r="G49" i="33"/>
  <c r="C50" i="33"/>
  <c r="D50" i="33"/>
  <c r="E50" i="33"/>
  <c r="G50" i="33"/>
  <c r="H50" i="33"/>
  <c r="I50" i="33"/>
  <c r="C51" i="33"/>
  <c r="D51" i="33"/>
  <c r="E51" i="33"/>
  <c r="G51" i="33"/>
  <c r="H51" i="33"/>
  <c r="I51" i="33"/>
  <c r="C52" i="33"/>
  <c r="D52" i="33"/>
  <c r="G52" i="33"/>
  <c r="H52" i="33"/>
  <c r="I52" i="33"/>
  <c r="C53" i="33"/>
  <c r="D53" i="33"/>
  <c r="G53" i="33"/>
  <c r="H53" i="33"/>
  <c r="I53" i="33"/>
  <c r="C54" i="33"/>
  <c r="D54" i="33"/>
  <c r="G54" i="33"/>
  <c r="H54" i="33"/>
  <c r="I54" i="33"/>
  <c r="C55" i="33"/>
  <c r="D55" i="33"/>
  <c r="G55" i="33"/>
  <c r="H55" i="33"/>
  <c r="I55" i="33"/>
  <c r="C56" i="33"/>
  <c r="D56" i="33"/>
  <c r="G56" i="33"/>
  <c r="H56" i="33"/>
  <c r="I56" i="33"/>
  <c r="C57" i="33"/>
  <c r="D57" i="33"/>
  <c r="G57" i="33"/>
  <c r="H57" i="33"/>
  <c r="I57" i="33"/>
  <c r="C58" i="33"/>
  <c r="D58" i="33"/>
  <c r="G58" i="33"/>
  <c r="H58" i="33"/>
  <c r="I58" i="33"/>
  <c r="B51" i="33"/>
  <c r="B52" i="33"/>
  <c r="B53" i="33"/>
  <c r="B54" i="33"/>
  <c r="B55" i="33"/>
  <c r="B56" i="33"/>
  <c r="B57" i="33"/>
  <c r="B58" i="33"/>
  <c r="G45" i="33"/>
  <c r="G46" i="33"/>
  <c r="B38" i="33"/>
  <c r="B39" i="33"/>
  <c r="B40" i="33"/>
  <c r="B41" i="33"/>
  <c r="B42" i="33"/>
  <c r="B43" i="33"/>
  <c r="B44" i="33"/>
  <c r="B45" i="33"/>
  <c r="B37" i="33"/>
  <c r="C38" i="33"/>
  <c r="C39" i="33"/>
  <c r="C40" i="33"/>
  <c r="C41" i="33"/>
  <c r="C42" i="33"/>
  <c r="C43" i="33"/>
  <c r="C44" i="33"/>
  <c r="C45" i="33"/>
  <c r="C37" i="33"/>
  <c r="B35" i="33"/>
  <c r="D86" i="33"/>
  <c r="D38" i="33" s="1"/>
  <c r="K15" i="33"/>
  <c r="L15" i="33" s="1"/>
  <c r="K14" i="33"/>
  <c r="L14" i="33" s="1"/>
  <c r="K13" i="33"/>
  <c r="L13" i="33" s="1"/>
  <c r="D13" i="33"/>
  <c r="C13" i="33"/>
  <c r="F15" i="33"/>
  <c r="F14" i="33"/>
  <c r="F13" i="33"/>
  <c r="H15" i="33"/>
  <c r="H14" i="33"/>
  <c r="H13" i="33"/>
  <c r="F32" i="41"/>
  <c r="G32" i="41"/>
  <c r="H32" i="41"/>
  <c r="I32" i="41"/>
  <c r="J32" i="41"/>
  <c r="J11" i="41"/>
  <c r="J12" i="41"/>
  <c r="D15" i="51"/>
  <c r="D16" i="51"/>
  <c r="C15" i="51"/>
  <c r="D17" i="51"/>
  <c r="D18" i="51"/>
  <c r="D19" i="51"/>
  <c r="D20" i="51"/>
  <c r="D21" i="51"/>
  <c r="D22" i="51"/>
  <c r="D23" i="51"/>
  <c r="D24" i="51"/>
  <c r="D25" i="51"/>
  <c r="D26" i="51"/>
  <c r="D27" i="51"/>
  <c r="D28" i="51"/>
  <c r="D29" i="51"/>
  <c r="C16" i="51"/>
  <c r="C17" i="51"/>
  <c r="C18" i="51"/>
  <c r="C19" i="51"/>
  <c r="C20" i="51"/>
  <c r="C21" i="51"/>
  <c r="C22" i="51"/>
  <c r="C23" i="51"/>
  <c r="C24" i="51"/>
  <c r="C25" i="51"/>
  <c r="C26" i="51"/>
  <c r="C27" i="51"/>
  <c r="C28" i="51"/>
  <c r="C29" i="51"/>
  <c r="B27" i="51"/>
  <c r="B28" i="51"/>
  <c r="B29" i="51"/>
  <c r="B17" i="51"/>
  <c r="B18" i="51"/>
  <c r="B19" i="51"/>
  <c r="B20" i="51"/>
  <c r="B21" i="51"/>
  <c r="B22" i="51"/>
  <c r="B23" i="51"/>
  <c r="B24" i="51"/>
  <c r="B25" i="51"/>
  <c r="B26" i="51"/>
  <c r="B16" i="51"/>
  <c r="H12" i="51"/>
  <c r="H10" i="51"/>
  <c r="P67" i="51"/>
  <c r="O67" i="51"/>
  <c r="N67" i="51"/>
  <c r="M67" i="51"/>
  <c r="L67" i="51"/>
  <c r="K67" i="51"/>
  <c r="J67" i="51"/>
  <c r="I67" i="51"/>
  <c r="B66" i="51"/>
  <c r="P66" i="51"/>
  <c r="O66" i="51"/>
  <c r="N66" i="51"/>
  <c r="M66" i="51"/>
  <c r="L66" i="51"/>
  <c r="K66" i="51"/>
  <c r="J66" i="51"/>
  <c r="I66" i="51"/>
  <c r="B65" i="51"/>
  <c r="P65" i="51"/>
  <c r="O65" i="51"/>
  <c r="N65" i="51"/>
  <c r="M65" i="51"/>
  <c r="L65" i="51"/>
  <c r="K65" i="51"/>
  <c r="J65" i="51"/>
  <c r="I65" i="51"/>
  <c r="B64" i="51"/>
  <c r="P64" i="51"/>
  <c r="O64" i="51"/>
  <c r="N64" i="51"/>
  <c r="M64" i="51"/>
  <c r="L64" i="51"/>
  <c r="K64" i="51"/>
  <c r="J64" i="51"/>
  <c r="I64" i="51"/>
  <c r="B63" i="51"/>
  <c r="P63" i="51"/>
  <c r="O63" i="51"/>
  <c r="N63" i="51"/>
  <c r="M63" i="51"/>
  <c r="L63" i="51"/>
  <c r="K63" i="51"/>
  <c r="J63" i="51"/>
  <c r="I63" i="51"/>
  <c r="B62" i="51"/>
  <c r="P62" i="51"/>
  <c r="O62" i="51"/>
  <c r="N62" i="51"/>
  <c r="M62" i="51"/>
  <c r="L62" i="51"/>
  <c r="K62" i="51"/>
  <c r="J62" i="51"/>
  <c r="I62" i="51"/>
  <c r="B61" i="51"/>
  <c r="P61" i="51"/>
  <c r="O61" i="51"/>
  <c r="N61" i="51"/>
  <c r="M61" i="51"/>
  <c r="L61" i="51"/>
  <c r="K61" i="51"/>
  <c r="J61" i="51"/>
  <c r="I61" i="51"/>
  <c r="B60" i="51"/>
  <c r="P60" i="51"/>
  <c r="O60" i="51"/>
  <c r="N60" i="51"/>
  <c r="M60" i="51"/>
  <c r="L60" i="51"/>
  <c r="K60" i="51"/>
  <c r="J60" i="51"/>
  <c r="I60" i="51"/>
  <c r="B59" i="51"/>
  <c r="P52" i="51"/>
  <c r="O52" i="51"/>
  <c r="N52" i="51"/>
  <c r="M52" i="51"/>
  <c r="L52" i="51"/>
  <c r="K52" i="51"/>
  <c r="J52" i="51"/>
  <c r="I52" i="51"/>
  <c r="E10" i="51"/>
  <c r="E13" i="49"/>
  <c r="E11" i="49"/>
  <c r="N134" i="61" l="1"/>
  <c r="M147" i="61"/>
  <c r="M143" i="61"/>
  <c r="N130" i="61"/>
  <c r="O133" i="61"/>
  <c r="O146" i="61" s="1"/>
  <c r="N146" i="61"/>
  <c r="N145" i="61"/>
  <c r="O132" i="61"/>
  <c r="O145" i="61" s="1"/>
  <c r="N141" i="61"/>
  <c r="O128" i="61"/>
  <c r="O141" i="61" s="1"/>
  <c r="M142" i="61"/>
  <c r="N129" i="61"/>
  <c r="M144" i="61"/>
  <c r="N131" i="61"/>
  <c r="D37" i="33"/>
  <c r="D93" i="33"/>
  <c r="D45" i="33" s="1"/>
  <c r="D89" i="33"/>
  <c r="D41" i="33" s="1"/>
  <c r="D91" i="33"/>
  <c r="D43" i="33" s="1"/>
  <c r="D87" i="33"/>
  <c r="D39" i="33" s="1"/>
  <c r="D92" i="33"/>
  <c r="D44" i="33" s="1"/>
  <c r="D90" i="33"/>
  <c r="D42" i="33" s="1"/>
  <c r="D88" i="33"/>
  <c r="D40" i="33" s="1"/>
  <c r="E12" i="51"/>
  <c r="M16" i="11"/>
  <c r="L56" i="11"/>
  <c r="L57" i="11"/>
  <c r="L58" i="11"/>
  <c r="L59" i="11"/>
  <c r="L60" i="11"/>
  <c r="L61" i="11"/>
  <c r="I57" i="19"/>
  <c r="J57" i="19"/>
  <c r="I58" i="19"/>
  <c r="J58" i="19"/>
  <c r="I59" i="19"/>
  <c r="J59" i="19"/>
  <c r="I60" i="19"/>
  <c r="J60" i="19"/>
  <c r="I61" i="19"/>
  <c r="J61" i="19"/>
  <c r="I62" i="19"/>
  <c r="J62" i="19"/>
  <c r="I63" i="19"/>
  <c r="J63" i="19"/>
  <c r="I64" i="19"/>
  <c r="J64" i="19"/>
  <c r="I65" i="19"/>
  <c r="J65" i="19"/>
  <c r="I66" i="19"/>
  <c r="J66" i="19"/>
  <c r="I67" i="19"/>
  <c r="J67" i="19"/>
  <c r="I68" i="19"/>
  <c r="J68" i="19"/>
  <c r="I69" i="19"/>
  <c r="J69" i="19"/>
  <c r="I70" i="19"/>
  <c r="J70" i="19"/>
  <c r="H58" i="19"/>
  <c r="H59" i="19"/>
  <c r="H60" i="19"/>
  <c r="H61" i="19"/>
  <c r="H62" i="19"/>
  <c r="H63" i="19"/>
  <c r="H64" i="19"/>
  <c r="H65" i="19"/>
  <c r="H66" i="19"/>
  <c r="H67" i="19"/>
  <c r="H68" i="19"/>
  <c r="H69" i="19"/>
  <c r="H70" i="19"/>
  <c r="H57" i="19"/>
  <c r="N147" i="61" l="1"/>
  <c r="O134" i="61"/>
  <c r="O147" i="61" s="1"/>
  <c r="N143" i="61"/>
  <c r="O130" i="61"/>
  <c r="O143" i="61" s="1"/>
  <c r="N142" i="61"/>
  <c r="O129" i="61"/>
  <c r="O142" i="61" s="1"/>
  <c r="N144" i="61"/>
  <c r="O131" i="61"/>
  <c r="O144" i="61" s="1"/>
  <c r="H61" i="13"/>
  <c r="J13" i="11"/>
  <c r="J14" i="11"/>
  <c r="J16" i="11"/>
  <c r="J12" i="11"/>
  <c r="H24" i="11"/>
  <c r="B35" i="11" s="1"/>
  <c r="H25" i="11"/>
  <c r="B36" i="11" s="1"/>
  <c r="H26" i="11"/>
  <c r="B37" i="11" s="1"/>
  <c r="H27" i="11"/>
  <c r="B38" i="11" s="1"/>
  <c r="H28" i="11"/>
  <c r="B39" i="11" s="1"/>
  <c r="H29" i="11"/>
  <c r="B40" i="11" s="1"/>
  <c r="H30" i="11"/>
  <c r="B41" i="11" s="1"/>
  <c r="H23" i="11"/>
  <c r="B34" i="11" s="1"/>
  <c r="B21" i="11"/>
  <c r="J22" i="11"/>
  <c r="D33" i="11" s="1"/>
  <c r="K22" i="11"/>
  <c r="E33" i="11" s="1"/>
  <c r="L22" i="11"/>
  <c r="F33" i="11" s="1"/>
  <c r="H21" i="11"/>
  <c r="B32" i="11" s="1"/>
  <c r="I22" i="11"/>
  <c r="C33" i="11" s="1"/>
  <c r="B24" i="11"/>
  <c r="B25" i="11"/>
  <c r="B30" i="11"/>
  <c r="B23" i="11"/>
  <c r="F33" i="9"/>
  <c r="E33" i="9"/>
  <c r="D33" i="9"/>
  <c r="C33" i="9"/>
  <c r="C15" i="33"/>
  <c r="C14" i="33"/>
  <c r="D15" i="33"/>
  <c r="E15" i="33" s="1"/>
  <c r="D14" i="33"/>
  <c r="E14" i="33" s="1"/>
  <c r="E13" i="33"/>
  <c r="C16" i="11" l="1"/>
  <c r="C13" i="11"/>
  <c r="C12" i="11"/>
  <c r="C14" i="11"/>
  <c r="G28" i="19"/>
  <c r="E29" i="19"/>
  <c r="E30" i="19"/>
  <c r="E31" i="19"/>
  <c r="E32" i="19"/>
  <c r="E33" i="19"/>
  <c r="E34" i="19"/>
  <c r="E35" i="19"/>
  <c r="E36" i="19"/>
  <c r="E37" i="19"/>
  <c r="E38" i="19"/>
  <c r="E39" i="19"/>
  <c r="E40" i="19"/>
  <c r="E41" i="19"/>
  <c r="E42" i="19"/>
  <c r="F56" i="19"/>
  <c r="F57" i="19"/>
  <c r="F58" i="19"/>
  <c r="F59" i="19"/>
  <c r="F60" i="19"/>
  <c r="F61" i="19"/>
  <c r="F62" i="19"/>
  <c r="F63" i="19"/>
  <c r="F64" i="19"/>
  <c r="F65" i="19"/>
  <c r="F66" i="19"/>
  <c r="F67" i="19"/>
  <c r="F68" i="19"/>
  <c r="F69" i="19"/>
  <c r="F55" i="19"/>
  <c r="L20" i="46"/>
  <c r="L21" i="46"/>
  <c r="L22" i="46"/>
  <c r="L23" i="46"/>
  <c r="L24" i="46"/>
  <c r="L25" i="46"/>
  <c r="L26" i="46"/>
  <c r="L27" i="46"/>
  <c r="L28" i="46"/>
  <c r="L29" i="46"/>
  <c r="L30" i="46"/>
  <c r="L31" i="46"/>
  <c r="L32" i="46"/>
  <c r="L33" i="46"/>
  <c r="M3" i="46"/>
  <c r="M4" i="46"/>
  <c r="M5" i="46"/>
  <c r="M6" i="46"/>
  <c r="M7" i="46"/>
  <c r="M8" i="46"/>
  <c r="M9" i="46"/>
  <c r="M10" i="46"/>
  <c r="M11" i="46"/>
  <c r="M12" i="46"/>
  <c r="M13" i="46"/>
  <c r="M14" i="46"/>
  <c r="M15" i="46"/>
  <c r="M16" i="46"/>
  <c r="M2" i="46"/>
  <c r="M19" i="46" s="1"/>
  <c r="K19" i="46"/>
  <c r="L19" i="46"/>
  <c r="K20" i="46"/>
  <c r="K21" i="46"/>
  <c r="K22" i="46"/>
  <c r="K23" i="46"/>
  <c r="K24" i="46"/>
  <c r="K25" i="46"/>
  <c r="K26" i="46"/>
  <c r="K27" i="46"/>
  <c r="K28" i="46"/>
  <c r="K29" i="46"/>
  <c r="K30" i="46"/>
  <c r="K31" i="46"/>
  <c r="K32" i="46"/>
  <c r="K33" i="46"/>
  <c r="J33" i="46"/>
  <c r="J20" i="46"/>
  <c r="J21" i="46"/>
  <c r="J22" i="46"/>
  <c r="J23" i="46"/>
  <c r="J24" i="46"/>
  <c r="J25" i="46"/>
  <c r="J26" i="46"/>
  <c r="J27" i="46"/>
  <c r="J28" i="46"/>
  <c r="J29" i="46"/>
  <c r="J30" i="46"/>
  <c r="J31" i="46"/>
  <c r="J32" i="46"/>
  <c r="J19" i="46"/>
  <c r="L17" i="46"/>
  <c r="K17" i="46"/>
  <c r="J17" i="46"/>
  <c r="D29" i="19"/>
  <c r="D30" i="19"/>
  <c r="D31" i="19"/>
  <c r="D32" i="19"/>
  <c r="D33" i="19"/>
  <c r="D34" i="19"/>
  <c r="D35" i="19"/>
  <c r="D36" i="19"/>
  <c r="D37" i="19"/>
  <c r="D38" i="19"/>
  <c r="D39" i="19"/>
  <c r="D40" i="19"/>
  <c r="D41" i="19"/>
  <c r="D42" i="19"/>
  <c r="E28" i="19"/>
  <c r="C28" i="19"/>
  <c r="D28" i="19"/>
  <c r="C29" i="19"/>
  <c r="C30" i="19"/>
  <c r="C31" i="19"/>
  <c r="C32" i="19"/>
  <c r="C33" i="19"/>
  <c r="C34" i="19"/>
  <c r="C35" i="19"/>
  <c r="C36" i="19"/>
  <c r="C37" i="19"/>
  <c r="C38" i="19"/>
  <c r="C39" i="19"/>
  <c r="C40" i="19"/>
  <c r="C41" i="19"/>
  <c r="C42" i="19"/>
  <c r="B29" i="19"/>
  <c r="B30" i="19"/>
  <c r="B31" i="19"/>
  <c r="B32" i="19"/>
  <c r="B33" i="19"/>
  <c r="B34" i="19"/>
  <c r="B35" i="19"/>
  <c r="B36" i="19"/>
  <c r="B37" i="19"/>
  <c r="B38" i="19"/>
  <c r="B39" i="19"/>
  <c r="B40" i="19"/>
  <c r="B41" i="19"/>
  <c r="B42" i="19"/>
  <c r="B28" i="19"/>
  <c r="J13" i="19"/>
  <c r="J12" i="19"/>
  <c r="J11" i="19"/>
  <c r="H13" i="19"/>
  <c r="H12" i="19"/>
  <c r="H11" i="19"/>
  <c r="G13" i="19"/>
  <c r="G12" i="19"/>
  <c r="G11" i="19"/>
  <c r="F13" i="19"/>
  <c r="F12" i="19"/>
  <c r="F11" i="19"/>
  <c r="E13" i="19"/>
  <c r="D13" i="19" s="1"/>
  <c r="E12" i="19"/>
  <c r="D12" i="19" s="1"/>
  <c r="E11" i="19"/>
  <c r="D11" i="19" s="1"/>
  <c r="C13" i="19"/>
  <c r="C12" i="19"/>
  <c r="C11" i="19"/>
  <c r="C85" i="19"/>
  <c r="D85" i="19"/>
  <c r="E85" i="19"/>
  <c r="J52" i="36"/>
  <c r="K52" i="36"/>
  <c r="L52" i="36"/>
  <c r="M52" i="36"/>
  <c r="N52" i="36"/>
  <c r="O52" i="36"/>
  <c r="P52" i="36"/>
  <c r="C15" i="36" s="1"/>
  <c r="I52" i="36"/>
  <c r="I51" i="36"/>
  <c r="F14" i="36" s="1"/>
  <c r="J51" i="36"/>
  <c r="K51" i="36"/>
  <c r="L51" i="36"/>
  <c r="M51" i="36"/>
  <c r="N51" i="36"/>
  <c r="O51" i="36"/>
  <c r="P51" i="36"/>
  <c r="C14" i="36" s="1"/>
  <c r="I53" i="36"/>
  <c r="F16" i="36" s="1"/>
  <c r="J53" i="36"/>
  <c r="K53" i="36"/>
  <c r="L53" i="36"/>
  <c r="M53" i="36"/>
  <c r="N53" i="36"/>
  <c r="O53" i="36"/>
  <c r="P53" i="36"/>
  <c r="H16" i="36" s="1"/>
  <c r="I54" i="36"/>
  <c r="F17" i="36" s="1"/>
  <c r="J54" i="36"/>
  <c r="K54" i="36"/>
  <c r="L54" i="36"/>
  <c r="M54" i="36"/>
  <c r="N54" i="36"/>
  <c r="O54" i="36"/>
  <c r="P54" i="36"/>
  <c r="C17" i="36" s="1"/>
  <c r="I55" i="36"/>
  <c r="J55" i="36"/>
  <c r="K55" i="36"/>
  <c r="L55" i="36"/>
  <c r="M55" i="36"/>
  <c r="N55" i="36"/>
  <c r="O55" i="36"/>
  <c r="P55" i="36"/>
  <c r="H18" i="36" s="1"/>
  <c r="I56" i="36"/>
  <c r="F19" i="36" s="1"/>
  <c r="J56" i="36"/>
  <c r="D33" i="36" s="1"/>
  <c r="K56" i="36"/>
  <c r="E33" i="36" s="1"/>
  <c r="L56" i="36"/>
  <c r="F33" i="36" s="1"/>
  <c r="M56" i="36"/>
  <c r="G33" i="36" s="1"/>
  <c r="N56" i="36"/>
  <c r="H33" i="36" s="1"/>
  <c r="O56" i="36"/>
  <c r="I33" i="36" s="1"/>
  <c r="P56" i="36"/>
  <c r="J33" i="36" s="1"/>
  <c r="I58" i="36"/>
  <c r="J58" i="36"/>
  <c r="K58" i="36"/>
  <c r="L58" i="36"/>
  <c r="M58" i="36"/>
  <c r="N58" i="36"/>
  <c r="O58" i="36"/>
  <c r="P58" i="36"/>
  <c r="I59" i="36"/>
  <c r="J59" i="36"/>
  <c r="K59" i="36"/>
  <c r="L59" i="36"/>
  <c r="M59" i="36"/>
  <c r="N59" i="36"/>
  <c r="O59" i="36"/>
  <c r="P59" i="36"/>
  <c r="I60" i="36"/>
  <c r="J60" i="36"/>
  <c r="K60" i="36"/>
  <c r="L60" i="36"/>
  <c r="M60" i="36"/>
  <c r="N60" i="36"/>
  <c r="O60" i="36"/>
  <c r="P60" i="36"/>
  <c r="I61" i="36"/>
  <c r="J61" i="36"/>
  <c r="K61" i="36"/>
  <c r="L61" i="36"/>
  <c r="M61" i="36"/>
  <c r="N61" i="36"/>
  <c r="O61" i="36"/>
  <c r="P61" i="36"/>
  <c r="I62" i="36"/>
  <c r="J62" i="36"/>
  <c r="K62" i="36"/>
  <c r="L62" i="36"/>
  <c r="M62" i="36"/>
  <c r="N62" i="36"/>
  <c r="O62" i="36"/>
  <c r="P62" i="36"/>
  <c r="I63" i="36"/>
  <c r="J63" i="36"/>
  <c r="K63" i="36"/>
  <c r="L63" i="36"/>
  <c r="M63" i="36"/>
  <c r="N63" i="36"/>
  <c r="O63" i="36"/>
  <c r="P63" i="36"/>
  <c r="I64" i="36"/>
  <c r="J64" i="36"/>
  <c r="K64" i="36"/>
  <c r="L64" i="36"/>
  <c r="M64" i="36"/>
  <c r="N64" i="36"/>
  <c r="O64" i="36"/>
  <c r="P64" i="36"/>
  <c r="I65" i="36"/>
  <c r="J65" i="36"/>
  <c r="K65" i="36"/>
  <c r="L65" i="36"/>
  <c r="M65" i="36"/>
  <c r="N65" i="36"/>
  <c r="O65" i="36"/>
  <c r="P65" i="36"/>
  <c r="I66" i="36"/>
  <c r="J66" i="36"/>
  <c r="K66" i="36"/>
  <c r="L66" i="36"/>
  <c r="M66" i="36"/>
  <c r="N66" i="36"/>
  <c r="O66" i="36"/>
  <c r="P66" i="36"/>
  <c r="I67" i="36"/>
  <c r="J67" i="36"/>
  <c r="K67" i="36"/>
  <c r="L67" i="36"/>
  <c r="M67" i="36"/>
  <c r="N67" i="36"/>
  <c r="O67" i="36"/>
  <c r="P67" i="36"/>
  <c r="J50" i="36"/>
  <c r="K50" i="36"/>
  <c r="L50" i="36"/>
  <c r="M50" i="36"/>
  <c r="N50" i="36"/>
  <c r="O50" i="36"/>
  <c r="P50" i="36"/>
  <c r="J27" i="36" s="1"/>
  <c r="I50" i="36"/>
  <c r="F13" i="36" s="1"/>
  <c r="Q22" i="39"/>
  <c r="B38" i="9"/>
  <c r="B39" i="9"/>
  <c r="B40" i="9"/>
  <c r="B41" i="9"/>
  <c r="M32" i="46" l="1"/>
  <c r="M31" i="46"/>
  <c r="M27" i="46"/>
  <c r="M23" i="46"/>
  <c r="G41" i="19"/>
  <c r="K69" i="19"/>
  <c r="G29" i="19"/>
  <c r="K57" i="19"/>
  <c r="M22" i="46"/>
  <c r="G40" i="19"/>
  <c r="K68" i="19"/>
  <c r="G36" i="19"/>
  <c r="K64" i="19"/>
  <c r="G32" i="19"/>
  <c r="K60" i="19"/>
  <c r="G37" i="19"/>
  <c r="K65" i="19"/>
  <c r="G33" i="19"/>
  <c r="K61" i="19"/>
  <c r="M21" i="46"/>
  <c r="G39" i="19"/>
  <c r="K67" i="19"/>
  <c r="G35" i="19"/>
  <c r="K63" i="19"/>
  <c r="G31" i="19"/>
  <c r="K59" i="19"/>
  <c r="M24" i="46"/>
  <c r="M20" i="46"/>
  <c r="C14" i="19"/>
  <c r="G42" i="19"/>
  <c r="K70" i="19"/>
  <c r="G38" i="19"/>
  <c r="K66" i="19"/>
  <c r="G34" i="19"/>
  <c r="K62" i="19"/>
  <c r="G30" i="19"/>
  <c r="K58" i="19"/>
  <c r="H19" i="36"/>
  <c r="M30" i="46"/>
  <c r="M29" i="46"/>
  <c r="D17" i="36"/>
  <c r="M33" i="46"/>
  <c r="L68" i="36"/>
  <c r="M28" i="46"/>
  <c r="E18" i="36"/>
  <c r="N68" i="36"/>
  <c r="M68" i="36"/>
  <c r="M26" i="46"/>
  <c r="O68" i="36"/>
  <c r="K68" i="36"/>
  <c r="M25" i="46"/>
  <c r="F14" i="19"/>
  <c r="G14" i="19"/>
  <c r="I68" i="36"/>
  <c r="E14" i="19"/>
  <c r="D14" i="19" s="1"/>
  <c r="J68" i="36"/>
  <c r="J57" i="36"/>
  <c r="D34" i="36" s="1"/>
  <c r="P68" i="36"/>
  <c r="I57" i="36"/>
  <c r="C34" i="36" s="1"/>
  <c r="E17" i="36"/>
  <c r="E16" i="36"/>
  <c r="F18" i="36"/>
  <c r="D16" i="36"/>
  <c r="O57" i="36"/>
  <c r="I34" i="36" s="1"/>
  <c r="N57" i="36"/>
  <c r="H34" i="36" s="1"/>
  <c r="M57" i="36"/>
  <c r="G34" i="36" s="1"/>
  <c r="L57" i="36"/>
  <c r="F34" i="36" s="1"/>
  <c r="K57" i="36"/>
  <c r="E34" i="36" s="1"/>
  <c r="D18" i="36"/>
  <c r="D19" i="36"/>
  <c r="P57" i="36"/>
  <c r="D15" i="36"/>
  <c r="D14" i="36"/>
  <c r="E13" i="36"/>
  <c r="E19" i="36"/>
  <c r="F15" i="36"/>
  <c r="D13" i="36"/>
  <c r="E15" i="36"/>
  <c r="E14" i="36"/>
  <c r="H15" i="36"/>
  <c r="H14" i="36"/>
  <c r="C16" i="36"/>
  <c r="H17" i="36"/>
  <c r="C19" i="36"/>
  <c r="C18" i="36"/>
  <c r="H13" i="36"/>
  <c r="C13" i="36"/>
  <c r="C39" i="9"/>
  <c r="D39" i="9"/>
  <c r="E39" i="9"/>
  <c r="F39" i="9"/>
  <c r="H39" i="9"/>
  <c r="C40" i="9"/>
  <c r="D40" i="9"/>
  <c r="E40" i="9"/>
  <c r="F40" i="9"/>
  <c r="H40" i="9"/>
  <c r="C41" i="9"/>
  <c r="D41" i="9"/>
  <c r="E41" i="9"/>
  <c r="F41" i="9"/>
  <c r="H41" i="9"/>
  <c r="H35" i="9"/>
  <c r="H36" i="9"/>
  <c r="C35" i="9"/>
  <c r="D35" i="9"/>
  <c r="E35" i="9"/>
  <c r="F35" i="9"/>
  <c r="C36" i="9"/>
  <c r="D36" i="9"/>
  <c r="E36" i="9"/>
  <c r="F36" i="9"/>
  <c r="C37" i="9"/>
  <c r="D37" i="9"/>
  <c r="E37" i="9"/>
  <c r="F37" i="9"/>
  <c r="H37" i="9"/>
  <c r="C32" i="41"/>
  <c r="D32" i="41"/>
  <c r="E32" i="41"/>
  <c r="J55" i="41"/>
  <c r="D33" i="41" s="1"/>
  <c r="K61" i="41"/>
  <c r="E33" i="41" s="1"/>
  <c r="L61" i="41"/>
  <c r="F33" i="41" s="1"/>
  <c r="M61" i="41"/>
  <c r="G33" i="41" s="1"/>
  <c r="N61" i="41"/>
  <c r="H33" i="41" s="1"/>
  <c r="O61" i="41"/>
  <c r="I33" i="41" s="1"/>
  <c r="P61" i="41"/>
  <c r="J56" i="41"/>
  <c r="D34" i="41" s="1"/>
  <c r="K62" i="41"/>
  <c r="E34" i="41" s="1"/>
  <c r="L62" i="41"/>
  <c r="F34" i="41" s="1"/>
  <c r="M62" i="41"/>
  <c r="G34" i="41" s="1"/>
  <c r="N62" i="41"/>
  <c r="H34" i="41" s="1"/>
  <c r="O62" i="41"/>
  <c r="I34" i="41" s="1"/>
  <c r="P62" i="41"/>
  <c r="J22" i="41" s="1"/>
  <c r="J57" i="41"/>
  <c r="D35" i="41" s="1"/>
  <c r="K63" i="41"/>
  <c r="E35" i="41" s="1"/>
  <c r="L63" i="41"/>
  <c r="F35" i="41" s="1"/>
  <c r="M63" i="41"/>
  <c r="G35" i="41" s="1"/>
  <c r="N63" i="41"/>
  <c r="H35" i="41" s="1"/>
  <c r="O63" i="41"/>
  <c r="I35" i="41" s="1"/>
  <c r="P63" i="41"/>
  <c r="J23" i="41" s="1"/>
  <c r="J58" i="41"/>
  <c r="D36" i="41" s="1"/>
  <c r="K64" i="41"/>
  <c r="E36" i="41" s="1"/>
  <c r="L64" i="41"/>
  <c r="F36" i="41" s="1"/>
  <c r="M64" i="41"/>
  <c r="G36" i="41" s="1"/>
  <c r="N64" i="41"/>
  <c r="H36" i="41" s="1"/>
  <c r="O64" i="41"/>
  <c r="I36" i="41" s="1"/>
  <c r="P64" i="41"/>
  <c r="J24" i="41" s="1"/>
  <c r="J59" i="41"/>
  <c r="D37" i="41" s="1"/>
  <c r="K65" i="41"/>
  <c r="E37" i="41" s="1"/>
  <c r="L65" i="41"/>
  <c r="F37" i="41" s="1"/>
  <c r="M65" i="41"/>
  <c r="G37" i="41" s="1"/>
  <c r="N65" i="41"/>
  <c r="H37" i="41" s="1"/>
  <c r="O65" i="41"/>
  <c r="I37" i="41" s="1"/>
  <c r="P65" i="41"/>
  <c r="J25" i="41" s="1"/>
  <c r="J60" i="41"/>
  <c r="D38" i="41" s="1"/>
  <c r="K66" i="41"/>
  <c r="E38" i="41" s="1"/>
  <c r="L66" i="41"/>
  <c r="F38" i="41" s="1"/>
  <c r="M66" i="41"/>
  <c r="G38" i="41" s="1"/>
  <c r="N66" i="41"/>
  <c r="H38" i="41" s="1"/>
  <c r="O66" i="41"/>
  <c r="I38" i="41" s="1"/>
  <c r="P66" i="41"/>
  <c r="J26" i="41" s="1"/>
  <c r="J61" i="41"/>
  <c r="D39" i="41" s="1"/>
  <c r="K67" i="41"/>
  <c r="E39" i="41" s="1"/>
  <c r="L67" i="41"/>
  <c r="F39" i="41" s="1"/>
  <c r="G39" i="41"/>
  <c r="H39" i="41"/>
  <c r="I39" i="41"/>
  <c r="J27" i="41"/>
  <c r="I56" i="41"/>
  <c r="H22" i="41" s="1"/>
  <c r="I57" i="41"/>
  <c r="H23" i="41" s="1"/>
  <c r="I58" i="41"/>
  <c r="H24" i="41" s="1"/>
  <c r="I59" i="41"/>
  <c r="H25" i="41" s="1"/>
  <c r="I60" i="41"/>
  <c r="H26" i="41" s="1"/>
  <c r="I61" i="41"/>
  <c r="H27" i="41" s="1"/>
  <c r="I55" i="41"/>
  <c r="H21" i="41" s="1"/>
  <c r="J21" i="41" l="1"/>
  <c r="J28" i="41"/>
  <c r="F21" i="36"/>
  <c r="C21" i="36"/>
  <c r="I17" i="36" s="1"/>
  <c r="H21" i="36"/>
  <c r="J34" i="36"/>
  <c r="F28" i="9"/>
  <c r="F27" i="9"/>
  <c r="F23" i="9"/>
  <c r="F24" i="9"/>
  <c r="F26" i="9"/>
  <c r="F22" i="9"/>
  <c r="J33" i="41"/>
  <c r="J37" i="41"/>
  <c r="C33" i="41"/>
  <c r="C37" i="41"/>
  <c r="C39" i="41"/>
  <c r="J36" i="41"/>
  <c r="C36" i="41"/>
  <c r="C38" i="41"/>
  <c r="J35" i="41"/>
  <c r="J39" i="41"/>
  <c r="C35" i="41"/>
  <c r="J34" i="41"/>
  <c r="C34" i="41"/>
  <c r="J38" i="41"/>
  <c r="C26" i="41"/>
  <c r="C25" i="41"/>
  <c r="D21" i="41"/>
  <c r="E21" i="41" s="1"/>
  <c r="C21" i="41"/>
  <c r="D25" i="41"/>
  <c r="E25" i="41" s="1"/>
  <c r="G25" i="41"/>
  <c r="G24" i="41"/>
  <c r="F21" i="41"/>
  <c r="G23" i="41"/>
  <c r="F27" i="41"/>
  <c r="F26" i="41"/>
  <c r="F23" i="41"/>
  <c r="G21" i="41"/>
  <c r="G27" i="41"/>
  <c r="G26" i="41"/>
  <c r="F25" i="41"/>
  <c r="F24" i="41"/>
  <c r="C27" i="41"/>
  <c r="C22" i="41"/>
  <c r="C24" i="41"/>
  <c r="C23" i="41"/>
  <c r="D27" i="41"/>
  <c r="E27" i="41" s="1"/>
  <c r="D26" i="41"/>
  <c r="E26" i="41" s="1"/>
  <c r="D24" i="41"/>
  <c r="E24" i="41" s="1"/>
  <c r="D23" i="41"/>
  <c r="E23" i="41" s="1"/>
  <c r="D22" i="41"/>
  <c r="E22" i="41" s="1"/>
  <c r="C12" i="23"/>
  <c r="H13" i="41"/>
  <c r="H10" i="41"/>
  <c r="G11" i="41"/>
  <c r="G12" i="41"/>
  <c r="G10" i="41"/>
  <c r="F11" i="41"/>
  <c r="F12" i="41"/>
  <c r="F10" i="41"/>
  <c r="D11" i="41"/>
  <c r="E11" i="41" s="1"/>
  <c r="D12" i="41"/>
  <c r="E12" i="41" s="1"/>
  <c r="D10" i="41"/>
  <c r="E10" i="41" s="1"/>
  <c r="C11" i="41"/>
  <c r="C12" i="41"/>
  <c r="G33" i="9"/>
  <c r="H33" i="9"/>
  <c r="I33" i="9"/>
  <c r="J33" i="9"/>
  <c r="K33" i="9"/>
  <c r="G37" i="9"/>
  <c r="B43" i="9"/>
  <c r="B34" i="9"/>
  <c r="B35" i="9"/>
  <c r="B36" i="9"/>
  <c r="B37" i="9"/>
  <c r="B27" i="36"/>
  <c r="C25" i="36"/>
  <c r="D25" i="36"/>
  <c r="E25" i="36"/>
  <c r="F25" i="36"/>
  <c r="G25" i="36"/>
  <c r="H25" i="36"/>
  <c r="I25" i="36"/>
  <c r="J25" i="36"/>
  <c r="C27" i="36"/>
  <c r="D27" i="36"/>
  <c r="E27" i="36"/>
  <c r="F27" i="36"/>
  <c r="G27" i="36"/>
  <c r="H27" i="36"/>
  <c r="I27" i="36"/>
  <c r="C28" i="36"/>
  <c r="D28" i="36"/>
  <c r="E28" i="36"/>
  <c r="F28" i="36"/>
  <c r="G28" i="36"/>
  <c r="H28" i="36"/>
  <c r="I28" i="36"/>
  <c r="J28" i="36"/>
  <c r="F29" i="36"/>
  <c r="G29" i="36"/>
  <c r="H29" i="36"/>
  <c r="J29" i="36"/>
  <c r="C30" i="36"/>
  <c r="D30" i="36"/>
  <c r="E30" i="36"/>
  <c r="F30" i="36"/>
  <c r="G30" i="36"/>
  <c r="H30" i="36"/>
  <c r="I30" i="36"/>
  <c r="J30" i="36"/>
  <c r="C31" i="36"/>
  <c r="D31" i="36"/>
  <c r="E31" i="36"/>
  <c r="F31" i="36"/>
  <c r="G31" i="36"/>
  <c r="H31" i="36"/>
  <c r="I31" i="36"/>
  <c r="J31" i="36"/>
  <c r="C32" i="36"/>
  <c r="D32" i="36"/>
  <c r="E32" i="36"/>
  <c r="F32" i="36"/>
  <c r="G32" i="36"/>
  <c r="H32" i="36"/>
  <c r="I32" i="36"/>
  <c r="J32" i="36"/>
  <c r="C36" i="36"/>
  <c r="D36" i="36"/>
  <c r="E36" i="36"/>
  <c r="F36" i="36"/>
  <c r="G36" i="36"/>
  <c r="H36" i="36"/>
  <c r="I36" i="36"/>
  <c r="J36" i="36"/>
  <c r="C37" i="36"/>
  <c r="D37" i="36"/>
  <c r="E37" i="36"/>
  <c r="F37" i="36"/>
  <c r="G37" i="36"/>
  <c r="H37" i="36"/>
  <c r="I37" i="36"/>
  <c r="J37" i="36"/>
  <c r="C38" i="36"/>
  <c r="D38" i="36"/>
  <c r="E38" i="36"/>
  <c r="C39" i="36"/>
  <c r="D39" i="36"/>
  <c r="E39" i="36"/>
  <c r="F39" i="36"/>
  <c r="G39" i="36"/>
  <c r="H39" i="36"/>
  <c r="I39" i="36"/>
  <c r="J39" i="36"/>
  <c r="C40" i="36"/>
  <c r="D40" i="36"/>
  <c r="E40" i="36"/>
  <c r="F40" i="36"/>
  <c r="G40" i="36"/>
  <c r="H40" i="36"/>
  <c r="I40" i="36"/>
  <c r="J40" i="36"/>
  <c r="C41" i="36"/>
  <c r="D41" i="36"/>
  <c r="E41" i="36"/>
  <c r="F41" i="36"/>
  <c r="G41" i="36"/>
  <c r="H41" i="36"/>
  <c r="I41" i="36"/>
  <c r="J41" i="36"/>
  <c r="C42" i="36"/>
  <c r="D42" i="36"/>
  <c r="E42" i="36"/>
  <c r="F42" i="36"/>
  <c r="G42" i="36"/>
  <c r="H42" i="36"/>
  <c r="I42" i="36"/>
  <c r="J42" i="36"/>
  <c r="B26" i="36"/>
  <c r="B28" i="36"/>
  <c r="B30" i="36"/>
  <c r="B31" i="36"/>
  <c r="B32" i="36"/>
  <c r="B33" i="36"/>
  <c r="B34" i="36"/>
  <c r="B36" i="36"/>
  <c r="B37" i="36"/>
  <c r="B38" i="36"/>
  <c r="B40" i="36"/>
  <c r="B41" i="36"/>
  <c r="B42" i="36"/>
  <c r="B43" i="36"/>
  <c r="B53" i="36"/>
  <c r="B29" i="36" s="1"/>
  <c r="C33" i="36"/>
  <c r="B63" i="36"/>
  <c r="B39" i="36" s="1"/>
  <c r="F38" i="36"/>
  <c r="G38" i="36"/>
  <c r="H38" i="36"/>
  <c r="I38" i="36"/>
  <c r="J38" i="36"/>
  <c r="C28" i="41" l="1"/>
  <c r="J40" i="41"/>
  <c r="I19" i="36"/>
  <c r="I18" i="36"/>
  <c r="I16" i="36"/>
  <c r="I29" i="36"/>
  <c r="E29" i="36"/>
  <c r="C29" i="36"/>
  <c r="D29" i="36"/>
  <c r="E58" i="12"/>
  <c r="F58" i="12"/>
  <c r="G58" i="12"/>
  <c r="H58" i="12"/>
  <c r="I58" i="12"/>
  <c r="E59" i="12"/>
  <c r="F59" i="12"/>
  <c r="G59" i="12"/>
  <c r="H59" i="12"/>
  <c r="I59" i="12"/>
  <c r="E60" i="12"/>
  <c r="F60" i="12"/>
  <c r="G60" i="12"/>
  <c r="H60" i="12"/>
  <c r="I60" i="12"/>
  <c r="C41" i="12" s="1"/>
  <c r="E61" i="12"/>
  <c r="F61" i="12"/>
  <c r="G61" i="12"/>
  <c r="H61" i="12"/>
  <c r="I61" i="12"/>
  <c r="C42" i="12" s="1"/>
  <c r="E62" i="12"/>
  <c r="F62" i="12"/>
  <c r="G62" i="12"/>
  <c r="H62" i="12"/>
  <c r="I62" i="12"/>
  <c r="C43" i="12" s="1"/>
  <c r="E63" i="12"/>
  <c r="F63" i="12"/>
  <c r="G63" i="12"/>
  <c r="H63" i="12"/>
  <c r="I63" i="12"/>
  <c r="C44" i="12" s="1"/>
  <c r="E64" i="12"/>
  <c r="F64" i="12"/>
  <c r="G64" i="12"/>
  <c r="H64" i="12"/>
  <c r="I64" i="12"/>
  <c r="C45" i="12" s="1"/>
  <c r="E65" i="12"/>
  <c r="F65" i="12"/>
  <c r="G65" i="12"/>
  <c r="H65" i="12"/>
  <c r="I65" i="12"/>
  <c r="C46" i="12" s="1"/>
  <c r="E66" i="12"/>
  <c r="F66" i="12"/>
  <c r="G66" i="12"/>
  <c r="H66" i="12"/>
  <c r="I66" i="12"/>
  <c r="C47" i="12" s="1"/>
  <c r="W19" i="6"/>
  <c r="W4" i="6"/>
  <c r="X6" i="6"/>
  <c r="X7" i="6"/>
  <c r="X8" i="6"/>
  <c r="X9" i="6"/>
  <c r="X10" i="6"/>
  <c r="X11" i="6"/>
  <c r="X12" i="6"/>
  <c r="X13" i="6"/>
  <c r="X5" i="6"/>
  <c r="X4" i="6"/>
  <c r="X21" i="6"/>
  <c r="X22" i="6"/>
  <c r="X23" i="6"/>
  <c r="X24" i="6"/>
  <c r="X25" i="6"/>
  <c r="X26" i="6"/>
  <c r="X27" i="6"/>
  <c r="X20" i="6"/>
  <c r="X19" i="6"/>
  <c r="T19" i="6"/>
  <c r="J43" i="36"/>
  <c r="G21" i="21"/>
  <c r="G20" i="21"/>
  <c r="G19" i="21"/>
  <c r="H31" i="12" l="1"/>
  <c r="H29" i="12"/>
  <c r="H27" i="12"/>
  <c r="H25" i="12"/>
  <c r="C40" i="12"/>
  <c r="H32" i="12"/>
  <c r="H30" i="12"/>
  <c r="H28" i="12"/>
  <c r="H26" i="12"/>
  <c r="H24" i="12"/>
  <c r="C39" i="12"/>
  <c r="K14" i="36"/>
  <c r="K16" i="36"/>
  <c r="K13" i="36"/>
  <c r="K18" i="36"/>
  <c r="K17" i="36"/>
  <c r="K19" i="36"/>
  <c r="I13" i="36"/>
  <c r="I14" i="36"/>
  <c r="I15" i="36"/>
  <c r="C84" i="19"/>
  <c r="K9" i="31"/>
  <c r="G21" i="42"/>
  <c r="B11" i="42"/>
  <c r="B25" i="42" s="1"/>
  <c r="C11" i="42"/>
  <c r="C25" i="42" s="1"/>
  <c r="D11" i="42"/>
  <c r="D25" i="42" s="1"/>
  <c r="E11" i="42"/>
  <c r="E25" i="42" s="1"/>
  <c r="F11" i="42"/>
  <c r="F25" i="42" s="1"/>
  <c r="G11" i="42"/>
  <c r="G25" i="42" s="1"/>
  <c r="J29" i="9" l="1"/>
  <c r="J28" i="9"/>
  <c r="J27" i="9"/>
  <c r="J26" i="9"/>
  <c r="J25" i="9"/>
  <c r="J24" i="9"/>
  <c r="J23" i="9"/>
  <c r="J22" i="9"/>
  <c r="J21" i="9"/>
  <c r="G41" i="9"/>
  <c r="G40" i="9"/>
  <c r="G39" i="9"/>
  <c r="G36" i="9"/>
  <c r="G35" i="9"/>
  <c r="P53" i="41"/>
  <c r="P58" i="12"/>
  <c r="P59" i="12"/>
  <c r="K40" i="12" s="1"/>
  <c r="P60" i="12"/>
  <c r="K41" i="12" s="1"/>
  <c r="P61" i="12"/>
  <c r="K42" i="12" s="1"/>
  <c r="P62" i="12"/>
  <c r="K43" i="12" s="1"/>
  <c r="P63" i="12"/>
  <c r="P64" i="12"/>
  <c r="K45" i="12" s="1"/>
  <c r="P65" i="12"/>
  <c r="K46" i="12" s="1"/>
  <c r="P66" i="12"/>
  <c r="K47" i="12" s="1"/>
  <c r="J56" i="11"/>
  <c r="K56" i="11"/>
  <c r="J57" i="11"/>
  <c r="K57" i="11"/>
  <c r="J58" i="11"/>
  <c r="K58" i="11"/>
  <c r="J59" i="11"/>
  <c r="K59" i="11"/>
  <c r="J60" i="11"/>
  <c r="K60" i="11"/>
  <c r="J61" i="11"/>
  <c r="K61" i="11"/>
  <c r="I56" i="11"/>
  <c r="I57" i="11"/>
  <c r="I58" i="11"/>
  <c r="I59" i="11"/>
  <c r="I60" i="11"/>
  <c r="I61" i="11"/>
  <c r="D30" i="11"/>
  <c r="E30" i="11"/>
  <c r="F30" i="11"/>
  <c r="C30" i="11"/>
  <c r="D54" i="11"/>
  <c r="E54" i="11"/>
  <c r="F54" i="11"/>
  <c r="D55" i="11"/>
  <c r="E55" i="11"/>
  <c r="F55" i="11"/>
  <c r="D56" i="11"/>
  <c r="E56" i="11"/>
  <c r="F56" i="11"/>
  <c r="D57" i="11"/>
  <c r="E57" i="11"/>
  <c r="D58" i="11"/>
  <c r="E58" i="11"/>
  <c r="D59" i="11"/>
  <c r="C54" i="11"/>
  <c r="C55" i="11"/>
  <c r="C56" i="11"/>
  <c r="C57" i="11"/>
  <c r="C58" i="11"/>
  <c r="C59" i="11"/>
  <c r="H13" i="13"/>
  <c r="H14" i="13"/>
  <c r="H15" i="13"/>
  <c r="F57" i="11" s="1"/>
  <c r="H16" i="13"/>
  <c r="F58" i="11" s="1"/>
  <c r="H17" i="13"/>
  <c r="F59" i="11" s="1"/>
  <c r="H12" i="13"/>
  <c r="C29" i="12" l="1"/>
  <c r="K44" i="12"/>
  <c r="J31" i="12"/>
  <c r="J29" i="12"/>
  <c r="J27" i="12"/>
  <c r="J25" i="12"/>
  <c r="J32" i="12"/>
  <c r="J30" i="12"/>
  <c r="J28" i="12"/>
  <c r="J26" i="12"/>
  <c r="J24" i="12"/>
  <c r="K39" i="12"/>
  <c r="J14" i="12"/>
  <c r="P21" i="9"/>
  <c r="P22" i="9"/>
  <c r="P23" i="9"/>
  <c r="P24" i="9"/>
  <c r="P25" i="9"/>
  <c r="P26" i="9"/>
  <c r="P27" i="9"/>
  <c r="P28" i="9"/>
  <c r="P29" i="9"/>
  <c r="C25" i="12"/>
  <c r="C28" i="12"/>
  <c r="C26" i="12"/>
  <c r="C27" i="12"/>
  <c r="C76" i="12"/>
  <c r="C31" i="12"/>
  <c r="C24" i="12"/>
  <c r="C77" i="12"/>
  <c r="C32" i="12"/>
  <c r="C75" i="12"/>
  <c r="C30" i="12"/>
  <c r="C72" i="12"/>
  <c r="C70" i="12"/>
  <c r="C73" i="12"/>
  <c r="C74" i="12"/>
  <c r="C71" i="12"/>
  <c r="C69" i="12"/>
  <c r="F43" i="9"/>
  <c r="H43" i="9"/>
  <c r="D43" i="9"/>
  <c r="G43" i="9"/>
  <c r="C43" i="9"/>
  <c r="E43" i="9"/>
  <c r="I130" i="13"/>
  <c r="J130" i="13"/>
  <c r="K130" i="13"/>
  <c r="L130" i="13"/>
  <c r="I131" i="13"/>
  <c r="J131" i="13"/>
  <c r="K131" i="13"/>
  <c r="I132" i="13"/>
  <c r="J132" i="13"/>
  <c r="K132" i="13"/>
  <c r="L30" i="11"/>
  <c r="F41" i="11" s="1"/>
  <c r="L132" i="13" l="1"/>
  <c r="J30" i="11"/>
  <c r="D41" i="11" s="1"/>
  <c r="M13" i="11"/>
  <c r="I30" i="11"/>
  <c r="C41" i="11" s="1"/>
  <c r="M12" i="11"/>
  <c r="K30" i="11"/>
  <c r="E41" i="11" s="1"/>
  <c r="M14" i="11"/>
  <c r="L131" i="13"/>
  <c r="J74" i="24"/>
  <c r="I77" i="24"/>
  <c r="I76" i="24"/>
  <c r="I75" i="24"/>
  <c r="G73" i="24"/>
  <c r="J73" i="24" s="1"/>
  <c r="G72" i="24"/>
  <c r="J72" i="24" s="1"/>
  <c r="G23" i="24"/>
  <c r="F74" i="24"/>
  <c r="F75" i="24"/>
  <c r="G75" i="24"/>
  <c r="F76" i="24"/>
  <c r="G76" i="24"/>
  <c r="G77" i="24"/>
  <c r="F77" i="24"/>
  <c r="J22" i="24" l="1"/>
  <c r="G24" i="24"/>
  <c r="J24" i="24" s="1"/>
  <c r="J92" i="24"/>
  <c r="J94" i="24"/>
  <c r="G93" i="24"/>
  <c r="J93" i="24" s="1"/>
  <c r="J11" i="24"/>
  <c r="J13" i="24"/>
  <c r="G12" i="24"/>
  <c r="J12" i="24" s="1"/>
  <c r="J102" i="24"/>
  <c r="G103" i="24"/>
  <c r="J103" i="24" s="1"/>
  <c r="J104" i="24"/>
  <c r="G113" i="24"/>
  <c r="J113" i="24" s="1"/>
  <c r="G112" i="24"/>
  <c r="J112" i="24" s="1"/>
  <c r="J114" i="24"/>
  <c r="J124" i="24"/>
  <c r="J134" i="24"/>
  <c r="J131" i="24"/>
  <c r="J132" i="24"/>
  <c r="J133" i="24"/>
  <c r="J84" i="24"/>
  <c r="J81" i="24"/>
  <c r="J82" i="24"/>
  <c r="J83" i="24"/>
  <c r="J64" i="24"/>
  <c r="J23" i="24" l="1"/>
  <c r="J41" i="9" l="1"/>
  <c r="J36" i="9"/>
  <c r="J37" i="9"/>
  <c r="J35" i="9"/>
  <c r="N37" i="24"/>
  <c r="J117" i="24"/>
  <c r="H34" i="24"/>
  <c r="G34" i="24" s="1"/>
  <c r="G33" i="24"/>
  <c r="G32" i="24"/>
  <c r="G35" i="24"/>
  <c r="G36" i="24"/>
  <c r="G37" i="24"/>
  <c r="G31" i="24"/>
  <c r="I35" i="9" l="1"/>
  <c r="D22" i="9"/>
  <c r="E22" i="9"/>
  <c r="H22" i="9"/>
  <c r="K35" i="9"/>
  <c r="K36" i="9"/>
  <c r="H23" i="9"/>
  <c r="J40" i="9"/>
  <c r="D27" i="9"/>
  <c r="E27" i="9"/>
  <c r="K37" i="9"/>
  <c r="H24" i="9"/>
  <c r="E23" i="9"/>
  <c r="D23" i="9"/>
  <c r="D28" i="9"/>
  <c r="E28" i="9"/>
  <c r="K39" i="9"/>
  <c r="H26" i="9"/>
  <c r="E24" i="9"/>
  <c r="D24" i="9"/>
  <c r="K41" i="9"/>
  <c r="H28" i="9"/>
  <c r="K40" i="9"/>
  <c r="H27" i="9"/>
  <c r="J39" i="9"/>
  <c r="D26" i="9"/>
  <c r="E26" i="9"/>
  <c r="I37" i="9"/>
  <c r="I36" i="9"/>
  <c r="I40" i="9"/>
  <c r="I39" i="9"/>
  <c r="I41" i="9"/>
  <c r="N31" i="24" l="1"/>
  <c r="N32" i="24"/>
  <c r="N33" i="24"/>
  <c r="N35" i="24"/>
  <c r="N36" i="24"/>
  <c r="K11" i="27"/>
  <c r="K12" i="27"/>
  <c r="K13" i="27"/>
  <c r="K14" i="27"/>
  <c r="K15" i="27"/>
  <c r="K16" i="27"/>
  <c r="K21" i="27"/>
  <c r="K22" i="27"/>
  <c r="K23" i="27"/>
  <c r="K24" i="27"/>
  <c r="K25" i="27"/>
  <c r="K26" i="27"/>
  <c r="K31" i="27"/>
  <c r="K32" i="27"/>
  <c r="K33" i="27"/>
  <c r="K34" i="27"/>
  <c r="K35" i="27"/>
  <c r="K36" i="27"/>
  <c r="K41" i="27"/>
  <c r="K42" i="27"/>
  <c r="K43" i="27"/>
  <c r="K44" i="27"/>
  <c r="K45" i="27"/>
  <c r="K46" i="27"/>
  <c r="I11" i="27"/>
  <c r="F46" i="27"/>
  <c r="F45" i="27"/>
  <c r="F44" i="27"/>
  <c r="F43" i="27"/>
  <c r="F42" i="27"/>
  <c r="F41" i="27"/>
  <c r="I41" i="27"/>
  <c r="F36" i="27"/>
  <c r="F35" i="27"/>
  <c r="F34" i="27"/>
  <c r="F33" i="27"/>
  <c r="F32" i="27"/>
  <c r="F31" i="27"/>
  <c r="I31" i="27"/>
  <c r="F26" i="27"/>
  <c r="F25" i="27"/>
  <c r="F24" i="27"/>
  <c r="F23" i="27"/>
  <c r="F22" i="27"/>
  <c r="F21" i="27"/>
  <c r="I21" i="27"/>
  <c r="F12" i="27"/>
  <c r="F13" i="27"/>
  <c r="F14" i="27"/>
  <c r="F15" i="27"/>
  <c r="F16" i="27"/>
  <c r="F11" i="27"/>
  <c r="N34" i="24" l="1"/>
  <c r="I46" i="27"/>
  <c r="I16" i="27"/>
  <c r="I14" i="27"/>
  <c r="I12" i="27"/>
  <c r="I24" i="27"/>
  <c r="I22" i="27"/>
  <c r="I36" i="27"/>
  <c r="I33" i="27"/>
  <c r="I35" i="27"/>
  <c r="I44" i="27"/>
  <c r="I42" i="27"/>
  <c r="I15" i="27"/>
  <c r="I13" i="27"/>
  <c r="I25" i="27"/>
  <c r="I23" i="27"/>
  <c r="I34" i="27"/>
  <c r="I32" i="27"/>
  <c r="I45" i="27"/>
  <c r="I43" i="27"/>
  <c r="I26" i="27"/>
  <c r="B75" i="9" l="1"/>
  <c r="F146" i="13"/>
  <c r="E144" i="13"/>
  <c r="E145" i="13"/>
  <c r="E146" i="13"/>
  <c r="F70" i="44"/>
  <c r="F26" i="44"/>
  <c r="F27" i="44"/>
  <c r="F25" i="44"/>
  <c r="F67" i="44"/>
  <c r="F68" i="44"/>
  <c r="F69" i="44"/>
  <c r="F71" i="44"/>
  <c r="F77" i="44"/>
  <c r="F78" i="44"/>
  <c r="F79" i="44"/>
  <c r="F80" i="44"/>
  <c r="F81" i="44"/>
  <c r="J89" i="44"/>
  <c r="F89" i="44" s="1"/>
  <c r="F96" i="44"/>
  <c r="F97" i="44"/>
  <c r="F98" i="44"/>
  <c r="F99" i="44"/>
  <c r="F86" i="44"/>
  <c r="F87" i="44"/>
  <c r="F88" i="44"/>
  <c r="F90" i="44"/>
  <c r="N91" i="44"/>
  <c r="J21" i="45"/>
  <c r="I21" i="45"/>
  <c r="D17" i="45"/>
  <c r="C17" i="45"/>
  <c r="D16" i="45"/>
  <c r="C16" i="45"/>
  <c r="D15" i="45"/>
  <c r="C15" i="45"/>
  <c r="D14" i="45"/>
  <c r="C14" i="45"/>
  <c r="F72" i="13"/>
  <c r="H72" i="13" s="1"/>
  <c r="F73" i="13"/>
  <c r="H73" i="13" s="1"/>
  <c r="F74" i="13"/>
  <c r="H74" i="13" s="1"/>
  <c r="F66" i="21"/>
  <c r="F67" i="21"/>
  <c r="F68" i="21"/>
  <c r="F65" i="21"/>
  <c r="E66" i="21"/>
  <c r="E67" i="21"/>
  <c r="E68" i="21"/>
  <c r="E65" i="21"/>
  <c r="N90" i="44"/>
  <c r="B73" i="44"/>
  <c r="C58" i="21"/>
  <c r="C53" i="21"/>
  <c r="C54" i="21"/>
  <c r="C52" i="21"/>
  <c r="I64" i="11" l="1"/>
  <c r="I25" i="11" s="1"/>
  <c r="C36" i="11" s="1"/>
  <c r="I63" i="11"/>
  <c r="I24" i="11" s="1"/>
  <c r="C35" i="11" s="1"/>
  <c r="I62" i="11"/>
  <c r="C25" i="11"/>
  <c r="J43" i="9"/>
  <c r="I43" i="9"/>
  <c r="I22" i="45"/>
  <c r="J23" i="45"/>
  <c r="J22" i="45"/>
  <c r="C24" i="11"/>
  <c r="I24" i="45"/>
  <c r="I23" i="45"/>
  <c r="J24" i="45"/>
  <c r="F145" i="13"/>
  <c r="F144" i="13"/>
  <c r="J62" i="11" s="1"/>
  <c r="F62" i="13"/>
  <c r="G62" i="13"/>
  <c r="H18" i="13"/>
  <c r="K18" i="13"/>
  <c r="J18" i="13"/>
  <c r="I18" i="13"/>
  <c r="H12" i="11" l="1"/>
  <c r="C23" i="11"/>
  <c r="K13" i="11"/>
  <c r="I23" i="11"/>
  <c r="C34" i="11" s="1"/>
  <c r="K12" i="11"/>
  <c r="D24" i="11"/>
  <c r="D23" i="11"/>
  <c r="J23" i="11"/>
  <c r="D34" i="11" s="1"/>
  <c r="K43" i="9"/>
  <c r="E23" i="11"/>
  <c r="E24" i="11"/>
  <c r="E25" i="11"/>
  <c r="J64" i="11"/>
  <c r="J25" i="11" s="1"/>
  <c r="D36" i="11" s="1"/>
  <c r="J63" i="11"/>
  <c r="J24" i="11" s="1"/>
  <c r="D35" i="11" s="1"/>
  <c r="H55" i="13"/>
  <c r="H56" i="13"/>
  <c r="G146" i="13" s="1"/>
  <c r="H146" i="13" s="1"/>
  <c r="H54" i="13"/>
  <c r="L64" i="11" l="1"/>
  <c r="L25" i="11" s="1"/>
  <c r="F36" i="11" s="1"/>
  <c r="H13" i="11"/>
  <c r="G145" i="13"/>
  <c r="H145" i="13" s="1"/>
  <c r="L63" i="11" s="1"/>
  <c r="L24" i="11" s="1"/>
  <c r="F35" i="11" s="1"/>
  <c r="F24" i="11"/>
  <c r="G144" i="13"/>
  <c r="F23" i="11"/>
  <c r="K63" i="11"/>
  <c r="K24" i="11" s="1"/>
  <c r="E35" i="11" s="1"/>
  <c r="K64" i="11"/>
  <c r="K25" i="11" s="1"/>
  <c r="E36" i="11" s="1"/>
  <c r="F25" i="11"/>
  <c r="D25" i="11"/>
  <c r="G46" i="21"/>
  <c r="G47" i="21"/>
  <c r="G45" i="21"/>
  <c r="D34" i="23"/>
  <c r="F34" i="23"/>
  <c r="G34" i="23"/>
  <c r="H34" i="23"/>
  <c r="I34" i="23"/>
  <c r="D35" i="23"/>
  <c r="F35" i="23"/>
  <c r="G35" i="23"/>
  <c r="H35" i="23"/>
  <c r="I35" i="23"/>
  <c r="D36" i="23"/>
  <c r="F36" i="23"/>
  <c r="G36" i="23"/>
  <c r="H36" i="23"/>
  <c r="I36" i="23"/>
  <c r="D37" i="23"/>
  <c r="E37" i="23"/>
  <c r="F37" i="23"/>
  <c r="G37" i="23"/>
  <c r="H37" i="23"/>
  <c r="I37" i="23"/>
  <c r="C34" i="23"/>
  <c r="C35" i="23"/>
  <c r="C36" i="23"/>
  <c r="G59" i="21"/>
  <c r="E35" i="23" s="1"/>
  <c r="G60" i="21"/>
  <c r="E36" i="23" s="1"/>
  <c r="G58" i="21"/>
  <c r="E34" i="23" s="1"/>
  <c r="G33" i="21"/>
  <c r="G34" i="21"/>
  <c r="G32" i="21"/>
  <c r="S14" i="21"/>
  <c r="S15" i="21"/>
  <c r="S13" i="21"/>
  <c r="W13" i="6"/>
  <c r="W6" i="6"/>
  <c r="W7" i="6"/>
  <c r="W8" i="6"/>
  <c r="W9" i="6"/>
  <c r="W10" i="6"/>
  <c r="W11" i="6"/>
  <c r="W12" i="6"/>
  <c r="W5" i="6"/>
  <c r="V6" i="6"/>
  <c r="V7" i="6"/>
  <c r="V8" i="6"/>
  <c r="V9" i="6"/>
  <c r="V10" i="6"/>
  <c r="V11" i="6"/>
  <c r="V12" i="6"/>
  <c r="V13" i="6"/>
  <c r="V5" i="6"/>
  <c r="V4" i="6"/>
  <c r="U6" i="6"/>
  <c r="U7" i="6"/>
  <c r="U8" i="6"/>
  <c r="U9" i="6"/>
  <c r="U10" i="6"/>
  <c r="U11" i="6"/>
  <c r="U12" i="6"/>
  <c r="U13" i="6"/>
  <c r="U5" i="6"/>
  <c r="U4" i="6"/>
  <c r="T6" i="6"/>
  <c r="T7" i="6"/>
  <c r="T8" i="6"/>
  <c r="T9" i="6"/>
  <c r="T10" i="6"/>
  <c r="T11" i="6"/>
  <c r="T12" i="6"/>
  <c r="T13" i="6"/>
  <c r="T5" i="6"/>
  <c r="T4" i="6"/>
  <c r="W21" i="6"/>
  <c r="W22" i="6"/>
  <c r="W23" i="6"/>
  <c r="W24" i="6"/>
  <c r="W25" i="6"/>
  <c r="W26" i="6"/>
  <c r="W27" i="6"/>
  <c r="W28" i="6"/>
  <c r="W20" i="6"/>
  <c r="V21" i="6"/>
  <c r="V22" i="6"/>
  <c r="V23" i="6"/>
  <c r="V24" i="6"/>
  <c r="V25" i="6"/>
  <c r="V26" i="6"/>
  <c r="V27" i="6"/>
  <c r="V28" i="6"/>
  <c r="V20" i="6"/>
  <c r="V19" i="6"/>
  <c r="U21" i="6"/>
  <c r="U22" i="6"/>
  <c r="U23" i="6"/>
  <c r="U24" i="6"/>
  <c r="U25" i="6"/>
  <c r="U26" i="6"/>
  <c r="U27" i="6"/>
  <c r="U28" i="6"/>
  <c r="U20" i="6"/>
  <c r="U19" i="6"/>
  <c r="T21" i="6"/>
  <c r="T22" i="6"/>
  <c r="T23" i="6"/>
  <c r="T24" i="6"/>
  <c r="T25" i="6"/>
  <c r="T26" i="6"/>
  <c r="T27" i="6"/>
  <c r="T28" i="6"/>
  <c r="T20" i="6"/>
  <c r="F50" i="44"/>
  <c r="F83" i="44"/>
  <c r="F101" i="44"/>
  <c r="F100" i="44"/>
  <c r="F91" i="44"/>
  <c r="F92" i="44"/>
  <c r="F82" i="44"/>
  <c r="F72" i="44"/>
  <c r="F73" i="44"/>
  <c r="F61" i="44"/>
  <c r="F62" i="44"/>
  <c r="F60" i="44"/>
  <c r="F51" i="44"/>
  <c r="F52" i="44"/>
  <c r="F40" i="44"/>
  <c r="F41" i="44"/>
  <c r="F39" i="44"/>
  <c r="F30" i="44"/>
  <c r="F31" i="44"/>
  <c r="F29" i="44"/>
  <c r="F19" i="44"/>
  <c r="F20" i="44"/>
  <c r="F18" i="44"/>
  <c r="F9" i="44"/>
  <c r="F10" i="44"/>
  <c r="F8" i="44"/>
  <c r="I46" i="23" l="1"/>
  <c r="K62" i="11"/>
  <c r="K23" i="11" s="1"/>
  <c r="E34" i="11" s="1"/>
  <c r="H144" i="13"/>
  <c r="L62" i="11" s="1"/>
  <c r="H16" i="11"/>
  <c r="N21" i="9"/>
  <c r="K22" i="9"/>
  <c r="K25" i="9"/>
  <c r="K21" i="9"/>
  <c r="K28" i="9"/>
  <c r="K29" i="9"/>
  <c r="K27" i="9"/>
  <c r="K26" i="9"/>
  <c r="K24" i="9"/>
  <c r="K23" i="9"/>
  <c r="N25" i="9"/>
  <c r="N24" i="9"/>
  <c r="N29" i="9"/>
  <c r="N22" i="9"/>
  <c r="N28" i="9"/>
  <c r="N27" i="9"/>
  <c r="N23" i="9"/>
  <c r="N26" i="9"/>
  <c r="M22" i="9"/>
  <c r="L22" i="9"/>
  <c r="M21" i="9"/>
  <c r="L21" i="9"/>
  <c r="M23" i="9"/>
  <c r="L23" i="9"/>
  <c r="M27" i="9"/>
  <c r="L27" i="9"/>
  <c r="L28" i="9"/>
  <c r="M25" i="9"/>
  <c r="L25" i="9"/>
  <c r="L29" i="9"/>
  <c r="M29" i="9"/>
  <c r="H45" i="23"/>
  <c r="I44" i="23"/>
  <c r="I45" i="23"/>
  <c r="H44" i="23"/>
  <c r="N92" i="44"/>
  <c r="M92" i="44"/>
  <c r="M91" i="44"/>
  <c r="M90" i="44"/>
  <c r="M89" i="44"/>
  <c r="K16" i="11" l="1"/>
  <c r="L23" i="11"/>
  <c r="F34" i="11" s="1"/>
  <c r="L24" i="9"/>
  <c r="L26" i="9"/>
  <c r="M24" i="9"/>
  <c r="M28" i="9"/>
  <c r="M26" i="9"/>
  <c r="J15" i="24"/>
  <c r="H16" i="45" s="1"/>
  <c r="E16" i="45" s="1"/>
  <c r="J16" i="24"/>
  <c r="H17" i="45" s="1"/>
  <c r="E17" i="45" s="1"/>
  <c r="J17" i="24"/>
  <c r="J18" i="24"/>
  <c r="J19" i="24"/>
  <c r="J20" i="24"/>
  <c r="J25" i="24"/>
  <c r="J26" i="24"/>
  <c r="J27" i="24"/>
  <c r="J45" i="24"/>
  <c r="J46" i="24"/>
  <c r="J47" i="24"/>
  <c r="J65" i="24"/>
  <c r="J66" i="24"/>
  <c r="J67" i="24"/>
  <c r="J75" i="24"/>
  <c r="J76" i="24"/>
  <c r="J77" i="24"/>
  <c r="J85" i="24"/>
  <c r="J86" i="24"/>
  <c r="J87" i="24"/>
  <c r="J95" i="24"/>
  <c r="J96" i="24"/>
  <c r="J97" i="24"/>
  <c r="J105" i="24"/>
  <c r="J106" i="24"/>
  <c r="J107" i="24"/>
  <c r="J115" i="24"/>
  <c r="J116" i="24"/>
  <c r="J125" i="24"/>
  <c r="J126" i="24"/>
  <c r="J127" i="24"/>
  <c r="J135" i="24"/>
  <c r="J136" i="24"/>
  <c r="J137" i="24"/>
  <c r="J14" i="24"/>
  <c r="H15" i="45" s="1"/>
  <c r="E15" i="45" s="1"/>
  <c r="J47" i="41"/>
  <c r="K53" i="41"/>
  <c r="L53" i="41"/>
  <c r="M53" i="41"/>
  <c r="N53" i="41"/>
  <c r="O53" i="41"/>
  <c r="I47" i="41"/>
  <c r="I21" i="42"/>
  <c r="J21" i="42"/>
  <c r="K68" i="41" s="1"/>
  <c r="E40" i="41" s="1"/>
  <c r="K21" i="42"/>
  <c r="F40" i="41" s="1"/>
  <c r="L21" i="42"/>
  <c r="G40" i="41" s="1"/>
  <c r="M21" i="42"/>
  <c r="N21" i="42"/>
  <c r="H21" i="42"/>
  <c r="I62" i="41" s="1"/>
  <c r="H28" i="41" s="1"/>
  <c r="J25" i="42"/>
  <c r="L25" i="42"/>
  <c r="H25" i="42"/>
  <c r="C39" i="42"/>
  <c r="C40" i="42" s="1"/>
  <c r="D39" i="42"/>
  <c r="D40" i="42" s="1"/>
  <c r="E39" i="42"/>
  <c r="E40" i="42" s="1"/>
  <c r="F39" i="42"/>
  <c r="F40" i="42" s="1"/>
  <c r="G39" i="42"/>
  <c r="G40" i="42" s="1"/>
  <c r="H39" i="42"/>
  <c r="H40" i="42" s="1"/>
  <c r="B39" i="42"/>
  <c r="B40" i="42" s="1"/>
  <c r="K25" i="42" l="1"/>
  <c r="E27" i="42" s="1"/>
  <c r="C40" i="41"/>
  <c r="M25" i="42"/>
  <c r="H40" i="41"/>
  <c r="I25" i="42"/>
  <c r="C27" i="42" s="1"/>
  <c r="J62" i="41"/>
  <c r="D40" i="41" s="1"/>
  <c r="N25" i="42"/>
  <c r="D13" i="41"/>
  <c r="E13" i="41" s="1"/>
  <c r="F13" i="41"/>
  <c r="B27" i="42"/>
  <c r="G27" i="42"/>
  <c r="D27" i="42"/>
  <c r="H27" i="42"/>
  <c r="F27" i="42"/>
  <c r="C72" i="19"/>
  <c r="C73" i="19"/>
  <c r="C74" i="19"/>
  <c r="C75" i="19"/>
  <c r="C76" i="19"/>
  <c r="C77" i="19"/>
  <c r="C78" i="19"/>
  <c r="C79" i="19"/>
  <c r="C80" i="19"/>
  <c r="C81" i="19"/>
  <c r="C82" i="19"/>
  <c r="C83" i="19"/>
  <c r="C71" i="19"/>
  <c r="D72" i="19"/>
  <c r="D73" i="19"/>
  <c r="D74" i="19"/>
  <c r="D75" i="19"/>
  <c r="D76" i="19"/>
  <c r="D77" i="19"/>
  <c r="D78" i="19"/>
  <c r="D79" i="19"/>
  <c r="D80" i="19"/>
  <c r="D81" i="19"/>
  <c r="D82" i="19"/>
  <c r="D83" i="19"/>
  <c r="D84" i="19"/>
  <c r="D71" i="19"/>
  <c r="E72" i="19"/>
  <c r="E73" i="19"/>
  <c r="E74" i="19"/>
  <c r="E75" i="19"/>
  <c r="E76" i="19"/>
  <c r="E77" i="19"/>
  <c r="E78" i="19"/>
  <c r="E79" i="19"/>
  <c r="E80" i="19"/>
  <c r="E81" i="19"/>
  <c r="E82" i="19"/>
  <c r="E83" i="19"/>
  <c r="E84" i="19"/>
  <c r="E71" i="19"/>
  <c r="B55" i="41"/>
  <c r="B56" i="41"/>
  <c r="B57" i="41"/>
  <c r="B58" i="41"/>
  <c r="B59" i="41"/>
  <c r="B60" i="41"/>
  <c r="B61" i="41"/>
  <c r="B62" i="41"/>
  <c r="F22" i="41" l="1"/>
  <c r="G22" i="41"/>
  <c r="B78" i="19"/>
  <c r="B74" i="19"/>
  <c r="I40" i="41"/>
  <c r="D28" i="41"/>
  <c r="E28" i="41" s="1"/>
  <c r="B26" i="41"/>
  <c r="B38" i="41"/>
  <c r="B28" i="41"/>
  <c r="B40" i="41"/>
  <c r="B22" i="41"/>
  <c r="B34" i="41"/>
  <c r="B21" i="41"/>
  <c r="B33" i="41"/>
  <c r="B25" i="41"/>
  <c r="B37" i="41"/>
  <c r="F28" i="41"/>
  <c r="B23" i="41"/>
  <c r="B35" i="41"/>
  <c r="B82" i="19"/>
  <c r="B27" i="41"/>
  <c r="B39" i="41"/>
  <c r="G28" i="41"/>
  <c r="B24" i="41"/>
  <c r="B36" i="41"/>
  <c r="B83" i="19"/>
  <c r="B71" i="19"/>
  <c r="B85" i="19"/>
  <c r="B84" i="19"/>
  <c r="B77" i="19"/>
  <c r="B73" i="19"/>
  <c r="B72" i="19"/>
  <c r="B75" i="19"/>
  <c r="B79" i="19"/>
  <c r="B76" i="19"/>
  <c r="B80" i="19"/>
  <c r="B81" i="19"/>
  <c r="I40" i="23"/>
  <c r="I39" i="23"/>
  <c r="I38" i="23"/>
  <c r="I27" i="23"/>
  <c r="H38" i="23"/>
  <c r="H39" i="23"/>
  <c r="H40" i="23"/>
  <c r="C43" i="36"/>
  <c r="D43" i="36"/>
  <c r="E43" i="36"/>
  <c r="F43" i="36"/>
  <c r="G43" i="36"/>
  <c r="H43" i="36"/>
  <c r="I43" i="36"/>
  <c r="J11" i="22"/>
  <c r="J12" i="22"/>
  <c r="J13" i="22"/>
  <c r="J14" i="22"/>
  <c r="J12" i="38"/>
  <c r="P18" i="37"/>
  <c r="I28" i="38" s="1"/>
  <c r="P19" i="37"/>
  <c r="P20" i="37"/>
  <c r="I30" i="38" s="1"/>
  <c r="P21" i="37"/>
  <c r="I31" i="38" s="1"/>
  <c r="P22" i="37"/>
  <c r="I32" i="38" s="1"/>
  <c r="P23" i="37"/>
  <c r="I33" i="38" s="1"/>
  <c r="P24" i="37"/>
  <c r="I34" i="38" s="1"/>
  <c r="P17" i="37"/>
  <c r="I27" i="38" s="1"/>
  <c r="K17" i="37"/>
  <c r="D27" i="38" s="1"/>
  <c r="L17" i="37"/>
  <c r="E27" i="38" s="1"/>
  <c r="M17" i="37"/>
  <c r="F27" i="38" s="1"/>
  <c r="N17" i="37"/>
  <c r="G27" i="38" s="1"/>
  <c r="O17" i="37"/>
  <c r="H27" i="38" s="1"/>
  <c r="K18" i="37"/>
  <c r="D28" i="38" s="1"/>
  <c r="L18" i="37"/>
  <c r="E28" i="38" s="1"/>
  <c r="M18" i="37"/>
  <c r="F28" i="38" s="1"/>
  <c r="N18" i="37"/>
  <c r="G28" i="38" s="1"/>
  <c r="O18" i="37"/>
  <c r="H28" i="38" s="1"/>
  <c r="K19" i="37"/>
  <c r="L19" i="37"/>
  <c r="M19" i="37"/>
  <c r="N19" i="37"/>
  <c r="O19" i="37"/>
  <c r="K20" i="37"/>
  <c r="D30" i="38" s="1"/>
  <c r="L20" i="37"/>
  <c r="E30" i="38" s="1"/>
  <c r="M20" i="37"/>
  <c r="F30" i="38" s="1"/>
  <c r="N20" i="37"/>
  <c r="G30" i="38" s="1"/>
  <c r="O20" i="37"/>
  <c r="H30" i="38" s="1"/>
  <c r="K21" i="37"/>
  <c r="D31" i="38" s="1"/>
  <c r="L21" i="37"/>
  <c r="E31" i="38" s="1"/>
  <c r="M21" i="37"/>
  <c r="F31" i="38" s="1"/>
  <c r="N21" i="37"/>
  <c r="G31" i="38" s="1"/>
  <c r="O21" i="37"/>
  <c r="H31" i="38" s="1"/>
  <c r="K22" i="37"/>
  <c r="D32" i="38" s="1"/>
  <c r="L22" i="37"/>
  <c r="E32" i="38" s="1"/>
  <c r="M22" i="37"/>
  <c r="F32" i="38" s="1"/>
  <c r="N22" i="37"/>
  <c r="G32" i="38" s="1"/>
  <c r="O22" i="37"/>
  <c r="H32" i="38" s="1"/>
  <c r="K23" i="37"/>
  <c r="D33" i="38" s="1"/>
  <c r="L23" i="37"/>
  <c r="E33" i="38" s="1"/>
  <c r="M23" i="37"/>
  <c r="F33" i="38" s="1"/>
  <c r="N23" i="37"/>
  <c r="G33" i="38" s="1"/>
  <c r="O23" i="37"/>
  <c r="H33" i="38" s="1"/>
  <c r="K24" i="37"/>
  <c r="D34" i="38" s="1"/>
  <c r="L24" i="37"/>
  <c r="E34" i="38" s="1"/>
  <c r="M24" i="37"/>
  <c r="F34" i="38" s="1"/>
  <c r="N24" i="37"/>
  <c r="G34" i="38" s="1"/>
  <c r="O24" i="37"/>
  <c r="H34" i="38" s="1"/>
  <c r="J18" i="37"/>
  <c r="C28" i="38" s="1"/>
  <c r="J19" i="37"/>
  <c r="J20" i="37"/>
  <c r="C30" i="38" s="1"/>
  <c r="J21" i="37"/>
  <c r="C31" i="38" s="1"/>
  <c r="J22" i="37"/>
  <c r="C32" i="38" s="1"/>
  <c r="J23" i="37"/>
  <c r="C33" i="38" s="1"/>
  <c r="J24" i="37"/>
  <c r="C34" i="38" s="1"/>
  <c r="J17" i="37"/>
  <c r="C27" i="38" s="1"/>
  <c r="I19" i="38"/>
  <c r="H19" i="38"/>
  <c r="G19" i="38"/>
  <c r="F19" i="38"/>
  <c r="E19" i="38"/>
  <c r="E29" i="38" s="1"/>
  <c r="D19" i="38"/>
  <c r="C19" i="38"/>
  <c r="B19" i="38"/>
  <c r="B19" i="35"/>
  <c r="D19" i="35"/>
  <c r="E19" i="35"/>
  <c r="F19" i="35"/>
  <c r="G19" i="35"/>
  <c r="H19" i="35"/>
  <c r="I19" i="35"/>
  <c r="C19" i="35"/>
  <c r="D29" i="38" l="1"/>
  <c r="F29" i="38"/>
  <c r="H29" i="38"/>
  <c r="I29" i="38"/>
  <c r="C29" i="38"/>
  <c r="G29" i="38"/>
  <c r="K15" i="36" l="1"/>
  <c r="E15" i="31"/>
  <c r="D15" i="31"/>
  <c r="M15" i="31"/>
  <c r="N15" i="31" s="1"/>
  <c r="K15" i="31"/>
  <c r="L15" i="31" s="1"/>
  <c r="I15" i="31"/>
  <c r="J15" i="31" s="1"/>
  <c r="H15" i="31"/>
  <c r="C15" i="31"/>
  <c r="M14" i="31"/>
  <c r="K14" i="31"/>
  <c r="M13" i="31"/>
  <c r="K13" i="31"/>
  <c r="M12" i="31"/>
  <c r="K12" i="31"/>
  <c r="M11" i="31"/>
  <c r="K11" i="31"/>
  <c r="M10" i="31"/>
  <c r="K10" i="31"/>
  <c r="M9" i="31"/>
  <c r="P15" i="31"/>
  <c r="R15" i="31" l="1"/>
  <c r="G40" i="23" l="1"/>
  <c r="F40" i="23"/>
  <c r="E40" i="23"/>
  <c r="D40" i="23"/>
  <c r="I49" i="23" s="1"/>
  <c r="C40" i="23"/>
  <c r="H49" i="23" s="1"/>
  <c r="B40" i="23"/>
  <c r="G39" i="23"/>
  <c r="F39" i="23"/>
  <c r="E39" i="23"/>
  <c r="D39" i="23"/>
  <c r="I48" i="23" s="1"/>
  <c r="C39" i="23"/>
  <c r="H48" i="23" s="1"/>
  <c r="B39" i="23"/>
  <c r="G38" i="23"/>
  <c r="F38" i="23"/>
  <c r="E38" i="23"/>
  <c r="D38" i="23"/>
  <c r="I47" i="23" s="1"/>
  <c r="C38" i="23"/>
  <c r="H47" i="23" s="1"/>
  <c r="B38" i="23"/>
  <c r="C37" i="23"/>
  <c r="B37" i="23"/>
  <c r="H27" i="23"/>
  <c r="G27" i="23"/>
  <c r="F27" i="23"/>
  <c r="E27" i="23"/>
  <c r="D27" i="23"/>
  <c r="C27" i="23"/>
  <c r="B27" i="23"/>
  <c r="H46" i="23" l="1"/>
  <c r="D12" i="23"/>
  <c r="E12" i="23"/>
  <c r="C25" i="15"/>
  <c r="C24" i="15"/>
  <c r="C23" i="15"/>
  <c r="J22" i="15"/>
  <c r="I22" i="15"/>
  <c r="H22" i="15"/>
  <c r="G22" i="15"/>
  <c r="F22" i="15"/>
  <c r="E22" i="15"/>
  <c r="D22" i="15"/>
  <c r="C22" i="15"/>
  <c r="C21" i="15"/>
  <c r="C20" i="15"/>
  <c r="C19" i="15"/>
  <c r="C18" i="15"/>
  <c r="K150" i="13"/>
  <c r="J150" i="13"/>
  <c r="I150" i="13"/>
  <c r="G150" i="13"/>
  <c r="K68" i="11" s="1"/>
  <c r="F150" i="13"/>
  <c r="E150" i="13"/>
  <c r="K149" i="13"/>
  <c r="J149" i="13"/>
  <c r="I149" i="13"/>
  <c r="G149" i="13"/>
  <c r="K67" i="11" s="1"/>
  <c r="K28" i="11" s="1"/>
  <c r="E39" i="11" s="1"/>
  <c r="F149" i="13"/>
  <c r="J67" i="11" s="1"/>
  <c r="J28" i="11" s="1"/>
  <c r="D39" i="11" s="1"/>
  <c r="E149" i="13"/>
  <c r="K148" i="13"/>
  <c r="J148" i="13"/>
  <c r="I148" i="13"/>
  <c r="G148" i="13"/>
  <c r="K66" i="11" s="1"/>
  <c r="K27" i="11" s="1"/>
  <c r="E38" i="11" s="1"/>
  <c r="F148" i="13"/>
  <c r="J66" i="11" s="1"/>
  <c r="J27" i="11" s="1"/>
  <c r="D38" i="11" s="1"/>
  <c r="E148" i="13"/>
  <c r="K147" i="13"/>
  <c r="J147" i="13"/>
  <c r="I147" i="13"/>
  <c r="G147" i="13"/>
  <c r="K65" i="11" s="1"/>
  <c r="F147" i="13"/>
  <c r="J65" i="11" s="1"/>
  <c r="J26" i="11" s="1"/>
  <c r="D37" i="11" s="1"/>
  <c r="E147" i="13"/>
  <c r="I67" i="11" l="1"/>
  <c r="I28" i="11" s="1"/>
  <c r="C39" i="11" s="1"/>
  <c r="H149" i="13"/>
  <c r="L67" i="11" s="1"/>
  <c r="L28" i="11" s="1"/>
  <c r="F39" i="11" s="1"/>
  <c r="I66" i="11"/>
  <c r="I27" i="11" s="1"/>
  <c r="C38" i="11" s="1"/>
  <c r="H148" i="13"/>
  <c r="L66" i="11" s="1"/>
  <c r="L27" i="11" s="1"/>
  <c r="F38" i="11" s="1"/>
  <c r="I65" i="11"/>
  <c r="I26" i="11" s="1"/>
  <c r="C37" i="11" s="1"/>
  <c r="H147" i="13"/>
  <c r="L65" i="11" s="1"/>
  <c r="L26" i="11" s="1"/>
  <c r="F37" i="11" s="1"/>
  <c r="J68" i="11"/>
  <c r="J29" i="11" s="1"/>
  <c r="D40" i="11" s="1"/>
  <c r="I68" i="11"/>
  <c r="I29" i="11" s="1"/>
  <c r="C40" i="11" s="1"/>
  <c r="H150" i="13"/>
  <c r="L68" i="11" s="1"/>
  <c r="L29" i="11" s="1"/>
  <c r="F40" i="11" s="1"/>
  <c r="K26" i="11"/>
  <c r="E37" i="11" s="1"/>
  <c r="K14" i="11"/>
  <c r="K29" i="11"/>
  <c r="E40" i="11" s="1"/>
  <c r="L150" i="13"/>
  <c r="L148" i="13"/>
  <c r="L149" i="13"/>
  <c r="L147" i="13"/>
  <c r="J15" i="15"/>
  <c r="I15" i="15" s="1"/>
  <c r="H15" i="15" s="1"/>
  <c r="G15" i="15" s="1"/>
  <c r="F15" i="15" s="1"/>
  <c r="E15" i="15" s="1"/>
  <c r="D15" i="15" s="1"/>
  <c r="K133" i="13"/>
  <c r="J133" i="13"/>
  <c r="I133" i="13"/>
  <c r="F28" i="11"/>
  <c r="E28" i="11"/>
  <c r="D28" i="11"/>
  <c r="C28" i="11"/>
  <c r="F27" i="11"/>
  <c r="E27" i="11"/>
  <c r="D27" i="11"/>
  <c r="C27" i="11"/>
  <c r="C29" i="11" l="1"/>
  <c r="D12" i="11"/>
  <c r="E12" i="11" s="1"/>
  <c r="D14" i="11"/>
  <c r="E14" i="11" s="1"/>
  <c r="D16" i="11"/>
  <c r="E16" i="11" s="1"/>
  <c r="L133" i="13"/>
  <c r="O66" i="12"/>
  <c r="J47" i="12" s="1"/>
  <c r="N66" i="12"/>
  <c r="I47" i="12" s="1"/>
  <c r="M66" i="12"/>
  <c r="H47" i="12" s="1"/>
  <c r="L66" i="12"/>
  <c r="G47" i="12" s="1"/>
  <c r="K66" i="12"/>
  <c r="F47" i="12" s="1"/>
  <c r="J66" i="12"/>
  <c r="D47" i="12" s="1"/>
  <c r="B66" i="12"/>
  <c r="O65" i="12"/>
  <c r="J46" i="12" s="1"/>
  <c r="N65" i="12"/>
  <c r="I46" i="12" s="1"/>
  <c r="M65" i="12"/>
  <c r="H46" i="12" s="1"/>
  <c r="L65" i="12"/>
  <c r="G46" i="12" s="1"/>
  <c r="K65" i="12"/>
  <c r="F46" i="12" s="1"/>
  <c r="J65" i="12"/>
  <c r="D46" i="12" s="1"/>
  <c r="B65" i="12"/>
  <c r="B31" i="12" s="1"/>
  <c r="O64" i="12"/>
  <c r="J45" i="12" s="1"/>
  <c r="N64" i="12"/>
  <c r="I45" i="12" s="1"/>
  <c r="M64" i="12"/>
  <c r="H45" i="12" s="1"/>
  <c r="L64" i="12"/>
  <c r="G45" i="12" s="1"/>
  <c r="K64" i="12"/>
  <c r="F45" i="12" s="1"/>
  <c r="J64" i="12"/>
  <c r="D45" i="12" s="1"/>
  <c r="B64" i="12"/>
  <c r="O63" i="12"/>
  <c r="J44" i="12" s="1"/>
  <c r="N63" i="12"/>
  <c r="I44" i="12" s="1"/>
  <c r="M63" i="12"/>
  <c r="H44" i="12" s="1"/>
  <c r="L63" i="12"/>
  <c r="G44" i="12" s="1"/>
  <c r="K63" i="12"/>
  <c r="F44" i="12" s="1"/>
  <c r="J63" i="12"/>
  <c r="D44" i="12" s="1"/>
  <c r="B63" i="12"/>
  <c r="B29" i="12" s="1"/>
  <c r="O62" i="12"/>
  <c r="J43" i="12" s="1"/>
  <c r="N62" i="12"/>
  <c r="I43" i="12" s="1"/>
  <c r="M62" i="12"/>
  <c r="H43" i="12" s="1"/>
  <c r="L62" i="12"/>
  <c r="G43" i="12" s="1"/>
  <c r="K62" i="12"/>
  <c r="F43" i="12" s="1"/>
  <c r="J62" i="12"/>
  <c r="D43" i="12" s="1"/>
  <c r="B62" i="12"/>
  <c r="B43" i="12" s="1"/>
  <c r="O61" i="12"/>
  <c r="J42" i="12" s="1"/>
  <c r="N61" i="12"/>
  <c r="I42" i="12" s="1"/>
  <c r="M61" i="12"/>
  <c r="H42" i="12" s="1"/>
  <c r="L61" i="12"/>
  <c r="G42" i="12" s="1"/>
  <c r="K61" i="12"/>
  <c r="F42" i="12" s="1"/>
  <c r="J61" i="12"/>
  <c r="D42" i="12" s="1"/>
  <c r="B61" i="12"/>
  <c r="B42" i="12" s="1"/>
  <c r="O60" i="12"/>
  <c r="J41" i="12" s="1"/>
  <c r="N60" i="12"/>
  <c r="I41" i="12" s="1"/>
  <c r="M60" i="12"/>
  <c r="H41" i="12" s="1"/>
  <c r="L60" i="12"/>
  <c r="G41" i="12" s="1"/>
  <c r="K60" i="12"/>
  <c r="F41" i="12" s="1"/>
  <c r="J60" i="12"/>
  <c r="D41" i="12" s="1"/>
  <c r="B60" i="12"/>
  <c r="O59" i="12"/>
  <c r="J40" i="12" s="1"/>
  <c r="N59" i="12"/>
  <c r="I40" i="12" s="1"/>
  <c r="M59" i="12"/>
  <c r="H40" i="12" s="1"/>
  <c r="L59" i="12"/>
  <c r="G40" i="12" s="1"/>
  <c r="K59" i="12"/>
  <c r="F40" i="12" s="1"/>
  <c r="J59" i="12"/>
  <c r="D40" i="12" s="1"/>
  <c r="B59" i="12"/>
  <c r="O58" i="12"/>
  <c r="N58" i="12"/>
  <c r="I39" i="12" s="1"/>
  <c r="M58" i="12"/>
  <c r="H39" i="12" s="1"/>
  <c r="L58" i="12"/>
  <c r="G39" i="12" s="1"/>
  <c r="K58" i="12"/>
  <c r="F39" i="12" s="1"/>
  <c r="J58" i="12"/>
  <c r="D39" i="12" s="1"/>
  <c r="G16" i="11" l="1"/>
  <c r="G13" i="11"/>
  <c r="B25" i="12"/>
  <c r="D25" i="12" s="1"/>
  <c r="E25" i="12" s="1"/>
  <c r="B40" i="12"/>
  <c r="E13" i="12"/>
  <c r="B27" i="12"/>
  <c r="E15" i="12"/>
  <c r="B44" i="12"/>
  <c r="D31" i="12"/>
  <c r="E31" i="12" s="1"/>
  <c r="B46" i="12"/>
  <c r="D24" i="12"/>
  <c r="E24" i="12" s="1"/>
  <c r="J39" i="12"/>
  <c r="B26" i="12"/>
  <c r="D26" i="12" s="1"/>
  <c r="E26" i="12" s="1"/>
  <c r="B41" i="12"/>
  <c r="E14" i="12"/>
  <c r="B28" i="12"/>
  <c r="B30" i="12"/>
  <c r="D30" i="12" s="1"/>
  <c r="E30" i="12" s="1"/>
  <c r="B45" i="12"/>
  <c r="B32" i="12"/>
  <c r="D32" i="12" s="1"/>
  <c r="E32" i="12" s="1"/>
  <c r="B47" i="12"/>
  <c r="D29" i="12"/>
  <c r="E29" i="12" s="1"/>
  <c r="F24" i="12"/>
  <c r="G14" i="11"/>
  <c r="H14" i="11"/>
  <c r="D69" i="12"/>
  <c r="E12" i="12"/>
  <c r="G24" i="12"/>
  <c r="F26" i="12"/>
  <c r="G26" i="12"/>
  <c r="F28" i="12"/>
  <c r="G28" i="12"/>
  <c r="F30" i="12"/>
  <c r="G30" i="12"/>
  <c r="F32" i="12"/>
  <c r="G32" i="12"/>
  <c r="G25" i="12"/>
  <c r="F25" i="12"/>
  <c r="G27" i="12"/>
  <c r="F27" i="12"/>
  <c r="G29" i="12"/>
  <c r="F29" i="12"/>
  <c r="G31" i="12"/>
  <c r="F31" i="12"/>
  <c r="F13" i="11"/>
  <c r="F16" i="11"/>
  <c r="F14" i="11"/>
  <c r="D29" i="11"/>
  <c r="D13" i="11"/>
  <c r="E13" i="11" s="1"/>
  <c r="F29" i="11"/>
  <c r="E29" i="11"/>
  <c r="D71" i="12"/>
  <c r="D74" i="12"/>
  <c r="D72" i="12"/>
  <c r="D73" i="12"/>
  <c r="D70" i="12"/>
  <c r="E70" i="12"/>
  <c r="F70" i="12"/>
  <c r="F73" i="12"/>
  <c r="E73" i="12"/>
  <c r="F71" i="12"/>
  <c r="E71" i="12"/>
  <c r="E74" i="12" s="1"/>
  <c r="F76" i="12"/>
  <c r="E76" i="12"/>
  <c r="G12" i="11"/>
  <c r="B66" i="11"/>
  <c r="B29" i="11" s="1"/>
  <c r="B65" i="11"/>
  <c r="B28" i="11" s="1"/>
  <c r="B64" i="11"/>
  <c r="B27" i="11" s="1"/>
  <c r="B63" i="11"/>
  <c r="B26" i="11" s="1"/>
  <c r="F53" i="11"/>
  <c r="F22" i="11" s="1"/>
  <c r="E53" i="11"/>
  <c r="E22" i="11" s="1"/>
  <c r="D53" i="11"/>
  <c r="D22" i="11" s="1"/>
  <c r="C53" i="11"/>
  <c r="C22" i="11" s="1"/>
  <c r="F17" i="10"/>
  <c r="E17" i="10"/>
  <c r="D17" i="10"/>
  <c r="C17" i="10"/>
  <c r="F16" i="10"/>
  <c r="E16" i="10"/>
  <c r="D16" i="10"/>
  <c r="C16" i="10"/>
  <c r="F15" i="10"/>
  <c r="E15" i="10"/>
  <c r="D15" i="10"/>
  <c r="C15" i="10"/>
  <c r="F14" i="10"/>
  <c r="E14" i="10"/>
  <c r="D14" i="10"/>
  <c r="C14" i="10"/>
  <c r="F13" i="10"/>
  <c r="E13" i="10"/>
  <c r="D13" i="10"/>
  <c r="C13" i="10"/>
  <c r="D28" i="12" l="1"/>
  <c r="E28" i="12" s="1"/>
  <c r="D27" i="12"/>
  <c r="E27" i="12" s="1"/>
  <c r="F74" i="12"/>
  <c r="F77" i="12" s="1"/>
  <c r="F12" i="11"/>
  <c r="E69" i="12"/>
  <c r="F69" i="12"/>
  <c r="F18" i="10"/>
  <c r="E18" i="10" s="1"/>
  <c r="D18" i="10"/>
  <c r="C18" i="10" s="1"/>
  <c r="E72" i="12" l="1"/>
  <c r="F72" i="12"/>
  <c r="E77" i="12"/>
  <c r="K20" i="4"/>
  <c r="J20" i="4" s="1"/>
  <c r="I20" i="4" s="1"/>
  <c r="H20" i="4" s="1"/>
  <c r="G20" i="4" s="1"/>
  <c r="F20" i="4" s="1"/>
  <c r="E20" i="4" s="1"/>
  <c r="E75" i="12" l="1"/>
  <c r="F75" i="12"/>
</calcChain>
</file>

<file path=xl/comments1.xml><?xml version="1.0" encoding="utf-8"?>
<comments xmlns="http://schemas.openxmlformats.org/spreadsheetml/2006/main">
  <authors>
    <author>Adriana Castelli</author>
  </authors>
  <commentList>
    <comment ref="C78" authorId="0">
      <text>
        <r>
          <rPr>
            <b/>
            <sz val="9"/>
            <color indexed="81"/>
            <rFont val="Tahoma"/>
            <family val="2"/>
          </rPr>
          <t>Adriana Castelli:</t>
        </r>
        <r>
          <rPr>
            <sz val="9"/>
            <color indexed="81"/>
            <rFont val="Tahoma"/>
            <family val="2"/>
          </rPr>
          <t xml:space="preserve">
This is mainly due to data being reported for the first time in 2004/05.</t>
        </r>
      </text>
    </comment>
  </commentList>
</comments>
</file>

<file path=xl/comments2.xml><?xml version="1.0" encoding="utf-8"?>
<comments xmlns="http://schemas.openxmlformats.org/spreadsheetml/2006/main">
  <authors>
    <author>Adriana Castelli</author>
  </authors>
  <commentList>
    <comment ref="C81" authorId="0">
      <text>
        <r>
          <rPr>
            <b/>
            <sz val="9"/>
            <color indexed="81"/>
            <rFont val="Tahoma"/>
            <family val="2"/>
          </rPr>
          <t>Adriana Castelli:</t>
        </r>
        <r>
          <rPr>
            <sz val="9"/>
            <color indexed="81"/>
            <rFont val="Tahoma"/>
            <family val="2"/>
          </rPr>
          <t xml:space="preserve">
This is mainly due to data being reported for the first time in 2004/05.</t>
        </r>
      </text>
    </comment>
  </commentList>
</comments>
</file>

<file path=xl/comments3.xml><?xml version="1.0" encoding="utf-8"?>
<comments xmlns="http://schemas.openxmlformats.org/spreadsheetml/2006/main">
  <authors>
    <author>Padraic Ward</author>
  </authors>
  <commentList>
    <comment ref="J120" authorId="0">
      <text>
        <r>
          <rPr>
            <b/>
            <sz val="8"/>
            <color indexed="81"/>
            <rFont val="Tahoma"/>
            <family val="2"/>
          </rPr>
          <t>Padraic Ward:</t>
        </r>
        <r>
          <rPr>
            <sz val="8"/>
            <color indexed="81"/>
            <rFont val="Tahoma"/>
            <family val="2"/>
          </rPr>
          <t xml:space="preserve">
Using w/o impairments as our baseline case</t>
        </r>
      </text>
    </comment>
    <comment ref="J137" authorId="0">
      <text>
        <r>
          <rPr>
            <b/>
            <sz val="8"/>
            <color indexed="81"/>
            <rFont val="Tahoma"/>
            <family val="2"/>
          </rPr>
          <t>Padraic Ward:</t>
        </r>
        <r>
          <rPr>
            <sz val="8"/>
            <color indexed="81"/>
            <rFont val="Tahoma"/>
            <family val="2"/>
          </rPr>
          <t xml:space="preserve">
Using w/o impairments as our baseline case</t>
        </r>
      </text>
    </comment>
  </commentList>
</comments>
</file>

<file path=xl/comments4.xml><?xml version="1.0" encoding="utf-8"?>
<comments xmlns="http://schemas.openxmlformats.org/spreadsheetml/2006/main">
  <authors>
    <author>Padraic Ward</author>
  </authors>
  <commentList>
    <comment ref="H35" authorId="0">
      <text>
        <r>
          <rPr>
            <b/>
            <sz val="8"/>
            <color indexed="81"/>
            <rFont val="Tahoma"/>
            <family val="2"/>
          </rPr>
          <t>Padraic Ward:</t>
        </r>
        <r>
          <rPr>
            <sz val="8"/>
            <color indexed="81"/>
            <rFont val="Tahoma"/>
            <family val="2"/>
          </rPr>
          <t xml:space="preserve">
These figures in row 19 include purchase of healthcare from non-NHS bodies taken from the RC database</t>
        </r>
      </text>
    </comment>
  </commentList>
</comments>
</file>

<file path=xl/comments5.xml><?xml version="1.0" encoding="utf-8"?>
<comments xmlns="http://schemas.openxmlformats.org/spreadsheetml/2006/main">
  <authors>
    <author>Adriana Castelli</author>
  </authors>
  <commentList>
    <comment ref="C62" authorId="0">
      <text>
        <r>
          <rPr>
            <b/>
            <sz val="9"/>
            <color indexed="81"/>
            <rFont val="Tahoma"/>
            <family val="2"/>
          </rPr>
          <t>Adriana Castelli:</t>
        </r>
        <r>
          <rPr>
            <sz val="9"/>
            <color indexed="81"/>
            <rFont val="Tahoma"/>
            <family val="2"/>
          </rPr>
          <t xml:space="preserve">
This is mainly due to data being reported for the first time in 2004/05.</t>
        </r>
      </text>
    </comment>
  </commentList>
</comments>
</file>

<file path=xl/comments6.xml><?xml version="1.0" encoding="utf-8"?>
<comments xmlns="http://schemas.openxmlformats.org/spreadsheetml/2006/main">
  <authors>
    <author>Andrew Street</author>
  </authors>
  <commentList>
    <comment ref="E9" authorId="0">
      <text>
        <r>
          <rPr>
            <b/>
            <sz val="8"/>
            <color indexed="81"/>
            <rFont val="Tahoma"/>
            <family val="2"/>
          </rPr>
          <t>Andrew Street:</t>
        </r>
        <r>
          <rPr>
            <sz val="8"/>
            <color indexed="81"/>
            <rFont val="Tahoma"/>
            <family val="2"/>
          </rPr>
          <t xml:space="preserve">
from Adriana</t>
        </r>
      </text>
    </comment>
    <comment ref="H9" authorId="0">
      <text>
        <r>
          <rPr>
            <b/>
            <sz val="8"/>
            <color indexed="81"/>
            <rFont val="Tahoma"/>
            <family val="2"/>
          </rPr>
          <t>Andrew Street:</t>
        </r>
        <r>
          <rPr>
            <sz val="8"/>
            <color indexed="81"/>
            <rFont val="Tahoma"/>
            <family val="2"/>
          </rPr>
          <t xml:space="preserve">
with px based on chem comp</t>
        </r>
      </text>
    </comment>
    <comment ref="E19" authorId="0">
      <text>
        <r>
          <rPr>
            <b/>
            <sz val="8"/>
            <color indexed="81"/>
            <rFont val="Tahoma"/>
            <family val="2"/>
          </rPr>
          <t>Andrew Street:</t>
        </r>
        <r>
          <rPr>
            <sz val="8"/>
            <color indexed="81"/>
            <rFont val="Tahoma"/>
            <family val="2"/>
          </rPr>
          <t xml:space="preserve">
from Adriana</t>
        </r>
      </text>
    </comment>
    <comment ref="H19" authorId="0">
      <text>
        <r>
          <rPr>
            <b/>
            <sz val="8"/>
            <color indexed="81"/>
            <rFont val="Tahoma"/>
            <family val="2"/>
          </rPr>
          <t>Andrew Street:</t>
        </r>
        <r>
          <rPr>
            <sz val="8"/>
            <color indexed="81"/>
            <rFont val="Tahoma"/>
            <family val="2"/>
          </rPr>
          <t xml:space="preserve">
with px based on chem comp</t>
        </r>
      </text>
    </comment>
    <comment ref="E29" authorId="0">
      <text>
        <r>
          <rPr>
            <b/>
            <sz val="8"/>
            <color indexed="81"/>
            <rFont val="Tahoma"/>
            <family val="2"/>
          </rPr>
          <t>Andrew Street:</t>
        </r>
        <r>
          <rPr>
            <sz val="8"/>
            <color indexed="81"/>
            <rFont val="Tahoma"/>
            <family val="2"/>
          </rPr>
          <t xml:space="preserve">
from Adriana</t>
        </r>
      </text>
    </comment>
    <comment ref="H29" authorId="0">
      <text>
        <r>
          <rPr>
            <b/>
            <sz val="8"/>
            <color indexed="81"/>
            <rFont val="Tahoma"/>
            <family val="2"/>
          </rPr>
          <t>Andrew Street:</t>
        </r>
        <r>
          <rPr>
            <sz val="8"/>
            <color indexed="81"/>
            <rFont val="Tahoma"/>
            <family val="2"/>
          </rPr>
          <t xml:space="preserve">
with px based on chem comp</t>
        </r>
      </text>
    </comment>
    <comment ref="E39" authorId="0">
      <text>
        <r>
          <rPr>
            <b/>
            <sz val="8"/>
            <color indexed="81"/>
            <rFont val="Tahoma"/>
            <family val="2"/>
          </rPr>
          <t>Andrew Street:</t>
        </r>
        <r>
          <rPr>
            <sz val="8"/>
            <color indexed="81"/>
            <rFont val="Tahoma"/>
            <family val="2"/>
          </rPr>
          <t xml:space="preserve">
from Adriana</t>
        </r>
      </text>
    </comment>
    <comment ref="H39" authorId="0">
      <text>
        <r>
          <rPr>
            <b/>
            <sz val="8"/>
            <color indexed="81"/>
            <rFont val="Tahoma"/>
            <family val="2"/>
          </rPr>
          <t>Andrew Street:</t>
        </r>
        <r>
          <rPr>
            <sz val="8"/>
            <color indexed="81"/>
            <rFont val="Tahoma"/>
            <family val="2"/>
          </rPr>
          <t xml:space="preserve">
with px based on chem comp</t>
        </r>
      </text>
    </comment>
  </commentList>
</comments>
</file>

<file path=xl/comments7.xml><?xml version="1.0" encoding="utf-8"?>
<comments xmlns="http://schemas.openxmlformats.org/spreadsheetml/2006/main">
  <authors>
    <author>Adriana Castelli</author>
  </authors>
  <commentList>
    <comment ref="C107" authorId="0">
      <text>
        <r>
          <rPr>
            <b/>
            <sz val="9"/>
            <color indexed="81"/>
            <rFont val="Tahoma"/>
            <family val="2"/>
          </rPr>
          <t>Adriana Castelli:</t>
        </r>
        <r>
          <rPr>
            <sz val="9"/>
            <color indexed="81"/>
            <rFont val="Tahoma"/>
            <family val="2"/>
          </rPr>
          <t xml:space="preserve">
This is mainly due to data being reported for the first time in 2004/05.</t>
        </r>
      </text>
    </comment>
  </commentList>
</comments>
</file>

<file path=xl/connections.xml><?xml version="1.0" encoding="utf-8"?>
<connections xmlns="http://schemas.openxmlformats.org/spreadsheetml/2006/main">
  <connection id="1" keepAlive="1" name="ThisWorkbookDataModel" description="Data Model" type="5" refreshedVersion="5" minRefreshableVersion="5" background="1">
    <dbPr connection="Data Model Connection" command="Model" commandType="1"/>
    <olapPr sendLocale="1" rowDrillCount="1000"/>
  </connection>
  <connection id="2" name="WorksheetConnection_Total indirect inputs!$B$12:$G$20" type="102" refreshedVersion="5" minRefreshableVersion="5"/>
</connections>
</file>

<file path=xl/sharedStrings.xml><?xml version="1.0" encoding="utf-8"?>
<sst xmlns="http://schemas.openxmlformats.org/spreadsheetml/2006/main" count="4693" uniqueCount="895">
  <si>
    <t>Centre for Health Economics, University of York</t>
  </si>
  <si>
    <t>Year</t>
  </si>
  <si>
    <t>Total FTEs</t>
  </si>
  <si>
    <t>Total Spend</t>
  </si>
  <si>
    <t>2007/08</t>
  </si>
  <si>
    <t>2008/09</t>
  </si>
  <si>
    <t>2009/10</t>
  </si>
  <si>
    <t>2010/11</t>
  </si>
  <si>
    <t>Price and Volume Ratios relative to previous year</t>
  </si>
  <si>
    <t>Laspeyres Price Ratio</t>
  </si>
  <si>
    <t>Paasche Price Ratio</t>
  </si>
  <si>
    <t>Fisher Price Ratio</t>
  </si>
  <si>
    <t>Laspeyres Volume Ratio</t>
  </si>
  <si>
    <t>Paasche Volume Ratio</t>
  </si>
  <si>
    <t>Fisher Volume Ratio</t>
  </si>
  <si>
    <t>07/08 to 08/09</t>
  </si>
  <si>
    <t>08/09 to 09/10</t>
  </si>
  <si>
    <t>09/10 to 10/11</t>
  </si>
  <si>
    <t>Price and Volume Year on Year % Increases</t>
  </si>
  <si>
    <t>Laspeyres Price</t>
  </si>
  <si>
    <t>Paasche Price</t>
  </si>
  <si>
    <t>Fisher Price</t>
  </si>
  <si>
    <t>Laspeyres Volume</t>
  </si>
  <si>
    <t>Paasche Volume</t>
  </si>
  <si>
    <t>Fisher Volume</t>
  </si>
  <si>
    <t>Price and Output Indices (latest year = 1)</t>
  </si>
  <si>
    <t>Laspeyres Price Index</t>
  </si>
  <si>
    <t>Paasche Price Index</t>
  </si>
  <si>
    <t>Fisher Price Index</t>
  </si>
  <si>
    <t>Laspeyres Volume Index</t>
  </si>
  <si>
    <t>Paasche Volume Index</t>
  </si>
  <si>
    <t>Fisher Volume Index</t>
  </si>
  <si>
    <t>Major Staff Group</t>
  </si>
  <si>
    <t>A</t>
  </si>
  <si>
    <t>G</t>
  </si>
  <si>
    <t>H</t>
  </si>
  <si>
    <t>N</t>
  </si>
  <si>
    <t>P</t>
  </si>
  <si>
    <t>S</t>
  </si>
  <si>
    <t>T</t>
  </si>
  <si>
    <t>U</t>
  </si>
  <si>
    <t>Z</t>
  </si>
  <si>
    <t>NHS Staff</t>
  </si>
  <si>
    <t>Agency Staff</t>
  </si>
  <si>
    <t>Chairman &amp; Directors</t>
  </si>
  <si>
    <t>Labour</t>
  </si>
  <si>
    <t>Intermediate</t>
  </si>
  <si>
    <t>Capital</t>
  </si>
  <si>
    <t>Total</t>
  </si>
  <si>
    <t>Total wo</t>
  </si>
  <si>
    <t>Labour %</t>
  </si>
  <si>
    <t>Intermediate %</t>
  </si>
  <si>
    <t>Capital %</t>
  </si>
  <si>
    <t>Labour % wo</t>
  </si>
  <si>
    <t>Interm % wo</t>
  </si>
  <si>
    <t>Capital % wo</t>
  </si>
  <si>
    <t>PCTs</t>
  </si>
  <si>
    <t>Intermediates</t>
  </si>
  <si>
    <t>Total Labour</t>
  </si>
  <si>
    <t>Total Capital</t>
  </si>
  <si>
    <t>Total Intermediates</t>
  </si>
  <si>
    <t>Total Cost</t>
  </si>
  <si>
    <t>Total Capital w/o imp</t>
  </si>
  <si>
    <t>Total Adjusted Indirect Spend Trusts, FTs PCTs and SHAs</t>
  </si>
  <si>
    <t>Unadjusted Total Volume and Spend</t>
  </si>
  <si>
    <t>Total Px</t>
  </si>
  <si>
    <t>Total Qty</t>
  </si>
  <si>
    <t>1997/98</t>
  </si>
  <si>
    <t>1998/99</t>
  </si>
  <si>
    <t>1999/00</t>
  </si>
  <si>
    <t>2000/01</t>
  </si>
  <si>
    <t>2001/02</t>
  </si>
  <si>
    <t>2002/03</t>
  </si>
  <si>
    <t>2003/04</t>
  </si>
  <si>
    <t>2004/05</t>
  </si>
  <si>
    <t>2005/06</t>
  </si>
  <si>
    <t>2006/07</t>
  </si>
  <si>
    <t>96/97 to 97/98</t>
  </si>
  <si>
    <t>97/98 to 98/99</t>
  </si>
  <si>
    <t>98/99 to 99/00</t>
  </si>
  <si>
    <t>99/00 to 00/01</t>
  </si>
  <si>
    <t>00/01 to 01/02</t>
  </si>
  <si>
    <t>01/02 to 02/03</t>
  </si>
  <si>
    <t>02/03 to 03/04</t>
  </si>
  <si>
    <t>03/04 to 04/05</t>
  </si>
  <si>
    <t>04/05 to 05/06</t>
  </si>
  <si>
    <t>05/06 to 06/07</t>
  </si>
  <si>
    <t>06/07 to 07/08</t>
  </si>
  <si>
    <t>year</t>
  </si>
  <si>
    <t>Average Cost</t>
  </si>
  <si>
    <t>Unadjusted Elective and Day Case HES Output</t>
  </si>
  <si>
    <t>Total CIPS</t>
  </si>
  <si>
    <t>QtPt</t>
  </si>
  <si>
    <t>Unadjusted Non-Elective HES Output</t>
  </si>
  <si>
    <t>Unadjusted Elective and Day Case Mental Health HES Output</t>
  </si>
  <si>
    <t>Unadjusted Non-Elective Mental Health HES Output</t>
  </si>
  <si>
    <t>HES Elective and Day Case CIPS Volume and Cost Indices</t>
  </si>
  <si>
    <t>tot_CIPs</t>
  </si>
  <si>
    <t>Las_pr</t>
  </si>
  <si>
    <t>Paa_pr</t>
  </si>
  <si>
    <t>Fish_pr</t>
  </si>
  <si>
    <t>.</t>
  </si>
  <si>
    <t>HES Non-Elective and Day Case CIPS Volume and Cost Indices</t>
  </si>
  <si>
    <t>HES Elective and Day Case Mental Health CIPS Volume and Cost Indices</t>
  </si>
  <si>
    <t>HES Non-Elective Mental Health CIPS Volume and Cost Indices</t>
  </si>
  <si>
    <t>Authors:</t>
  </si>
  <si>
    <t>Chris Bojke</t>
  </si>
  <si>
    <t>Adriana Castelli</t>
  </si>
  <si>
    <t>Katja Grasic</t>
  </si>
  <si>
    <t>Other</t>
  </si>
  <si>
    <t>3. Productivity</t>
  </si>
  <si>
    <t>Inputs: direct labour</t>
  </si>
  <si>
    <t>Unadjusted direct labout</t>
  </si>
  <si>
    <t xml:space="preserve">Paasche Price Ratio    </t>
  </si>
  <si>
    <t>Legend:</t>
  </si>
  <si>
    <t>N: Qualified nursing, midwifery &amp; health visiting staff (Qualified nurses)</t>
  </si>
  <si>
    <t>P: Nursing, midwifery &amp; health visiting learners</t>
  </si>
  <si>
    <t>S: Scientific, therapeutic and technical staff (Qualified ST&amp;T)</t>
  </si>
  <si>
    <t>T: Healthcare Scientists</t>
  </si>
  <si>
    <t>Z: Non-funded staff</t>
  </si>
  <si>
    <t>U: Unknown</t>
  </si>
  <si>
    <t>H: support workers, unqualified</t>
  </si>
  <si>
    <t>G: NHS support</t>
  </si>
  <si>
    <t>A: Ambulance staff</t>
  </si>
  <si>
    <t>0: Medical and dental staff, hospitals</t>
  </si>
  <si>
    <t>1: Medical and dental staff (locum only)</t>
  </si>
  <si>
    <t>8: Doctors in training</t>
  </si>
  <si>
    <t>9: GPs</t>
  </si>
  <si>
    <t>2: Public health and community health services (medical)</t>
  </si>
  <si>
    <t>Inputs: indirect expenditure</t>
  </si>
  <si>
    <r>
      <t>Unadjusted Indirect PCT Spends</t>
    </r>
    <r>
      <rPr>
        <b/>
        <sz val="18"/>
        <color theme="1"/>
        <rFont val="Arial Rounded MT Bold"/>
        <family val="2"/>
      </rPr>
      <t xml:space="preserve"> </t>
    </r>
  </si>
  <si>
    <r>
      <t>Unadjusted Indirect SHA Spend by year</t>
    </r>
    <r>
      <rPr>
        <b/>
        <sz val="18"/>
        <color theme="1"/>
        <rFont val="Arial Rounded MT Bold"/>
        <family val="2"/>
      </rPr>
      <t xml:space="preserve"> </t>
    </r>
  </si>
  <si>
    <r>
      <t>Adjusted Indirect SHA Spend by year</t>
    </r>
    <r>
      <rPr>
        <b/>
        <sz val="18"/>
        <color theme="1"/>
        <rFont val="Arial Rounded MT Bold"/>
        <family val="2"/>
      </rPr>
      <t xml:space="preserve"> </t>
    </r>
  </si>
  <si>
    <r>
      <t>Adjusted Indirect Hospital Spend by year (FTs and Trusts)</t>
    </r>
    <r>
      <rPr>
        <b/>
        <sz val="18"/>
        <color theme="1"/>
        <rFont val="Arial Rounded MT Bold"/>
        <family val="2"/>
      </rPr>
      <t xml:space="preserve"> </t>
    </r>
  </si>
  <si>
    <r>
      <t>Unadjusted Indirect Hospital Spend by year (FTs and Trusts)</t>
    </r>
    <r>
      <rPr>
        <b/>
        <sz val="18"/>
        <color theme="1"/>
        <rFont val="Arial Rounded MT Bold"/>
        <family val="2"/>
      </rPr>
      <t xml:space="preserve"> </t>
    </r>
  </si>
  <si>
    <t>Unadjusted Total Volume and Spend by Major Staff Groups</t>
  </si>
  <si>
    <t>Prescribing</t>
  </si>
  <si>
    <r>
      <t>Indirect PCT Spend in current prices</t>
    </r>
    <r>
      <rPr>
        <b/>
        <sz val="18"/>
        <color theme="1"/>
        <rFont val="Arial Rounded MT Bold"/>
        <family val="2"/>
      </rPr>
      <t xml:space="preserve"> </t>
    </r>
  </si>
  <si>
    <t>Outputs - HES</t>
  </si>
  <si>
    <t>Qt</t>
  </si>
  <si>
    <t>QtPt-1</t>
  </si>
  <si>
    <t>Qt-1Pt</t>
  </si>
  <si>
    <t>Qt-1Pt-1</t>
  </si>
  <si>
    <t>A&amp;E Services</t>
  </si>
  <si>
    <t>Chemo/Radiotherapy &amp; High Cost Drugs</t>
  </si>
  <si>
    <t>Community Care</t>
  </si>
  <si>
    <t>Diagnostic Tests</t>
  </si>
  <si>
    <t>Hospital and Non-Admitted Mental Health</t>
  </si>
  <si>
    <t>Hospital/Patient Transport Scheme</t>
  </si>
  <si>
    <t>Outpatient</t>
  </si>
  <si>
    <t>Radiology</t>
  </si>
  <si>
    <t>Rehabilitation</t>
  </si>
  <si>
    <t>Renal Dialysis</t>
  </si>
  <si>
    <t>Specialist Services</t>
  </si>
  <si>
    <t>Outputs - Reference Costs</t>
  </si>
  <si>
    <t>Productivity</t>
  </si>
  <si>
    <t>Mixed</t>
  </si>
  <si>
    <t>RC</t>
  </si>
  <si>
    <t>Total NHS</t>
  </si>
  <si>
    <t>Output growth</t>
  </si>
  <si>
    <t>Output index</t>
  </si>
  <si>
    <t>Input growth</t>
  </si>
  <si>
    <t>Input index</t>
  </si>
  <si>
    <t>Productivity index</t>
  </si>
  <si>
    <t>Productivity growth</t>
  </si>
  <si>
    <t>2004/5 - 2005/6</t>
  </si>
  <si>
    <t>2005/6 - 2006/7</t>
  </si>
  <si>
    <t>2006/7 - 2007/8</t>
  </si>
  <si>
    <t>2007/8 - 2008/9</t>
  </si>
  <si>
    <t>2008/9 - 2009/10</t>
  </si>
  <si>
    <t>2009/10-2010/11</t>
  </si>
  <si>
    <t>Productivity estimates: indirect method for L</t>
  </si>
  <si>
    <t>TFR</t>
  </si>
  <si>
    <t>Indirect</t>
  </si>
  <si>
    <t>Hospital dental staff</t>
  </si>
  <si>
    <t>Community/public health medical staff</t>
  </si>
  <si>
    <t>Community/public health dental staff</t>
  </si>
  <si>
    <t>Ambulance</t>
  </si>
  <si>
    <t>Administration &amp; estates</t>
  </si>
  <si>
    <t>Health care assistants</t>
  </si>
  <si>
    <t>Support staff</t>
  </si>
  <si>
    <t>Nursing, midwifery and HV</t>
  </si>
  <si>
    <t>Scientific, therapeutic &amp; Technical</t>
  </si>
  <si>
    <t>General payments</t>
  </si>
  <si>
    <t>Not known</t>
  </si>
  <si>
    <t>0: All directly employed NHS staff</t>
  </si>
  <si>
    <t>1: All directly employed medical &amp; dental staff</t>
  </si>
  <si>
    <t>2: Hospital medical staff</t>
  </si>
  <si>
    <t>Inputs: Intermediates, direct approach</t>
  </si>
  <si>
    <t>Data sources for direct calculation of Intermediates:</t>
  </si>
  <si>
    <t>Capital Costs - Current expenditure (£'000)</t>
  </si>
  <si>
    <t>NHS hospitals, foundation trusts and ambulance trusts</t>
  </si>
  <si>
    <t>2004/5</t>
  </si>
  <si>
    <t>2005/6</t>
  </si>
  <si>
    <t>2006/7</t>
  </si>
  <si>
    <t>2007/8</t>
  </si>
  <si>
    <t>2008/9</t>
  </si>
  <si>
    <t>Equipment</t>
  </si>
  <si>
    <t xml:space="preserve">Medical &amp; Surgical Equipment - Purchase </t>
  </si>
  <si>
    <t xml:space="preserve">Medical &amp; Surgical Equipment - Maintenance </t>
  </si>
  <si>
    <t xml:space="preserve">X-Ray Equipment - Purchase </t>
  </si>
  <si>
    <t xml:space="preserve">X-Ray Equipment - Maintenance </t>
  </si>
  <si>
    <t xml:space="preserve">Appliances </t>
  </si>
  <si>
    <t xml:space="preserve">Laboratory Equipment - Purchase </t>
  </si>
  <si>
    <t xml:space="preserve">Laboratory Equipment - Maintenance </t>
  </si>
  <si>
    <t xml:space="preserve">Furniture, Office &amp; Computer Equipment </t>
  </si>
  <si>
    <t>Computer Hardware-Maintenance &amp; Data Processing Contracts</t>
  </si>
  <si>
    <t>FT services and supplies</t>
  </si>
  <si>
    <t>FT operating lease rentals and Plant and Machinery</t>
  </si>
  <si>
    <t>Premises</t>
  </si>
  <si>
    <t xml:space="preserve">Building and Engineering Equipment </t>
  </si>
  <si>
    <t xml:space="preserve">Building &amp; Engineering Contracts </t>
  </si>
  <si>
    <t>FT premises - capital items</t>
  </si>
  <si>
    <t xml:space="preserve">Business Rates </t>
  </si>
  <si>
    <t>Current expenditure</t>
  </si>
  <si>
    <t>NHS staff</t>
  </si>
  <si>
    <t>Agency staff</t>
  </si>
  <si>
    <t>Intermediates (RC)</t>
  </si>
  <si>
    <t>Primary Care</t>
  </si>
  <si>
    <t>DH Adminstration</t>
  </si>
  <si>
    <t xml:space="preserve">Total </t>
  </si>
  <si>
    <t>Constant expenditure</t>
  </si>
  <si>
    <t>MSG</t>
  </si>
  <si>
    <t>Medical</t>
  </si>
  <si>
    <t xml:space="preserve">Breakdown by major staff groups </t>
  </si>
  <si>
    <t>Select the view:</t>
  </si>
  <si>
    <t>M</t>
  </si>
  <si>
    <t>Data source: Trusts, Foundation Trusts, SHA and PCT's Financial returns</t>
  </si>
  <si>
    <t>Total inputs</t>
  </si>
  <si>
    <t>TOTAL</t>
  </si>
  <si>
    <t>A&amp;E Services</t>
  </si>
  <si>
    <t>Community Care</t>
  </si>
  <si>
    <t>Diagnostic Tests</t>
  </si>
  <si>
    <t>Hospital and Non-Admitted Mental Health</t>
  </si>
  <si>
    <t>Hospital/Patient Transport Sheme</t>
  </si>
  <si>
    <t>Renal Dialysis</t>
  </si>
  <si>
    <t>Specialist Services</t>
  </si>
  <si>
    <t>Opth&amp;Dentistry</t>
  </si>
  <si>
    <t>Select the setting:</t>
  </si>
  <si>
    <t>Breakdown by different settings</t>
  </si>
  <si>
    <t>Data source: Reference Costs Dataset</t>
  </si>
  <si>
    <t>Reference costs - TOTAL</t>
  </si>
  <si>
    <t>OVERALL REFERENCE COSTS</t>
  </si>
  <si>
    <t>OVERALL REFERENCE COSTS Quality-Adjusted</t>
  </si>
  <si>
    <t>Qadj QtPt-1</t>
  </si>
  <si>
    <t xml:space="preserve">Chemo/Radiotherapy &amp; High Cost Drugs </t>
  </si>
  <si>
    <t>Trusts and Foundation Trusts</t>
  </si>
  <si>
    <t>PCT</t>
  </si>
  <si>
    <t>SHA</t>
  </si>
  <si>
    <t>Adjusted</t>
  </si>
  <si>
    <t>Unadjusted</t>
  </si>
  <si>
    <t>Capital without impairments</t>
  </si>
  <si>
    <t>Data source: Propgen</t>
  </si>
  <si>
    <t>Breakdown by volume and spend</t>
  </si>
  <si>
    <t>Price Index</t>
  </si>
  <si>
    <t>Volume index</t>
  </si>
  <si>
    <t>Ratios relative to previous year</t>
  </si>
  <si>
    <t>Year on year % increase</t>
  </si>
  <si>
    <t>Relative to the latest year</t>
  </si>
  <si>
    <t>BaseYear: 2007/08</t>
  </si>
  <si>
    <t>Opth &amp; Dentistry</t>
  </si>
  <si>
    <t>Breakdown by expenditure</t>
  </si>
  <si>
    <t>Breakdown by expenditure (stacked to 100%)</t>
  </si>
  <si>
    <t>Nb. Of PCTs</t>
  </si>
  <si>
    <t>Total w/o impairments</t>
  </si>
  <si>
    <t>SHAs</t>
  </si>
  <si>
    <t>All trusts</t>
  </si>
  <si>
    <t>CAPITAL COSTS BREAKDOWN</t>
  </si>
  <si>
    <t>Select type of cost</t>
  </si>
  <si>
    <t>Select provider type</t>
  </si>
  <si>
    <t>Deflators</t>
  </si>
  <si>
    <t xml:space="preserve">Data source: ONS MM17 indices, Department of Health </t>
  </si>
  <si>
    <t>Breakdown by specific deflator</t>
  </si>
  <si>
    <t>Pay Index</t>
  </si>
  <si>
    <t>Prices Index</t>
  </si>
  <si>
    <t>Pay &amp; Prices index</t>
  </si>
  <si>
    <t>CHE drugs index</t>
  </si>
  <si>
    <t xml:space="preserve">Medical equipment </t>
  </si>
  <si>
    <t>Computer machinery</t>
  </si>
  <si>
    <t>Electrical Machinery</t>
  </si>
  <si>
    <t>Input type</t>
  </si>
  <si>
    <t>Data source</t>
  </si>
  <si>
    <t>Deflator</t>
  </si>
  <si>
    <t>Electronic staff record</t>
  </si>
  <si>
    <t>CHE pay index from ESR data</t>
  </si>
  <si>
    <t>Organisational financial returns</t>
  </si>
  <si>
    <t>NHS pay index</t>
  </si>
  <si>
    <t>NHS prices index</t>
  </si>
  <si>
    <t xml:space="preserve">ONS MM17 ‘Electrical machinery (3123)’,’ Medical, precision and optical equipment (3300)’; </t>
  </si>
  <si>
    <t>the “Computers and other information processing equipment PQEK” index is no longer available and has been substituted with “Office machinery &amp; computers PVJI”.</t>
  </si>
  <si>
    <t>General medical, dental, ophthalmic care, family health services</t>
  </si>
  <si>
    <t>DH</t>
  </si>
  <si>
    <t>NHS pay index and NHS pay &amp; prices index</t>
  </si>
  <si>
    <t>Prescription cost analysis system</t>
  </si>
  <si>
    <t>CHE prescribing price index</t>
  </si>
  <si>
    <t>Central Administration</t>
  </si>
  <si>
    <t>NHS pay &amp; prices index</t>
  </si>
  <si>
    <t>Intermediates (TFRs)</t>
  </si>
  <si>
    <t>Intermediates (RCs)</t>
  </si>
  <si>
    <t xml:space="preserve">Prescribing </t>
  </si>
  <si>
    <t>Total (TFR)</t>
  </si>
  <si>
    <t>Total (RC)</t>
  </si>
  <si>
    <t>Intermediate (TFRs)</t>
  </si>
  <si>
    <t>Intermediate (RCs)</t>
  </si>
  <si>
    <t>Total (RCs)</t>
  </si>
  <si>
    <t>M0: Medical and dental staff, hospitals</t>
  </si>
  <si>
    <t>M1: Medical and dental staff (locum only)</t>
  </si>
  <si>
    <t>M2: Public health and community health services (medical)</t>
  </si>
  <si>
    <t>M8: Doctors in training</t>
  </si>
  <si>
    <t>Reference Costs</t>
  </si>
  <si>
    <t>Elective and Day Case</t>
  </si>
  <si>
    <t>Non-elective</t>
  </si>
  <si>
    <t>Elective and Day Case Mental Health</t>
  </si>
  <si>
    <t>Non-elective Mental Health</t>
  </si>
  <si>
    <t>M9: GPs and dental*</t>
  </si>
  <si>
    <t>30-day survival</t>
  </si>
  <si>
    <t>Average age</t>
  </si>
  <si>
    <t>Average QALE</t>
  </si>
  <si>
    <t>In Hospital Survival Rates</t>
  </si>
  <si>
    <t xml:space="preserve">Graph for year 2010/2011 </t>
  </si>
  <si>
    <t xml:space="preserve">Note to the user </t>
  </si>
  <si>
    <t>Purpose</t>
  </si>
  <si>
    <t>Use of the spreadsheet</t>
  </si>
  <si>
    <t>Return to the Table of Contents</t>
  </si>
  <si>
    <t>Glossary of terms</t>
  </si>
  <si>
    <t xml:space="preserve">Castelli et al (2008), ‘Measuring NHS output growth’, CHE Research Paper 44. </t>
  </si>
  <si>
    <t>Castelli et al (2007), ‘Improving the measurement of health system output growth’. Health Economics. 2007;16(10):1091-107.</t>
  </si>
  <si>
    <t>Castelli et al (2007), ‘A new approach to measuring health system output growth and productivity’. National Institute Economic Review. 2007; 200 (April):105-117.</t>
  </si>
  <si>
    <t>Street and Ward (2009), ‘NHS input and productivity growth 2003/4 - 2007/8’.CHE Research Paper 47.</t>
  </si>
  <si>
    <t xml:space="preserve">Bojke et al (2010), ‘Regional variation in the productivity of the English National Health Service’. CHE Research Paper 57. </t>
  </si>
  <si>
    <t>Castelli et al (2010), ‘Getting out what we put in: productivity of the English NHS’. Health Economics, Policy and Law, forthcoming.</t>
  </si>
  <si>
    <t>Bojke C, Castelli A, Laudicella M, Street A, Ward P. Regional variation in the productivity of the English National Health Service. Health Economics 2012;DOI:10.1002/hec.2794.</t>
  </si>
  <si>
    <t>Bojke C, Castelli A, Goudie R, Street A, Ward P. Productivity of the English National Health Service 2003-4 to 2009-10. Centre for Health Economics, University of York;CHE Research Paper 76.</t>
  </si>
  <si>
    <t xml:space="preserve">Dawson et al (2005), ‘Developing new approaches to measuring NHS outputs and productivity’, CHE Research Paper 6. </t>
  </si>
  <si>
    <t>Click on the dark blue cell and select a value</t>
  </si>
  <si>
    <t>Publications</t>
  </si>
  <si>
    <t>Pt</t>
  </si>
  <si>
    <t>FTE</t>
  </si>
  <si>
    <t>Full Time Equivalent</t>
  </si>
  <si>
    <t>Current Prices</t>
  </si>
  <si>
    <t>Constant Prices</t>
  </si>
  <si>
    <t>QALE</t>
  </si>
  <si>
    <t>Quality adjusted life expectancy</t>
  </si>
  <si>
    <t>Total Qt</t>
  </si>
  <si>
    <t>2009/10*</t>
  </si>
  <si>
    <t>2010/11*</t>
  </si>
  <si>
    <t>activity</t>
  </si>
  <si>
    <t>cost</t>
  </si>
  <si>
    <t>GP Home visit</t>
  </si>
  <si>
    <t>GP Telephone</t>
  </si>
  <si>
    <t>GP Surgery</t>
  </si>
  <si>
    <t>GP Other</t>
  </si>
  <si>
    <t xml:space="preserve">Practice Nurse </t>
  </si>
  <si>
    <t>Other Clinicians</t>
  </si>
  <si>
    <t>Activity</t>
  </si>
  <si>
    <t>Number og GP Practices</t>
  </si>
  <si>
    <t>GP registered patients (millions)</t>
  </si>
  <si>
    <t>Average number of patients per practice</t>
  </si>
  <si>
    <t>Quality Adjusted Primary Care</t>
  </si>
  <si>
    <t>Prevalence</t>
  </si>
  <si>
    <t>CHD achievement</t>
  </si>
  <si>
    <t>CHD</t>
  </si>
  <si>
    <t>Stroke</t>
  </si>
  <si>
    <t>Hypertension</t>
  </si>
  <si>
    <t>.....</t>
  </si>
  <si>
    <t>Quality Adjusted Values</t>
  </si>
  <si>
    <t>Select the coefficient</t>
  </si>
  <si>
    <t>Glossary</t>
  </si>
  <si>
    <t xml:space="preserve">Definition of the term appears by clicking on it. </t>
  </si>
  <si>
    <t>TERM</t>
  </si>
  <si>
    <t>DEFINITION</t>
  </si>
  <si>
    <t>iView</t>
  </si>
  <si>
    <t>Inputs: direct labour (medical)</t>
  </si>
  <si>
    <t xml:space="preserve">Depreciation </t>
  </si>
  <si>
    <t>Business rates</t>
  </si>
  <si>
    <t>Choice of the deflators</t>
  </si>
  <si>
    <t>Inputs index</t>
  </si>
  <si>
    <t>Calculation of inputs index</t>
  </si>
  <si>
    <t>DH Administration</t>
  </si>
  <si>
    <t>Select the source for the Intermediates:</t>
  </si>
  <si>
    <t xml:space="preserve">Select </t>
  </si>
  <si>
    <t>Select the deflator you would like to change:</t>
  </si>
  <si>
    <t>Change the procentage value of the deflator:</t>
  </si>
  <si>
    <t>Data source: Electronic staff record (iView*)</t>
  </si>
  <si>
    <t>Select the view*:</t>
  </si>
  <si>
    <t>Example of use:</t>
  </si>
  <si>
    <t>Breakdown by medical group*, current prices</t>
  </si>
  <si>
    <t>Total Capital without impairments</t>
  </si>
  <si>
    <t xml:space="preserve">Centre for Health Economics, University of York. </t>
  </si>
  <si>
    <t>Select the source for the intermediates:</t>
  </si>
  <si>
    <t>Current</t>
  </si>
  <si>
    <t>Constant expenditure*</t>
  </si>
  <si>
    <t>Current expenditure*</t>
  </si>
  <si>
    <t>Total NHS inputs</t>
  </si>
  <si>
    <t>Qt*</t>
  </si>
  <si>
    <t>QtPt*</t>
  </si>
  <si>
    <t>Prices, deflated with an appropriate deflator</t>
  </si>
  <si>
    <t>Prices in current values, without deflation</t>
  </si>
  <si>
    <t>Select the value of QA:</t>
  </si>
  <si>
    <t>Proportion with low blood pressure</t>
  </si>
  <si>
    <t>4. Publications</t>
  </si>
  <si>
    <t>4.1 Publications</t>
  </si>
  <si>
    <t>Electronic staff record, provided by NHS Information Centre. iView can be found on the following link: http://www.ic.nhs.uk/iview</t>
  </si>
  <si>
    <t>Cost at time t</t>
  </si>
  <si>
    <t>Cost-weighted output at time t</t>
  </si>
  <si>
    <t>Output at time t</t>
  </si>
  <si>
    <t>have made some revisions to text</t>
  </si>
  <si>
    <t>Primary Care Trust</t>
  </si>
  <si>
    <t>Strategic Health Authority</t>
  </si>
  <si>
    <t>Data source: NHS and Foundation Trust, SHA and PCT Financial returns</t>
  </si>
  <si>
    <t>TOTAL CAPITAL</t>
  </si>
  <si>
    <t>Data source: HES dataset</t>
  </si>
  <si>
    <t>Data source: QResearch, General Patient Survey</t>
  </si>
  <si>
    <t>n/a</t>
  </si>
  <si>
    <t>Constant</t>
  </si>
  <si>
    <t>Intermediate Figures - Current Expenditure (£'000)</t>
  </si>
  <si>
    <t>NHS Hospitals, foundation trusts and ambulance trusts</t>
  </si>
  <si>
    <t>Drugs &amp; gases</t>
  </si>
  <si>
    <t>Clinical supplies &amp; services</t>
  </si>
  <si>
    <t>General supplies &amp; services</t>
  </si>
  <si>
    <t>Establishment</t>
  </si>
  <si>
    <t>Energy &amp; premises</t>
  </si>
  <si>
    <t>External purchasing</t>
  </si>
  <si>
    <t>Miscellaneous</t>
  </si>
  <si>
    <t>Total intermediate costs - SHAs</t>
  </si>
  <si>
    <t xml:space="preserve">Total intermediate costs - NHS </t>
  </si>
  <si>
    <t>Total Intermediates:</t>
  </si>
  <si>
    <t>Select the setting</t>
  </si>
  <si>
    <t>Total intermediates</t>
  </si>
  <si>
    <t>Data source: Financial Returns from Trusts, PCTs and SHAs</t>
  </si>
  <si>
    <t>Direct (FTEs)</t>
  </si>
  <si>
    <t>Indirect (Expenditure)</t>
  </si>
  <si>
    <t xml:space="preserve">Data source: NHS and Foundation Trust, </t>
  </si>
  <si>
    <t>SHA and PCT Financial returns</t>
  </si>
  <si>
    <t>Select data about purchase of services from non-NHS bodies:</t>
  </si>
  <si>
    <t>80th percentile waiting time*</t>
  </si>
  <si>
    <t>Growth Index</t>
  </si>
  <si>
    <t>HES output - HSCI Index w/o Mental Health CIPS</t>
  </si>
  <si>
    <t>Qt Pt</t>
  </si>
  <si>
    <t>Qt-1 Pt</t>
  </si>
  <si>
    <t>Qt Pt-1</t>
  </si>
  <si>
    <t>Qt-1 Pt-1</t>
  </si>
  <si>
    <t>HES output - Quality-Adjusted HSCI Index w/o Mental Health CIPS</t>
  </si>
  <si>
    <t>QA Qt Pt-1</t>
  </si>
  <si>
    <t>HES output - HSCI Elective Index w/o Mental Health CIPS</t>
  </si>
  <si>
    <t>HES output - Quality-Adjusted HSCI Elective Index w/o Mental Health CIPS</t>
  </si>
  <si>
    <t>HES output - HSCI Non-Elective Index w/o Mental Health CIPS</t>
  </si>
  <si>
    <t>HES output - Quality-Adjusted HSCI Non-Elective Index w/o Mental Health CIPS</t>
  </si>
  <si>
    <t>Inpatient Mental Health CIPS HSCI Index</t>
  </si>
  <si>
    <t>HES output - Quality-Adjusted HSCI Index Mental Health CIPS</t>
  </si>
  <si>
    <t>HES elective</t>
  </si>
  <si>
    <t>QA QtPt-1</t>
  </si>
  <si>
    <t>Mental Health</t>
  </si>
  <si>
    <t>Output Index</t>
  </si>
  <si>
    <t>`</t>
  </si>
  <si>
    <t>Medical and Dental Staff</t>
  </si>
  <si>
    <t>Medical &amp; Dental</t>
  </si>
  <si>
    <t>Practice Staff</t>
  </si>
  <si>
    <t>GPs</t>
  </si>
  <si>
    <t>Non Medical Staff</t>
  </si>
  <si>
    <t>Professionally qualified clinical staff</t>
  </si>
  <si>
    <t>Support to clinical staff</t>
  </si>
  <si>
    <t>NHS infrastructure support staff</t>
  </si>
  <si>
    <t>Graph (BaseYear=2004/05)</t>
  </si>
  <si>
    <t>N/A</t>
  </si>
  <si>
    <t> 203,494</t>
  </si>
  <si>
    <t>             237,688</t>
  </si>
  <si>
    <t>             223,873 </t>
  </si>
  <si>
    <t>3.1 Productivity</t>
  </si>
  <si>
    <t>Breakdown of intermediate costs [$]</t>
  </si>
  <si>
    <t>Average Cost [£]</t>
  </si>
  <si>
    <t>Total Spend [£]</t>
  </si>
  <si>
    <t xml:space="preserve"> "PtQt0304renal_values" "377545326.726885"    </t>
  </si>
  <si>
    <t xml:space="preserve">[1] "PtQt0405renal_values" "425844410.655381"    </t>
  </si>
  <si>
    <t xml:space="preserve">[1] "PtQt0506renal_values" "435433343.947271"    </t>
  </si>
  <si>
    <t xml:space="preserve">[1] "PtQt0607renal_values" "438326125.398514"    </t>
  </si>
  <si>
    <t xml:space="preserve">[1] "Pt_1Qt_a_e0405renal_values" "411622952.186612"          </t>
  </si>
  <si>
    <t xml:space="preserve">[1] "Pt_1Qt_a_e0506renal_values" "0"                         </t>
  </si>
  <si>
    <t xml:space="preserve">[1] "Pt_1Qt_a_e0607renal_values" "0"                         </t>
  </si>
  <si>
    <t xml:space="preserve">[1] "PtQt_1_a_e0405renal_values" "388148888.372741"          </t>
  </si>
  <si>
    <t xml:space="preserve">[1] "PtQt_1_a_e0506renal_values" "432678123.400107"          </t>
  </si>
  <si>
    <t xml:space="preserve">[1] "PtQt_1_a_e0607renal_values" "442420934.526261" </t>
  </si>
  <si>
    <t>(other_costs$act_0506*other_costs$cost_0506,na.rm = TRUE)</t>
  </si>
  <si>
    <t>[1] 10239082145</t>
  </si>
  <si>
    <t>&gt; sum(other_costs$act_0405*other_costs$cost_0405,na.rm = TRUE)</t>
  </si>
  <si>
    <t>[1] 9236600997</t>
  </si>
  <si>
    <t>&gt; sum(other_costs$act_0607*other_costs$cost_0607,na.rm = TRUE)</t>
  </si>
  <si>
    <t>[1] 12811252823</t>
  </si>
  <si>
    <t>Reference Costs Activities</t>
  </si>
  <si>
    <t>2011/12</t>
  </si>
  <si>
    <t>total</t>
  </si>
  <si>
    <t>included in NHS staff</t>
  </si>
  <si>
    <t>2003/4</t>
  </si>
  <si>
    <t>2002/3</t>
  </si>
  <si>
    <t>2001/2</t>
  </si>
  <si>
    <t>2000/1</t>
  </si>
  <si>
    <t>NHS Productivity from 1998/99 to 2011/12</t>
  </si>
  <si>
    <t>Volume of consultations:</t>
  </si>
  <si>
    <t>Spend</t>
  </si>
  <si>
    <t>by</t>
  </si>
  <si>
    <t>FTEs</t>
  </si>
  <si>
    <t>Min</t>
  </si>
  <si>
    <t>Max</t>
  </si>
  <si>
    <t>Trend</t>
  </si>
  <si>
    <t xml:space="preserve">Change </t>
  </si>
  <si>
    <t>Current value</t>
  </si>
  <si>
    <t>Minimum</t>
  </si>
  <si>
    <t>Maximum</t>
  </si>
  <si>
    <t xml:space="preserve">Current </t>
  </si>
  <si>
    <t>Trend - current</t>
  </si>
  <si>
    <t>Trend - constant</t>
  </si>
  <si>
    <t>Increase max/min</t>
  </si>
  <si>
    <t>Average cost</t>
  </si>
  <si>
    <t>80th percentile waiting time</t>
  </si>
  <si>
    <t>Medical staff</t>
  </si>
  <si>
    <t>Administration and Estates staff</t>
  </si>
  <si>
    <t>Nursing, midwifery and health visiting staff</t>
  </si>
  <si>
    <t>Scientific, therapeutic and technical staff</t>
  </si>
  <si>
    <t>Healthcare scientists</t>
  </si>
  <si>
    <t>Unknown</t>
  </si>
  <si>
    <t>Non-funded staff*</t>
  </si>
  <si>
    <t xml:space="preserve">Trend </t>
  </si>
  <si>
    <t>YEARS 2007/08 - 2011/12</t>
  </si>
  <si>
    <t xml:space="preserve">Chairman and directors </t>
  </si>
  <si>
    <t>Total labour</t>
  </si>
  <si>
    <t>%change with previous year</t>
  </si>
  <si>
    <t xml:space="preserve">Minimum </t>
  </si>
  <si>
    <t>Andrew Street</t>
  </si>
  <si>
    <t>Health care assistants, other support staff</t>
  </si>
  <si>
    <t xml:space="preserve">Nursing and midwifery learners </t>
  </si>
  <si>
    <t>Ambulance staff</t>
  </si>
  <si>
    <t>Current value 2011/12</t>
  </si>
  <si>
    <t xml:space="preserve">
</t>
  </si>
  <si>
    <t>Health care assistants and other support staff</t>
  </si>
  <si>
    <t>Nursing, midwifery and health visiting learners</t>
  </si>
  <si>
    <t>Percentage change with last year</t>
  </si>
  <si>
    <t>Value in 2011/12</t>
  </si>
  <si>
    <t>http://www.york.ac.uk/media/che/documents/papers/researchpapers/CHERP87_NHS_productivity.pdf</t>
  </si>
  <si>
    <t>Chris Bojke
Adriana Castelli
Katja Grasic
Andrew Street
Padraic Ward</t>
  </si>
  <si>
    <t>Total Value (QtPt)</t>
  </si>
  <si>
    <t>Average 30 day survival</t>
  </si>
  <si>
    <t>Average Life Expectancy</t>
  </si>
  <si>
    <t>Procentage of the total in 2011/12</t>
  </si>
  <si>
    <t>Total number of items prescribed [Px]</t>
  </si>
  <si>
    <t>The total quantity of drugs dispensed [Qt]</t>
  </si>
  <si>
    <t>Indirect labour inputs 1998/99 - 2011/12</t>
  </si>
  <si>
    <t>Current Trend</t>
  </si>
  <si>
    <t>Constant Trend</t>
  </si>
  <si>
    <t xml:space="preserve">All Trusts </t>
  </si>
  <si>
    <t>Graph is rebased to 1998/99.</t>
  </si>
  <si>
    <t>All Trusts  - current</t>
  </si>
  <si>
    <t xml:space="preserve">Total labour - Current </t>
  </si>
  <si>
    <t>All Trusts - Constant</t>
  </si>
  <si>
    <t>Total labour - Constant</t>
  </si>
  <si>
    <t>Indirect intermediates</t>
  </si>
  <si>
    <t>Capital inputs</t>
  </si>
  <si>
    <t>Value in 2004/05</t>
  </si>
  <si>
    <t>Graph shows number of consultations with or without QA</t>
  </si>
  <si>
    <t>Breakdown (in 1000£):</t>
  </si>
  <si>
    <t>Breakdown  (in 1000£):</t>
  </si>
  <si>
    <t>Indirect labour inputs 2004/05 - 2011/12, detailed breakdown</t>
  </si>
  <si>
    <t>Breakdown by major staff groups*</t>
  </si>
  <si>
    <t xml:space="preserve">Total Depreciation </t>
  </si>
  <si>
    <t>Total capital costs - all trusts</t>
  </si>
  <si>
    <t>Total Depreciation &amp; Impairment</t>
  </si>
  <si>
    <t>Total capital costs - PCTs</t>
  </si>
  <si>
    <t>Total capital costs - SHAs</t>
  </si>
  <si>
    <t>Total capital costs - NHS</t>
  </si>
  <si>
    <t>All TrustsEquipment</t>
  </si>
  <si>
    <t>All TrustsPremises</t>
  </si>
  <si>
    <t>PCTsEquipment</t>
  </si>
  <si>
    <t>PCTsPremises</t>
  </si>
  <si>
    <t>20010/11</t>
  </si>
  <si>
    <t>20011/12</t>
  </si>
  <si>
    <t>Settings</t>
  </si>
  <si>
    <t>Volume of activity</t>
  </si>
  <si>
    <t>Hospital</t>
  </si>
  <si>
    <t>We have changed the way we calculate CIPS + Maternity CIPS are included in the Non-elective series from this year onwards.</t>
  </si>
  <si>
    <t>Elective and day cases</t>
  </si>
  <si>
    <t>30-day survival rate</t>
  </si>
  <si>
    <t>Mean life expectancy</t>
  </si>
  <si>
    <t>80th percentile waiting times</t>
  </si>
  <si>
    <t>Non-electives</t>
  </si>
  <si>
    <t>Total hospital activity</t>
  </si>
  <si>
    <t>Growth rates</t>
  </si>
  <si>
    <t>FROM 1998/99 TO 2003/04 WE USED A 'MAPPING' METHOD, WHEREBY ONLY ACTIVITY THAT WAS PRESENT IN ANY TWO ADJACENT YEARS WAS TAKEN INTO ACCOUNT IN THE CALCULATION FOR THE OUTPUT GROWTH INDEX FOR THESE TWO YEARS. THIS MEANS THAT TOTAL ACTIVITY FIGURES WOULD NOT REPRESENT WHAT ACTUALLY WAS USED TO CALCULATE THE OUTPUT GROWTH INDEX. WE HAVE DECIDED TO NOT REPORT THESE DATA. IN 2003/04 WE HAVE DEVELOPED THE SO-CALLED 'IMPUTATION' METHOD, WHEREBY ALL ACTIVITY IS INCLUDED IN THE CALCULATION OF THE OUTPUT GROWTH INDEX. HENCE, FROM THIS YEAR ONWARDS WE REPORT THE DATA. SEE TABLE BELOW.</t>
  </si>
  <si>
    <t>Average unit cost (£)</t>
  </si>
  <si>
    <t>Mean waiting time (weeks)</t>
  </si>
  <si>
    <t>Hospital Mental Health and non-Admitted Mental Health</t>
  </si>
  <si>
    <t>Elective and day cases MH</t>
  </si>
  <si>
    <t>Non-electives MH</t>
  </si>
  <si>
    <t>Other NHS activity</t>
  </si>
  <si>
    <t>Mean waiting times</t>
  </si>
  <si>
    <t>Non-Admitted MH</t>
  </si>
  <si>
    <t>Volume of activity ('000)</t>
  </si>
  <si>
    <t>Current Value</t>
  </si>
  <si>
    <t>Output Growth</t>
  </si>
  <si>
    <t xml:space="preserve"> 1998/99 -1999/00</t>
  </si>
  <si>
    <t>1999/00 -2000/01</t>
  </si>
  <si>
    <t>2000/01 -2001/02</t>
  </si>
  <si>
    <t>2001/02 -2002/03</t>
  </si>
  <si>
    <t>2002/03 -2003/04</t>
  </si>
  <si>
    <t>CWOI</t>
  </si>
  <si>
    <t>Qual ad. CWOI</t>
  </si>
  <si>
    <t>-</t>
  </si>
  <si>
    <t xml:space="preserve">Total NHS output growth </t>
  </si>
  <si>
    <t>2003/04 -2004/05</t>
  </si>
  <si>
    <t>2004/05- 2005/06</t>
  </si>
  <si>
    <t>2005/06 -2006/07</t>
  </si>
  <si>
    <t>2006/07 -2007/08</t>
  </si>
  <si>
    <t>2007/08 - 2008/09</t>
  </si>
  <si>
    <t>2008/09 - 2009/10</t>
  </si>
  <si>
    <t>2009/10 - 2010/11</t>
  </si>
  <si>
    <t>2010/11 -2011/12</t>
  </si>
  <si>
    <t>Hospital Quality Adjusted</t>
  </si>
  <si>
    <t>Outpatient Quality Adjusted</t>
  </si>
  <si>
    <t>Primary Care Quality Adjusted</t>
  </si>
  <si>
    <t xml:space="preserve">Total Quality Adjusted NHS output growth </t>
  </si>
  <si>
    <t>Output growth by setting, based on 1998/99</t>
  </si>
  <si>
    <t xml:space="preserve">                                                                                                                                </t>
  </si>
  <si>
    <t>Input</t>
  </si>
  <si>
    <t>QA Output</t>
  </si>
  <si>
    <t>QA Productivity</t>
  </si>
  <si>
    <t>Output growth Index</t>
  </si>
  <si>
    <t>Input growth Index</t>
  </si>
  <si>
    <t>Productivity Index</t>
  </si>
  <si>
    <t xml:space="preserve">Table of contents </t>
  </si>
  <si>
    <t>THESE ARE THE NEW SUMMARY STATISTICs, OBTAINED BY SHIFTING ALL N HRGS TO NON-ELECTIVES CATEGORY</t>
  </si>
  <si>
    <t>Electives - 80th percentile wait</t>
  </si>
  <si>
    <t>Electives - mean wait</t>
  </si>
  <si>
    <t>Outpatient - mean wait (DH)</t>
  </si>
  <si>
    <t>Outpatient - mean wait (HES OMD)</t>
  </si>
  <si>
    <t>Electives</t>
  </si>
  <si>
    <t>Waiting times</t>
  </si>
  <si>
    <t xml:space="preserve">Volume of activity </t>
  </si>
  <si>
    <t>Value in 1998/99</t>
  </si>
  <si>
    <t>Data source: Quality and Outcomes Framework (QOF)</t>
  </si>
  <si>
    <t>Prevalence of medical condition and QoF achievement</t>
  </si>
  <si>
    <t xml:space="preserve">Sparklines show the trend of individual items (or of an individual item) reported over the years. A red dot </t>
  </si>
  <si>
    <t>Clicking on the "Show more data" tab opens up a table with all the underlying figures.</t>
  </si>
  <si>
    <t xml:space="preserve">In the worksheet, words marked with* provide additional explanation. </t>
  </si>
  <si>
    <t>YEARS 1998/99 - 2006/07</t>
  </si>
  <si>
    <t>Data sources: FTEs: Workforce Census for Years 1998/99 - 2006/07; Electronic staff record (iView*) for years 2007/08-2011/12</t>
  </si>
  <si>
    <t>WORKFORCE CENSUS</t>
  </si>
  <si>
    <t>ELECTRONIC STAFF RECORD</t>
  </si>
  <si>
    <t>Value in 2006/07</t>
  </si>
  <si>
    <t xml:space="preserve">Value in 2007/08 </t>
  </si>
  <si>
    <t>The spreadsheet provides some explanations and a glossary, but the user is advised to refer to the report for more detail.</t>
  </si>
  <si>
    <t>Because of several changes in methodology throughout the years, data from 2003/04-2011/12 are often presented separately, in more detail.</t>
  </si>
  <si>
    <t>Boxes showing this information sign provide additional information on the topic of the worksheet and refer the reader to the appropriate page in the report.</t>
  </si>
  <si>
    <t>represents the maximum value achieved. Values on either ends of the sparkline show the values of an</t>
  </si>
  <si>
    <t>individual item at the start and at the end of the time series.</t>
  </si>
  <si>
    <t>Rebased to 1998/99:</t>
  </si>
  <si>
    <t>Breakdown by volume (in 1000s of consultations) and average unit costs</t>
  </si>
  <si>
    <t>% change to previous year</t>
  </si>
  <si>
    <t>% change to  previous year</t>
  </si>
  <si>
    <t xml:space="preserve"> % change to previous year</t>
  </si>
  <si>
    <t>Volume of activity (in mill.)</t>
  </si>
  <si>
    <t>Data source: National Reference Costs database, HES</t>
  </si>
  <si>
    <t>Data source: HES dataset for electives and day cases and non-electives, National Reference Costs dataset for Outpatients</t>
  </si>
  <si>
    <t>mill.</t>
  </si>
  <si>
    <t>Millions</t>
  </si>
  <si>
    <t>The spreadsheet should be used together with the National Productivity Report 2004/05 - 2011/12.</t>
  </si>
  <si>
    <t>2000/02</t>
  </si>
  <si>
    <t>2000/03</t>
  </si>
  <si>
    <t>2000/04</t>
  </si>
  <si>
    <t>2000/05</t>
  </si>
  <si>
    <t>2000/06</t>
  </si>
  <si>
    <t>2000/07</t>
  </si>
  <si>
    <t>2000/08</t>
  </si>
  <si>
    <t>2000/09</t>
  </si>
  <si>
    <t>2000/10</t>
  </si>
  <si>
    <t>2000/11</t>
  </si>
  <si>
    <t>2000/12</t>
  </si>
  <si>
    <t>1. Outputs</t>
  </si>
  <si>
    <t>1.1 Secondary care</t>
  </si>
  <si>
    <t>1.2 Output growth</t>
  </si>
  <si>
    <t>1.3 Primary care</t>
  </si>
  <si>
    <t>1.4 QA Primary care</t>
  </si>
  <si>
    <t>1.5 Prescribing</t>
  </si>
  <si>
    <t>2.1 Direct labour inputs</t>
  </si>
  <si>
    <t>2.2 Indirect Labour Inputs</t>
  </si>
  <si>
    <t>2.3 Capital inputs -all</t>
  </si>
  <si>
    <t>2.4 Capital inputs - recent</t>
  </si>
  <si>
    <t>2.5 Indirect intermediates -all</t>
  </si>
  <si>
    <t>2.6 Indirect intermediates - recent</t>
  </si>
  <si>
    <t>2. Inputs</t>
  </si>
  <si>
    <t>Table of contents</t>
  </si>
  <si>
    <t>Cost-weighted growth</t>
  </si>
  <si>
    <t>Quality adjusted cost-weighted growth</t>
  </si>
  <si>
    <t>Mean Age</t>
  </si>
  <si>
    <t>Growth rate</t>
  </si>
  <si>
    <t>QA growth rate</t>
  </si>
  <si>
    <t>Mean age</t>
  </si>
  <si>
    <t>GP Home Visit</t>
  </si>
  <si>
    <t>GP Phone Consultation</t>
  </si>
  <si>
    <t>GP Surgery Consultation</t>
  </si>
  <si>
    <t>GP Clinic Consultation</t>
  </si>
  <si>
    <t>PN Consultations</t>
  </si>
  <si>
    <t xml:space="preserve"> 2001/02</t>
  </si>
  <si>
    <t>Unit costs</t>
  </si>
  <si>
    <t xml:space="preserve"> - </t>
  </si>
  <si>
    <t>YEARS 1998/99 - 2003/04</t>
  </si>
  <si>
    <t>Practice Nurse Consultations</t>
  </si>
  <si>
    <t>Value in 2003/04</t>
  </si>
  <si>
    <t>Primary care average cost</t>
  </si>
  <si>
    <t>Primary care activity</t>
  </si>
  <si>
    <t>Average</t>
  </si>
  <si>
    <t>Inputs growth</t>
  </si>
  <si>
    <t>Staff</t>
  </si>
  <si>
    <t>Trusts staff</t>
  </si>
  <si>
    <t>Trusts Agency</t>
  </si>
  <si>
    <t>Total staff</t>
  </si>
  <si>
    <t>Total Agency</t>
  </si>
  <si>
    <t>Mean age*</t>
  </si>
  <si>
    <t>Data source: Reference Costs dataset</t>
  </si>
  <si>
    <t>Overall change</t>
  </si>
  <si>
    <t>OVERALL GROWTH</t>
  </si>
  <si>
    <t>Data source: HES inpatient dataset</t>
  </si>
  <si>
    <t>1998/99 -1999/00</t>
  </si>
  <si>
    <t>2000/01 - 2001/02</t>
  </si>
  <si>
    <t>2001/02 - 2002/03</t>
  </si>
  <si>
    <t>2004/05 - 2005/06</t>
  </si>
  <si>
    <t>2005/06 - 2006/07</t>
  </si>
  <si>
    <t>2006/07 - 2007/08</t>
  </si>
  <si>
    <t>2008/09 -2009/10</t>
  </si>
  <si>
    <t>2010/11 - 2011/12</t>
  </si>
  <si>
    <t>Community care</t>
  </si>
  <si>
    <t>Data source: Referece costs dataset</t>
  </si>
  <si>
    <t>Value in 2000/01-2001/02</t>
  </si>
  <si>
    <t>Value in 2010/11-2011/12</t>
  </si>
  <si>
    <t>Outpatient activity</t>
  </si>
  <si>
    <t>Volume</t>
  </si>
  <si>
    <t>of</t>
  </si>
  <si>
    <t>(d)</t>
  </si>
  <si>
    <t>Waiting time</t>
  </si>
  <si>
    <t>5.3 (b) 4.8 (b) 5.1 (b) 5.3 (b) 5.3 (b)</t>
  </si>
  <si>
    <t>QA Output growth</t>
  </si>
  <si>
    <t>Waiting time (in weeks)</t>
  </si>
  <si>
    <t>Value in 1998/99-1999/00</t>
  </si>
  <si>
    <t>Accident and emergency</t>
  </si>
  <si>
    <t>Mental health</t>
  </si>
  <si>
    <t>Data source: Referece costs dataset, HES inpatient dataset</t>
  </si>
  <si>
    <t>Non-Electives</t>
  </si>
  <si>
    <t>2003–2004</t>
  </si>
  <si>
    <t>2004–2005</t>
  </si>
  <si>
    <t>2005–2006</t>
  </si>
  <si>
    <t>2006–2007</t>
  </si>
  <si>
    <t>2007–2008</t>
  </si>
  <si>
    <t>rp43</t>
  </si>
  <si>
    <t>electives</t>
  </si>
  <si>
    <t>cam</t>
  </si>
  <si>
    <t xml:space="preserve">rp76 </t>
  </si>
  <si>
    <t>now</t>
  </si>
  <si>
    <t>non-electives</t>
  </si>
  <si>
    <t>rc</t>
  </si>
  <si>
    <t>30-day</t>
  </si>
  <si>
    <t>survival</t>
  </si>
  <si>
    <t>rate</t>
  </si>
  <si>
    <t>expectancy</t>
  </si>
  <si>
    <t>80th</t>
  </si>
  <si>
    <t>percentile</t>
  </si>
  <si>
    <t>waiting</t>
  </si>
  <si>
    <t>times</t>
  </si>
  <si>
    <t>Mental</t>
  </si>
  <si>
    <t>health</t>
  </si>
  <si>
    <t>inpatient</t>
  </si>
  <si>
    <t>Elective</t>
  </si>
  <si>
    <t>and</t>
  </si>
  <si>
    <t>day</t>
  </si>
  <si>
    <t>cases</t>
  </si>
  <si>
    <t>Mean</t>
  </si>
  <si>
    <t>life</t>
  </si>
  <si>
    <t>Ref</t>
  </si>
  <si>
    <t>Costs</t>
  </si>
  <si>
    <t>Community</t>
  </si>
  <si>
    <t>mental</t>
  </si>
  <si>
    <t>(a)</t>
  </si>
  <si>
    <t>None electives</t>
  </si>
  <si>
    <t>2011/12*</t>
  </si>
  <si>
    <t>Other clinicialn</t>
  </si>
  <si>
    <t>Primary care</t>
  </si>
  <si>
    <t>Data source: National Reference Costs database, HES inpatient, HES outpatient</t>
  </si>
  <si>
    <t>NHS</t>
  </si>
  <si>
    <t>staff</t>
  </si>
  <si>
    <t>Agency</t>
  </si>
  <si>
    <t xml:space="preserve">Capital </t>
  </si>
  <si>
    <t>QA - Prevelance</t>
  </si>
  <si>
    <t>TOTAL NHS INPUT GROWTH</t>
  </si>
  <si>
    <t>Admitted Patient Care</t>
  </si>
  <si>
    <t>Total inpatient activity</t>
  </si>
  <si>
    <t>OVERALL OUTPATIENT ACTIVITY GROWTH</t>
  </si>
  <si>
    <t>Non-admitted mental health</t>
  </si>
  <si>
    <t>Prescribing - total Px</t>
  </si>
  <si>
    <t>PRIMARY CARE GROWTH</t>
  </si>
  <si>
    <t>Cost-weighted primary care growth</t>
  </si>
  <si>
    <t>Quality adjusted cost-weighted  primary care growth</t>
  </si>
  <si>
    <t>Prescribing growth</t>
  </si>
  <si>
    <t>Primary care - total activity (in 1000s)</t>
  </si>
  <si>
    <t>Prescribing - average cost (£)</t>
  </si>
  <si>
    <t>DEFLATORS</t>
  </si>
  <si>
    <t>PRODUCTIVITY</t>
  </si>
  <si>
    <t>Growth rate index</t>
  </si>
  <si>
    <t>Quality adjusted growth rate index</t>
  </si>
  <si>
    <t>Prescribn</t>
  </si>
  <si>
    <t xml:space="preserve">Hospital QA </t>
  </si>
  <si>
    <t>prescribing</t>
  </si>
  <si>
    <t>other</t>
  </si>
  <si>
    <t>OUTPUTS</t>
  </si>
  <si>
    <t>Mental health activity</t>
  </si>
  <si>
    <t>Output type</t>
  </si>
  <si>
    <t>Activity source - x</t>
  </si>
  <si>
    <t>Hospital Episode Statistics</t>
  </si>
  <si>
    <t>Hospital Episode Statistics &amp; Reference Costs</t>
  </si>
  <si>
    <t>A&amp;E</t>
  </si>
  <si>
    <t>Other (1)</t>
  </si>
  <si>
    <t>Pre-2009/10 from QResearch</t>
  </si>
  <si>
    <t>Post-2009/10 from GP patient survey</t>
  </si>
  <si>
    <t>Ophthalmic and dental services</t>
  </si>
  <si>
    <t>Information Centre</t>
  </si>
  <si>
    <t>PSSRU Unit Costs of Health and Social Care</t>
  </si>
  <si>
    <t xml:space="preserve">Inpatient activity: </t>
  </si>
  <si>
    <t>30-day survival; Health Outcomes ; Waiting Times</t>
  </si>
  <si>
    <t>30-day survival; health outcomes</t>
  </si>
  <si>
    <t>QOF data</t>
  </si>
  <si>
    <t>QUALITY ADJUSTMENT</t>
  </si>
  <si>
    <t>Elective activity:</t>
  </si>
  <si>
    <t>Non-elective activity:</t>
  </si>
  <si>
    <t>Mental health:</t>
  </si>
  <si>
    <t>Outpatient activity:</t>
  </si>
  <si>
    <t>Primary care:</t>
  </si>
  <si>
    <t>INPUTS</t>
  </si>
  <si>
    <t>Activity Source - z</t>
  </si>
  <si>
    <t>Indirect (Expenditure) Inputs</t>
  </si>
  <si>
    <t>Laspeyres Indirect Input Index</t>
  </si>
  <si>
    <t>Expenditure - E</t>
  </si>
  <si>
    <t xml:space="preserve">CHE pay index from ESR data </t>
  </si>
  <si>
    <t xml:space="preserve">Health Services Cost Indices for Medical &amp; Surgical equip purchases </t>
  </si>
  <si>
    <t>Department of Health</t>
  </si>
  <si>
    <t>CHE pharmacy price index</t>
  </si>
  <si>
    <t>DIVIDED BY</t>
  </si>
  <si>
    <t>divided by</t>
  </si>
  <si>
    <r>
      <t xml:space="preserve">Price Source - </t>
    </r>
    <r>
      <rPr>
        <sz val="11"/>
        <color theme="0"/>
        <rFont val="Calibri"/>
        <family val="2"/>
      </rPr>
      <t>ω</t>
    </r>
  </si>
  <si>
    <r>
      <t xml:space="preserve">Deflator - </t>
    </r>
    <r>
      <rPr>
        <sz val="11"/>
        <color theme="0"/>
        <rFont val="Calibri"/>
        <family val="2"/>
      </rPr>
      <t>π</t>
    </r>
  </si>
  <si>
    <t>Outline of calculation of national productivity</t>
  </si>
  <si>
    <t>either:</t>
  </si>
  <si>
    <t>NHS staff (calculated in 2 different ways)</t>
  </si>
  <si>
    <t>or:</t>
  </si>
  <si>
    <t>Direct labour calc</t>
  </si>
  <si>
    <t>Indirect labour calc</t>
  </si>
  <si>
    <t xml:space="preserve">Cost source </t>
  </si>
  <si>
    <t xml:space="preserve">Quality Adjustment </t>
  </si>
  <si>
    <t xml:space="preserve">Activity source </t>
  </si>
  <si>
    <t>Health</t>
  </si>
  <si>
    <t>non-Admitted</t>
  </si>
  <si>
    <t>Care</t>
  </si>
  <si>
    <t>Primary</t>
  </si>
  <si>
    <t>0.9998891770.999945480.999946017</t>
  </si>
  <si>
    <t>Value in 1999/00-2000/01</t>
  </si>
  <si>
    <t>QA Output index</t>
  </si>
  <si>
    <t>Additional mean life expectancy</t>
  </si>
  <si>
    <t>TOTAL ADMITTED PATIENT GROWTH (for electives and non-electives combined)</t>
  </si>
  <si>
    <t>Value in 1998/99 (from 2004/05 for staf/agency)</t>
  </si>
  <si>
    <t>Value in 2010/10</t>
  </si>
  <si>
    <t>Prescribing - total spend</t>
  </si>
  <si>
    <t>TOTAL MENTAL HEALTH GROWTH (includes all settings)</t>
  </si>
  <si>
    <t>1.2 Outpatient</t>
  </si>
  <si>
    <t>1.3 Mental Health</t>
  </si>
  <si>
    <t>1.4 Community care</t>
  </si>
  <si>
    <t>1.5 Primary care and Prescribing</t>
  </si>
  <si>
    <t>1.6 Output Growth</t>
  </si>
  <si>
    <t xml:space="preserve">2.2 Capital inputs </t>
  </si>
  <si>
    <t>2.3 Intermediates</t>
  </si>
  <si>
    <t>This spreadsheet allows the user to explore the data used in the calculation of the national productivity figures for the English NHS, produced by the</t>
  </si>
  <si>
    <t>MULTIPLIED BY</t>
  </si>
  <si>
    <t>CHE pay index from ESR data from Organisational financial returns</t>
  </si>
  <si>
    <t>NHS pay index from Organisational financial returns</t>
  </si>
  <si>
    <t>NHS prices index from Organisational financial returns</t>
  </si>
  <si>
    <t>NHS pay index and NHS pay &amp; prices index, from Department of Health</t>
  </si>
  <si>
    <t>CHE pharmacy price index from Prescription cost analysis system</t>
  </si>
  <si>
    <t>Health Services Cost Indices for Medical &amp; Surgical equip, from financial returns</t>
  </si>
  <si>
    <t>NHS pay &amp; prices index from Department of Health</t>
  </si>
  <si>
    <t>2.4 Input Growth</t>
  </si>
  <si>
    <t>3.1 Productivity Growth</t>
  </si>
  <si>
    <t>Labour Inputs</t>
  </si>
  <si>
    <t>INDIRECT LABOUR - from financial returns</t>
  </si>
  <si>
    <t>DIRECT LABOUR - from electronic staff record</t>
  </si>
  <si>
    <t>Trusts staff expenditure</t>
  </si>
  <si>
    <t>Agency staff expenditure</t>
  </si>
  <si>
    <t>Total staff expenditure</t>
  </si>
  <si>
    <t>Trust</t>
  </si>
  <si>
    <t>Organisations financial returns for indirect calculation</t>
  </si>
  <si>
    <t>2.1 Labour inputs</t>
  </si>
  <si>
    <t>1.1 Admitted patient care</t>
  </si>
  <si>
    <t>March,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</si>
</sst>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36">
    <numFmt numFmtId="5" formatCode="&quot;£&quot;#,##0;\-&quot;£&quot;#,##0"/>
    <numFmt numFmtId="6" formatCode="&quot;£&quot;#,##0;[Red]\-&quot;£&quot;#,##0"/>
    <numFmt numFmtId="8" formatCode="&quot;£&quot;#,##0.00;[Red]\-&quot;£&quot;#,##0.00"/>
    <numFmt numFmtId="41" formatCode="_-* #,##0_-;\-* #,##0_-;_-* &quot;-&quot;_-;_-@_-"/>
    <numFmt numFmtId="44" formatCode="_-&quot;£&quot;* #,##0.00_-;\-&quot;£&quot;* #,##0.00_-;_-&quot;£&quot;* &quot;-&quot;??_-;_-@_-"/>
    <numFmt numFmtId="43" formatCode="_-* #,##0.00_-;\-* #,##0.00_-;_-* &quot;-&quot;??_-;_-@_-"/>
    <numFmt numFmtId="164" formatCode="_(* #,##0.00_);_(* \(#,##0.00\);_(* &quot;-&quot;??_);_(@_)"/>
    <numFmt numFmtId="165" formatCode="_-* #,##0_-;\-* #,##0_-;_-* &quot;-&quot;??_-;_-@_-"/>
    <numFmt numFmtId="166" formatCode="0;\-0;;@"/>
    <numFmt numFmtId="167" formatCode="#,##0_ ;\-#,##0\ "/>
    <numFmt numFmtId="168" formatCode="&quot;£&quot;#,##0"/>
    <numFmt numFmtId="169" formatCode="0.0000%"/>
    <numFmt numFmtId="170" formatCode="#,##0_ ;[Red]\-#,##0\ "/>
    <numFmt numFmtId="171" formatCode="#,##0.0"/>
    <numFmt numFmtId="172" formatCode="#,##0;\-#,##0.00_-;&quot;-&quot;"/>
    <numFmt numFmtId="173" formatCode="#,##0.0_);\(#,##0.0\)"/>
    <numFmt numFmtId="174" formatCode="_([$€]* #,##0.00_);_([$€]* \(#,##0.00\);_([$€]* &quot;-&quot;??_);_(@_)"/>
    <numFmt numFmtId="175" formatCode="0.00%;\(0.00%\)"/>
    <numFmt numFmtId="176" formatCode="#,##0;\(#,##0\)"/>
    <numFmt numFmtId="177" formatCode="0.00_)"/>
    <numFmt numFmtId="178" formatCode="\+\ #,##0.0_);\-\ #,##0.0_)"/>
    <numFmt numFmtId="179" formatCode="#,##0;\-#,##0;\-"/>
    <numFmt numFmtId="180" formatCode="&quot;£&quot;#,##0.00"/>
    <numFmt numFmtId="181" formatCode="0.0"/>
    <numFmt numFmtId="182" formatCode="_(* #,##0_);_(* \(#,##0\);_(* &quot;-&quot;??_);_(@_)"/>
    <numFmt numFmtId="183" formatCode="_-* #,##0.0_-;\-* #,##0.0_-;_-* &quot;-&quot;??_-;_-@_-"/>
    <numFmt numFmtId="184" formatCode="_-* #,##0.000_-;\-* #,##0.000_-;_-* &quot;-&quot;??_-;_-@_-"/>
    <numFmt numFmtId="185" formatCode="0.00000%"/>
    <numFmt numFmtId="186" formatCode="0.0%"/>
    <numFmt numFmtId="187" formatCode="#,##0.00_ ;\-#,##0.00\ "/>
    <numFmt numFmtId="188" formatCode="0,000;@"/>
    <numFmt numFmtId="189" formatCode="0.0;\-0.0;;@"/>
    <numFmt numFmtId="190" formatCode="0.00;\-0.00;;@"/>
    <numFmt numFmtId="191" formatCode="_-* #,##0.0000_-;\-* #,##0.0000_-;_-* &quot;-&quot;??_-;_-@_-"/>
    <numFmt numFmtId="192" formatCode="0.000%"/>
    <numFmt numFmtId="193" formatCode="0.0000000000000000%"/>
  </numFmts>
  <fonts count="183" x14ac:knownFonts="1">
    <font>
      <sz val="11"/>
      <color theme="1"/>
      <name val="Calibri"/>
      <family val="2"/>
      <scheme val="minor"/>
    </font>
    <font>
      <sz val="26"/>
      <color theme="1"/>
      <name val="Arial Rounded MT Bold"/>
      <family val="2"/>
    </font>
    <font>
      <sz val="24"/>
      <color theme="1"/>
      <name val="Arial Rounded MT Bold"/>
      <family val="2"/>
    </font>
    <font>
      <sz val="36"/>
      <color theme="1"/>
      <name val="Arial Rounded MT Bold"/>
      <family val="2"/>
    </font>
    <font>
      <sz val="48"/>
      <color theme="1"/>
      <name val="Arial Rounded MT Bold"/>
      <family val="2"/>
    </font>
    <font>
      <b/>
      <sz val="8"/>
      <color indexed="81"/>
      <name val="Tahoma"/>
      <family val="2"/>
    </font>
    <font>
      <sz val="8"/>
      <color indexed="81"/>
      <name val="Tahoma"/>
      <family val="2"/>
    </font>
    <font>
      <sz val="11"/>
      <color theme="1"/>
      <name val="Calibri"/>
      <family val="2"/>
      <scheme val="minor"/>
    </font>
    <font>
      <sz val="11"/>
      <color theme="1"/>
      <name val="Arial Rounded MT Bold"/>
      <family val="2"/>
    </font>
    <font>
      <sz val="14"/>
      <color theme="1"/>
      <name val="Calibri"/>
      <family val="2"/>
      <scheme val="minor"/>
    </font>
    <font>
      <sz val="18"/>
      <color theme="1"/>
      <name val="Calibri"/>
      <family val="2"/>
      <scheme val="minor"/>
    </font>
    <font>
      <sz val="18"/>
      <color theme="1"/>
      <name val="Arial Rounded MT Bold"/>
      <family val="2"/>
    </font>
    <font>
      <b/>
      <sz val="18"/>
      <color theme="1"/>
      <name val="Arial Rounded MT Bold"/>
      <family val="2"/>
    </font>
    <font>
      <sz val="11"/>
      <color theme="1"/>
      <name val="Arial"/>
      <family val="2"/>
    </font>
    <font>
      <sz val="18"/>
      <color theme="1"/>
      <name val="Arial"/>
      <family val="2"/>
    </font>
    <font>
      <b/>
      <sz val="10"/>
      <color rgb="FFFFFFFF"/>
      <name val="Arial Rounded MT Bold"/>
      <family val="2"/>
    </font>
    <font>
      <sz val="10"/>
      <color rgb="FF000000"/>
      <name val="Arial Rounded MT Bold"/>
      <family val="2"/>
    </font>
    <font>
      <b/>
      <sz val="18"/>
      <color rgb="FF003399"/>
      <name val="Arial Rounded MT Bold"/>
      <family val="2"/>
    </font>
    <font>
      <b/>
      <sz val="18"/>
      <color rgb="FFFFFFFF"/>
      <name val="Arial Rounded MT Bold"/>
      <family val="2"/>
    </font>
    <font>
      <sz val="18"/>
      <color rgb="FF000000"/>
      <name val="Arial Rounded MT Bold"/>
      <family val="2"/>
    </font>
    <font>
      <b/>
      <sz val="18"/>
      <color theme="1"/>
      <name val="Arial"/>
      <family val="2"/>
    </font>
    <font>
      <sz val="18"/>
      <color rgb="FF003399"/>
      <name val="Arial Rounded MT Bold"/>
      <family val="2"/>
    </font>
    <font>
      <sz val="10"/>
      <name val="Arial"/>
      <family val="2"/>
    </font>
    <font>
      <sz val="18"/>
      <name val="Arial Rounded MT Bold"/>
      <family val="2"/>
    </font>
    <font>
      <b/>
      <sz val="18"/>
      <name val="Arial"/>
      <family val="2"/>
    </font>
    <font>
      <sz val="18"/>
      <name val="Arial"/>
      <family val="2"/>
    </font>
    <font>
      <sz val="12"/>
      <color theme="1"/>
      <name val="Calibri"/>
      <family val="2"/>
      <scheme val="minor"/>
    </font>
    <font>
      <sz val="12"/>
      <name val="Calibri"/>
      <family val="2"/>
      <scheme val="minor"/>
    </font>
    <font>
      <b/>
      <sz val="12"/>
      <color theme="1"/>
      <name val="Calibri"/>
      <family val="2"/>
      <scheme val="minor"/>
    </font>
    <font>
      <b/>
      <sz val="18"/>
      <name val="Arial Rounded MT Bold"/>
      <family val="2"/>
    </font>
    <font>
      <b/>
      <sz val="10"/>
      <color rgb="FF003399"/>
      <name val="Arial Rounded MT Bold"/>
      <family val="2"/>
    </font>
    <font>
      <sz val="10"/>
      <color rgb="FF003399"/>
      <name val="Arial Rounded MT Bold"/>
      <family val="2"/>
    </font>
    <font>
      <sz val="11"/>
      <color theme="0"/>
      <name val="Calibri"/>
      <family val="2"/>
      <scheme val="minor"/>
    </font>
    <font>
      <u/>
      <sz val="11"/>
      <color theme="10"/>
      <name val="Calibri"/>
      <family val="2"/>
    </font>
    <font>
      <sz val="19"/>
      <color theme="1"/>
      <name val="Arial Rounded MT Bold"/>
      <family val="2"/>
    </font>
    <font>
      <sz val="10"/>
      <color theme="1"/>
      <name val="Calibri"/>
      <family val="2"/>
      <scheme val="minor"/>
    </font>
    <font>
      <sz val="11"/>
      <color theme="0"/>
      <name val="Arial Rounded MT Bold"/>
      <family val="2"/>
    </font>
    <font>
      <sz val="18"/>
      <color theme="0"/>
      <name val="Arial Rounded MT Bold"/>
      <family val="2"/>
    </font>
    <font>
      <sz val="20"/>
      <color theme="1"/>
      <name val="Arial"/>
      <family val="2"/>
    </font>
    <font>
      <sz val="10"/>
      <color theme="1"/>
      <name val="Arial Rounded MT Bold"/>
      <family val="2"/>
    </font>
    <font>
      <b/>
      <sz val="10"/>
      <color theme="1"/>
      <name val="Arial Rounded MT Bold"/>
      <family val="2"/>
    </font>
    <font>
      <sz val="10"/>
      <name val="Arial Rounded MT Bold"/>
      <family val="2"/>
    </font>
    <font>
      <sz val="10"/>
      <name val="Calibri"/>
      <family val="2"/>
      <scheme val="minor"/>
    </font>
    <font>
      <sz val="10"/>
      <color theme="1"/>
      <name val="Arial"/>
      <family val="2"/>
    </font>
    <font>
      <b/>
      <sz val="10"/>
      <name val="Arial"/>
      <family val="2"/>
    </font>
    <font>
      <b/>
      <sz val="10"/>
      <color theme="1"/>
      <name val="Arial"/>
      <family val="2"/>
    </font>
    <font>
      <b/>
      <sz val="10"/>
      <name val="Arial Rounded MT Bold"/>
      <family val="2"/>
    </font>
    <font>
      <sz val="11"/>
      <color theme="5" tint="-0.249977111117893"/>
      <name val="Calibri"/>
      <family val="2"/>
      <scheme val="minor"/>
    </font>
    <font>
      <b/>
      <sz val="11"/>
      <color theme="0"/>
      <name val="Calibri"/>
      <family val="2"/>
      <scheme val="minor"/>
    </font>
    <font>
      <b/>
      <sz val="11"/>
      <color theme="1"/>
      <name val="Calibri"/>
      <family val="2"/>
      <scheme val="minor"/>
    </font>
    <font>
      <sz val="10"/>
      <color theme="0"/>
      <name val="Arial Rounded MT Bold"/>
      <family val="2"/>
    </font>
    <font>
      <sz val="11"/>
      <name val="Calibri"/>
      <family val="2"/>
      <scheme val="minor"/>
    </font>
    <font>
      <sz val="8"/>
      <color theme="1"/>
      <name val="Calibri"/>
      <family val="2"/>
      <scheme val="minor"/>
    </font>
    <font>
      <sz val="8"/>
      <color theme="0"/>
      <name val="Calibri"/>
      <family val="2"/>
      <scheme val="minor"/>
    </font>
    <font>
      <sz val="10"/>
      <color theme="4" tint="0.59999389629810485"/>
      <name val="Arial Rounded MT Bold"/>
      <family val="2"/>
    </font>
    <font>
      <sz val="10"/>
      <color theme="0"/>
      <name val="Calibri"/>
      <family val="2"/>
      <scheme val="minor"/>
    </font>
    <font>
      <sz val="10"/>
      <color rgb="FF000000"/>
      <name val="Arial"/>
      <family val="2"/>
    </font>
    <font>
      <b/>
      <sz val="14"/>
      <color rgb="FF003399"/>
      <name val="Arial"/>
      <family val="2"/>
    </font>
    <font>
      <b/>
      <sz val="10"/>
      <color rgb="FFFFFFFF"/>
      <name val="Arial"/>
      <family val="2"/>
    </font>
    <font>
      <sz val="10"/>
      <color rgb="FF003399"/>
      <name val="Arial"/>
      <family val="2"/>
    </font>
    <font>
      <sz val="6"/>
      <color theme="1"/>
      <name val="Calibri"/>
      <family val="2"/>
      <scheme val="minor"/>
    </font>
    <font>
      <sz val="6"/>
      <color rgb="FF000000"/>
      <name val="Calibri"/>
      <family val="2"/>
      <scheme val="minor"/>
    </font>
    <font>
      <sz val="18"/>
      <color rgb="FF000000"/>
      <name val="Calibri"/>
      <family val="2"/>
      <scheme val="minor"/>
    </font>
    <font>
      <sz val="12"/>
      <color rgb="FF000000"/>
      <name val="Calibri"/>
      <family val="2"/>
      <scheme val="minor"/>
    </font>
    <font>
      <sz val="16"/>
      <color theme="1"/>
      <name val="Calibri"/>
      <family val="2"/>
      <scheme val="minor"/>
    </font>
    <font>
      <sz val="16"/>
      <color rgb="FF000000"/>
      <name val="Calibri"/>
      <family val="2"/>
      <scheme val="minor"/>
    </font>
    <font>
      <sz val="12"/>
      <color rgb="FF000000"/>
      <name val="Arial Rounded MT Bold"/>
      <family val="2"/>
    </font>
    <font>
      <sz val="12"/>
      <color rgb="FF000000"/>
      <name val="Arial"/>
      <family val="2"/>
    </font>
    <font>
      <b/>
      <sz val="16"/>
      <color rgb="FFFFFFFF"/>
      <name val="Arial Rounded MT Bold"/>
      <family val="2"/>
    </font>
    <font>
      <sz val="16"/>
      <color rgb="FF000000"/>
      <name val="Arial Rounded MT Bold"/>
      <family val="2"/>
    </font>
    <font>
      <sz val="12"/>
      <color theme="1"/>
      <name val="Arial"/>
      <family val="2"/>
      <charset val="238"/>
    </font>
    <font>
      <sz val="7"/>
      <name val="Arial"/>
      <family val="2"/>
    </font>
    <font>
      <b/>
      <sz val="7"/>
      <name val="Arial Rounded MT Bold"/>
      <family val="2"/>
    </font>
    <font>
      <sz val="5"/>
      <color theme="1"/>
      <name val="Calibri"/>
      <family val="2"/>
      <scheme val="minor"/>
    </font>
    <font>
      <b/>
      <sz val="8"/>
      <name val="Arial Rounded MT Bold"/>
      <family val="2"/>
    </font>
    <font>
      <sz val="11"/>
      <color theme="3" tint="0.39997558519241921"/>
      <name val="Calibri"/>
      <family val="2"/>
      <scheme val="minor"/>
    </font>
    <font>
      <sz val="10"/>
      <color theme="0"/>
      <name val="Arial"/>
      <family val="2"/>
    </font>
    <font>
      <sz val="8"/>
      <color theme="0"/>
      <name val="Arial Rounded MT Bold"/>
      <family val="2"/>
    </font>
    <font>
      <b/>
      <sz val="8"/>
      <color theme="0"/>
      <name val="Arial Rounded MT Bold"/>
      <family val="2"/>
    </font>
    <font>
      <b/>
      <sz val="8"/>
      <color theme="0"/>
      <name val="Arial Rounded MT Bold"/>
      <family val="2"/>
    </font>
    <font>
      <sz val="8"/>
      <name val="Calibri"/>
      <family val="2"/>
      <scheme val="minor"/>
    </font>
    <font>
      <b/>
      <sz val="10"/>
      <color theme="1"/>
      <name val="Calibri"/>
      <family val="2"/>
      <scheme val="minor"/>
    </font>
    <font>
      <sz val="5"/>
      <color theme="1"/>
      <name val="Arial Rounded MT Bold"/>
      <family val="2"/>
    </font>
    <font>
      <b/>
      <sz val="9"/>
      <color theme="1"/>
      <name val="Calibri"/>
      <family val="2"/>
      <scheme val="minor"/>
    </font>
    <font>
      <sz val="9"/>
      <color theme="1"/>
      <name val="Calibri"/>
      <family val="2"/>
      <scheme val="minor"/>
    </font>
    <font>
      <sz val="9"/>
      <name val="Calibri"/>
      <family val="2"/>
      <scheme val="minor"/>
    </font>
    <font>
      <sz val="8"/>
      <color rgb="FF000000"/>
      <name val="Segoe UI"/>
      <family val="2"/>
    </font>
    <font>
      <sz val="8"/>
      <color rgb="FF000000"/>
      <name val="Tahoma"/>
      <family val="2"/>
    </font>
    <font>
      <b/>
      <sz val="10"/>
      <color theme="0"/>
      <name val="Calibri"/>
      <family val="2"/>
      <scheme val="minor"/>
    </font>
    <font>
      <b/>
      <sz val="9"/>
      <name val="Calibri"/>
      <family val="2"/>
      <scheme val="minor"/>
    </font>
    <font>
      <sz val="9"/>
      <color theme="0"/>
      <name val="Calibri"/>
      <family val="2"/>
      <scheme val="minor"/>
    </font>
    <font>
      <sz val="8"/>
      <name val="Arial"/>
      <family val="2"/>
    </font>
    <font>
      <sz val="12"/>
      <name val="Times New Roman"/>
      <family val="1"/>
    </font>
    <font>
      <b/>
      <sz val="8"/>
      <name val="Calibri"/>
      <family val="2"/>
      <scheme val="minor"/>
    </font>
    <font>
      <b/>
      <sz val="10"/>
      <color indexed="18"/>
      <name val="MS Sans Serif"/>
      <family val="2"/>
    </font>
    <font>
      <sz val="11"/>
      <name val="Book Antiqua"/>
      <family val="1"/>
    </font>
    <font>
      <b/>
      <sz val="8"/>
      <name val="Arial"/>
      <family val="2"/>
    </font>
    <font>
      <sz val="10"/>
      <color indexed="24"/>
      <name val="Arial"/>
      <family val="2"/>
    </font>
    <font>
      <sz val="7"/>
      <color indexed="12"/>
      <name val="Arial"/>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b/>
      <i/>
      <sz val="16"/>
      <name val="Helv"/>
    </font>
    <font>
      <sz val="8"/>
      <name val="Tahoma"/>
      <family val="2"/>
    </font>
    <font>
      <sz val="11"/>
      <color indexed="8"/>
      <name val="Times New Roman"/>
      <family val="1"/>
    </font>
    <font>
      <sz val="8.5"/>
      <name val="Times New Roman"/>
      <family val="1"/>
    </font>
    <font>
      <b/>
      <sz val="16"/>
      <color indexed="9"/>
      <name val="Arial"/>
      <family val="2"/>
    </font>
    <font>
      <sz val="10"/>
      <color theme="1"/>
      <name val="Arial Rounded MT Bold"/>
      <family val="2"/>
    </font>
    <font>
      <sz val="11"/>
      <color rgb="FFFF0000"/>
      <name val="Calibri"/>
      <family val="2"/>
      <scheme val="minor"/>
    </font>
    <font>
      <sz val="10"/>
      <color theme="5" tint="-0.249977111117893"/>
      <name val="Calibri"/>
      <family val="2"/>
      <scheme val="minor"/>
    </font>
    <font>
      <sz val="24"/>
      <color theme="1"/>
      <name val="Calibri"/>
      <family val="2"/>
      <scheme val="minor"/>
    </font>
    <font>
      <b/>
      <sz val="8"/>
      <color theme="1"/>
      <name val="Calibri"/>
      <family val="2"/>
      <scheme val="minor"/>
    </font>
    <font>
      <sz val="19"/>
      <color theme="0"/>
      <name val="Calibri"/>
      <family val="2"/>
      <scheme val="minor"/>
    </font>
    <font>
      <sz val="10"/>
      <color rgb="FFFF0000"/>
      <name val="Calibri"/>
      <family val="2"/>
      <scheme val="minor"/>
    </font>
    <font>
      <b/>
      <sz val="10"/>
      <name val="Calibri"/>
      <family val="2"/>
      <scheme val="minor"/>
    </font>
    <font>
      <sz val="19"/>
      <color theme="1"/>
      <name val="Calibri"/>
      <family val="2"/>
      <scheme val="minor"/>
    </font>
    <font>
      <sz val="36"/>
      <color theme="1"/>
      <name val="Calibri"/>
      <family val="2"/>
      <scheme val="minor"/>
    </font>
    <font>
      <sz val="28"/>
      <color theme="1"/>
      <name val="Calibri"/>
      <family val="2"/>
      <scheme val="minor"/>
    </font>
    <font>
      <sz val="14"/>
      <name val="Calibri"/>
      <family val="2"/>
      <scheme val="minor"/>
    </font>
    <font>
      <sz val="26"/>
      <name val="Calibri"/>
      <family val="2"/>
      <scheme val="minor"/>
    </font>
    <font>
      <sz val="18"/>
      <name val="Calibri"/>
      <family val="2"/>
      <scheme val="minor"/>
    </font>
    <font>
      <sz val="26"/>
      <color theme="1"/>
      <name val="Calibri"/>
      <family val="2"/>
      <scheme val="minor"/>
    </font>
    <font>
      <u/>
      <sz val="11"/>
      <color theme="10"/>
      <name val="Calibri"/>
      <family val="2"/>
      <scheme val="minor"/>
    </font>
    <font>
      <sz val="10"/>
      <color theme="3"/>
      <name val="Calibri"/>
      <family val="2"/>
      <scheme val="minor"/>
    </font>
    <font>
      <sz val="18"/>
      <color theme="0"/>
      <name val="Calibri"/>
      <family val="2"/>
      <scheme val="minor"/>
    </font>
    <font>
      <b/>
      <sz val="8"/>
      <color theme="0"/>
      <name val="Calibri"/>
      <family val="2"/>
      <scheme val="minor"/>
    </font>
    <font>
      <sz val="48"/>
      <color theme="1"/>
      <name val="Calibri"/>
      <family val="2"/>
      <scheme val="minor"/>
    </font>
    <font>
      <sz val="5"/>
      <color theme="0"/>
      <name val="Calibri"/>
      <family val="2"/>
      <scheme val="minor"/>
    </font>
    <font>
      <u/>
      <sz val="10"/>
      <color theme="10"/>
      <name val="Calibri"/>
      <family val="2"/>
      <scheme val="minor"/>
    </font>
    <font>
      <sz val="24"/>
      <name val="Calibri"/>
      <family val="2"/>
      <scheme val="minor"/>
    </font>
    <font>
      <sz val="48"/>
      <name val="Calibri"/>
      <family val="2"/>
      <scheme val="minor"/>
    </font>
    <font>
      <u/>
      <sz val="11"/>
      <color rgb="FF0000FF"/>
      <name val="Calibri"/>
      <family val="2"/>
      <scheme val="minor"/>
    </font>
    <font>
      <u/>
      <sz val="11"/>
      <color rgb="FF800080"/>
      <name val="Calibri"/>
      <family val="2"/>
      <scheme val="minor"/>
    </font>
    <font>
      <b/>
      <sz val="11"/>
      <name val="Calibri"/>
      <family val="2"/>
      <scheme val="minor"/>
    </font>
    <font>
      <i/>
      <sz val="11"/>
      <color theme="1"/>
      <name val="Calibri"/>
      <family val="2"/>
      <scheme val="minor"/>
    </font>
    <font>
      <b/>
      <sz val="11"/>
      <color rgb="FFFF0000"/>
      <name val="Calibri"/>
      <family val="2"/>
      <scheme val="minor"/>
    </font>
    <font>
      <b/>
      <i/>
      <sz val="11"/>
      <color theme="1"/>
      <name val="Calibri"/>
      <family val="2"/>
      <scheme val="minor"/>
    </font>
    <font>
      <sz val="11"/>
      <color rgb="FF000000"/>
      <name val="Calibri"/>
      <family val="2"/>
      <scheme val="minor"/>
    </font>
    <font>
      <b/>
      <sz val="9"/>
      <color indexed="81"/>
      <name val="Tahoma"/>
      <family val="2"/>
    </font>
    <font>
      <sz val="9"/>
      <color indexed="81"/>
      <name val="Tahoma"/>
      <family val="2"/>
    </font>
    <font>
      <b/>
      <sz val="10"/>
      <color rgb="FFFF0000"/>
      <name val="Calibri"/>
      <family val="2"/>
      <scheme val="minor"/>
    </font>
    <font>
      <b/>
      <sz val="10"/>
      <color theme="0"/>
      <name val="Calibri"/>
      <family val="2"/>
    </font>
    <font>
      <sz val="10"/>
      <color theme="0"/>
      <name val="Calibri"/>
      <family val="2"/>
    </font>
    <font>
      <sz val="8"/>
      <color rgb="FF000000"/>
      <name val="Calibri"/>
      <family val="2"/>
      <scheme val="minor"/>
    </font>
    <font>
      <sz val="9"/>
      <color rgb="FF000000"/>
      <name val="Calibri"/>
      <family val="2"/>
      <scheme val="minor"/>
    </font>
    <font>
      <sz val="5"/>
      <name val="Calibri"/>
      <family val="2"/>
      <scheme val="minor"/>
    </font>
    <font>
      <sz val="10"/>
      <color rgb="FF000000"/>
      <name val="Calibri"/>
      <family val="2"/>
      <scheme val="minor"/>
    </font>
    <font>
      <b/>
      <i/>
      <sz val="11"/>
      <color theme="0"/>
      <name val="Calibri"/>
      <family val="2"/>
      <scheme val="minor"/>
    </font>
    <font>
      <sz val="11"/>
      <color theme="3"/>
      <name val="Calibri"/>
      <family val="2"/>
      <scheme val="minor"/>
    </font>
    <font>
      <b/>
      <sz val="12"/>
      <color rgb="FFFF0000"/>
      <name val="Calibri"/>
      <family val="2"/>
      <scheme val="minor"/>
    </font>
    <font>
      <sz val="18"/>
      <color rgb="FFFF0000"/>
      <name val="Calibri"/>
      <family val="2"/>
      <scheme val="minor"/>
    </font>
    <font>
      <sz val="8"/>
      <color rgb="FFFF0000"/>
      <name val="Calibri"/>
      <family val="2"/>
      <scheme val="minor"/>
    </font>
    <font>
      <b/>
      <sz val="7"/>
      <color theme="1"/>
      <name val="Calibri"/>
      <family val="2"/>
      <scheme val="minor"/>
    </font>
    <font>
      <b/>
      <sz val="13"/>
      <color theme="1"/>
      <name val="Calibri"/>
      <family val="2"/>
      <scheme val="minor"/>
    </font>
    <font>
      <u/>
      <sz val="10"/>
      <color theme="10"/>
      <name val="Calibri"/>
      <family val="2"/>
    </font>
    <font>
      <sz val="13"/>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9"/>
      <color rgb="FFFF0000"/>
      <name val="Calibri"/>
      <family val="2"/>
      <scheme val="minor"/>
    </font>
    <font>
      <b/>
      <sz val="8"/>
      <color rgb="FFFF0000"/>
      <name val="Calibri"/>
      <family val="2"/>
      <scheme val="minor"/>
    </font>
    <font>
      <b/>
      <sz val="9"/>
      <color rgb="FFFF0000"/>
      <name val="Calibri"/>
      <family val="2"/>
      <scheme val="minor"/>
    </font>
    <font>
      <b/>
      <sz val="11"/>
      <color theme="5" tint="-0.249977111117893"/>
      <name val="Calibri"/>
      <family val="2"/>
      <scheme val="minor"/>
    </font>
    <font>
      <sz val="10"/>
      <color theme="5"/>
      <name val="Calibri"/>
      <family val="2"/>
      <scheme val="minor"/>
    </font>
    <font>
      <sz val="11"/>
      <color theme="5"/>
      <name val="Calibri"/>
      <family val="2"/>
      <scheme val="minor"/>
    </font>
    <font>
      <sz val="9"/>
      <color theme="5"/>
      <name val="Calibri"/>
      <family val="2"/>
      <scheme val="minor"/>
    </font>
    <font>
      <b/>
      <sz val="9"/>
      <color theme="0"/>
      <name val="Calibri"/>
      <family val="2"/>
      <scheme val="minor"/>
    </font>
    <font>
      <b/>
      <sz val="15"/>
      <color theme="1"/>
      <name val="Calibri"/>
      <family val="2"/>
      <scheme val="minor"/>
    </font>
    <font>
      <b/>
      <sz val="15"/>
      <name val="Calibri"/>
      <family val="2"/>
      <scheme val="minor"/>
    </font>
    <font>
      <i/>
      <sz val="9"/>
      <color theme="1"/>
      <name val="Calibri"/>
      <family val="2"/>
      <scheme val="minor"/>
    </font>
    <font>
      <sz val="11"/>
      <color theme="0"/>
      <name val="Calibri"/>
      <family val="2"/>
    </font>
    <font>
      <sz val="10"/>
      <color rgb="FFFFFF00"/>
      <name val="Calibri"/>
      <family val="2"/>
      <scheme val="minor"/>
    </font>
  </fonts>
  <fills count="54">
    <fill>
      <patternFill patternType="none"/>
    </fill>
    <fill>
      <patternFill patternType="gray125"/>
    </fill>
    <fill>
      <patternFill patternType="solid">
        <fgColor rgb="FF6495ED"/>
        <bgColor indexed="64"/>
      </patternFill>
    </fill>
    <fill>
      <patternFill patternType="solid">
        <fgColor rgb="FFFFFFFF"/>
        <bgColor indexed="64"/>
      </patternFill>
    </fill>
    <fill>
      <patternFill patternType="solid">
        <fgColor theme="4" tint="0.59999389629810485"/>
        <bgColor indexed="64"/>
      </patternFill>
    </fill>
    <fill>
      <patternFill patternType="solid">
        <fgColor theme="0"/>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rgb="FFFFFF00"/>
        <bgColor indexed="64"/>
      </patternFill>
    </fill>
    <fill>
      <patternFill patternType="solid">
        <fgColor indexed="51"/>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9"/>
        <bgColor indexed="64"/>
      </patternFill>
    </fill>
    <fill>
      <patternFill patternType="solid">
        <fgColor indexed="24"/>
        <bgColor indexed="64"/>
      </patternFill>
    </fill>
    <fill>
      <patternFill patternType="solid">
        <fgColor theme="5"/>
        <bgColor indexed="64"/>
      </patternFill>
    </fill>
    <fill>
      <patternFill patternType="solid">
        <fgColor theme="0"/>
        <bgColor rgb="FF000000"/>
      </patternFill>
    </fill>
    <fill>
      <patternFill patternType="solid">
        <fgColor theme="4" tint="0.39997558519241921"/>
        <bgColor indexed="64"/>
      </patternFill>
    </fill>
    <fill>
      <patternFill patternType="solid">
        <fgColor theme="4" tint="0.79998168889431442"/>
        <bgColor theme="4" tint="0.79998168889431442"/>
      </patternFill>
    </fill>
    <fill>
      <patternFill patternType="solid">
        <fgColor theme="8" tint="0.59999389629810485"/>
        <bgColor indexed="64"/>
      </patternFill>
    </fill>
    <fill>
      <patternFill patternType="solid">
        <fgColor theme="8"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59999389629810485"/>
        <bgColor indexed="64"/>
      </patternFill>
    </fill>
    <fill>
      <patternFill patternType="solid">
        <fgColor theme="1"/>
        <bgColor indexed="64"/>
      </patternFill>
    </fill>
  </fills>
  <borders count="57">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rgb="FF000000"/>
      </left>
      <right/>
      <top/>
      <bottom style="medium">
        <color indexed="64"/>
      </bottom>
      <diagonal/>
    </border>
    <border>
      <left style="medium">
        <color indexed="64"/>
      </left>
      <right style="thin">
        <color theme="0"/>
      </right>
      <top style="medium">
        <color indexed="64"/>
      </top>
      <bottom style="thick">
        <color theme="0"/>
      </bottom>
      <diagonal/>
    </border>
    <border>
      <left/>
      <right style="thin">
        <color theme="0"/>
      </right>
      <top style="medium">
        <color indexed="64"/>
      </top>
      <bottom style="thick">
        <color theme="0"/>
      </bottom>
      <diagonal/>
    </border>
    <border>
      <left/>
      <right style="medium">
        <color indexed="64"/>
      </right>
      <top style="medium">
        <color indexed="64"/>
      </top>
      <bottom style="thick">
        <color theme="0"/>
      </bottom>
      <diagonal/>
    </border>
    <border>
      <left style="medium">
        <color indexed="64"/>
      </left>
      <right style="thin">
        <color theme="0"/>
      </right>
      <top/>
      <bottom style="thin">
        <color theme="0"/>
      </bottom>
      <diagonal/>
    </border>
    <border>
      <left/>
      <right style="thin">
        <color theme="0"/>
      </right>
      <top/>
      <bottom style="thin">
        <color theme="0"/>
      </bottom>
      <diagonal/>
    </border>
    <border>
      <left/>
      <right style="medium">
        <color indexed="64"/>
      </right>
      <top/>
      <bottom style="thin">
        <color theme="0"/>
      </bottom>
      <diagonal/>
    </border>
    <border>
      <left style="medium">
        <color indexed="64"/>
      </left>
      <right style="thin">
        <color theme="0"/>
      </right>
      <top/>
      <bottom style="medium">
        <color indexed="64"/>
      </bottom>
      <diagonal/>
    </border>
    <border>
      <left/>
      <right style="thin">
        <color theme="0"/>
      </right>
      <top/>
      <bottom style="medium">
        <color indexed="64"/>
      </bottom>
      <diagonal/>
    </border>
    <border>
      <left style="thin">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dashed">
        <color indexed="28"/>
      </left>
      <right style="dashed">
        <color indexed="28"/>
      </right>
      <top style="dashed">
        <color indexed="28"/>
      </top>
      <bottom style="dashed">
        <color indexed="28"/>
      </bottom>
      <diagonal/>
    </border>
    <border>
      <left style="thin">
        <color indexed="64"/>
      </left>
      <right/>
      <top style="thin">
        <color indexed="64"/>
      </top>
      <bottom style="thin">
        <color indexed="64"/>
      </bottom>
      <diagonal/>
    </border>
    <border>
      <left style="double">
        <color indexed="64"/>
      </left>
      <right/>
      <top/>
      <bottom style="double">
        <color indexed="64"/>
      </bottom>
      <diagonal/>
    </border>
    <border>
      <left/>
      <right/>
      <top style="thin">
        <color theme="4" tint="0.39997558519241921"/>
      </top>
      <bottom style="thin">
        <color theme="4" tint="0.39997558519241921"/>
      </bottom>
      <diagonal/>
    </border>
    <border>
      <left/>
      <right/>
      <top/>
      <bottom style="double">
        <color indexed="64"/>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13">
    <xf numFmtId="0" fontId="0" fillId="0" borderId="0"/>
    <xf numFmtId="43" fontId="7"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0" fontId="33" fillId="0" borderId="0" applyNumberFormat="0" applyFill="0" applyBorder="0" applyAlignment="0" applyProtection="0">
      <alignment vertical="top"/>
      <protection locked="0"/>
    </xf>
    <xf numFmtId="9" fontId="7" fillId="0" borderId="0" applyFont="0" applyFill="0" applyBorder="0" applyAlignment="0" applyProtection="0"/>
    <xf numFmtId="172" fontId="22" fillId="0" borderId="0" applyFont="0" applyFill="0" applyBorder="0" applyAlignment="0"/>
    <xf numFmtId="0" fontId="7" fillId="0" borderId="0"/>
    <xf numFmtId="0" fontId="92" fillId="0" borderId="0"/>
    <xf numFmtId="0" fontId="22" fillId="0" borderId="0"/>
    <xf numFmtId="173" fontId="22" fillId="0" borderId="0" applyNumberFormat="0" applyFont="0" applyAlignment="0" applyProtection="0"/>
    <xf numFmtId="0" fontId="94" fillId="0" borderId="0"/>
    <xf numFmtId="37" fontId="91" fillId="0" borderId="27" applyFill="0" applyBorder="0">
      <alignment horizontal="center" vertical="top" wrapText="1"/>
    </xf>
    <xf numFmtId="174" fontId="95" fillId="0" borderId="0" applyFont="0" applyFill="0" applyBorder="0" applyAlignment="0" applyProtection="0"/>
    <xf numFmtId="37" fontId="91" fillId="0" borderId="30" applyNumberFormat="0">
      <alignment horizontal="centerContinuous" vertical="top" wrapText="1"/>
    </xf>
    <xf numFmtId="37" fontId="96" fillId="10" borderId="40" applyBorder="0" applyAlignment="0"/>
    <xf numFmtId="175" fontId="96" fillId="11" borderId="41" applyNumberFormat="0" applyFont="0" applyAlignment="0"/>
    <xf numFmtId="176" fontId="97" fillId="12" borderId="42" applyNumberFormat="0">
      <alignment vertical="center"/>
    </xf>
    <xf numFmtId="37" fontId="98" fillId="0" borderId="27" applyNumberFormat="0" applyBorder="0" applyAlignment="0">
      <protection locked="0"/>
    </xf>
    <xf numFmtId="38" fontId="99" fillId="0" borderId="0"/>
    <xf numFmtId="38" fontId="100" fillId="0" borderId="0"/>
    <xf numFmtId="38" fontId="101" fillId="0" borderId="0"/>
    <xf numFmtId="38" fontId="102" fillId="0" borderId="0"/>
    <xf numFmtId="0" fontId="103" fillId="0" borderId="0"/>
    <xf numFmtId="0" fontId="103" fillId="0" borderId="0"/>
    <xf numFmtId="37" fontId="22" fillId="0" borderId="0" applyBorder="0" applyAlignment="0">
      <alignment horizontal="left"/>
      <protection locked="0"/>
    </xf>
    <xf numFmtId="0" fontId="22" fillId="0" borderId="43" applyBorder="0">
      <alignment horizontal="center" vertical="center" wrapText="1"/>
    </xf>
    <xf numFmtId="177" fontId="104" fillId="0" borderId="0"/>
    <xf numFmtId="0" fontId="105" fillId="0" borderId="0"/>
    <xf numFmtId="40" fontId="106" fillId="13" borderId="0">
      <alignment horizontal="right"/>
    </xf>
    <xf numFmtId="178" fontId="71" fillId="0" borderId="0" applyFont="0" applyFill="0" applyBorder="0" applyProtection="0">
      <alignment horizontal="center"/>
      <protection locked="0"/>
    </xf>
    <xf numFmtId="9" fontId="22" fillId="0" borderId="0" applyFont="0" applyFill="0" applyBorder="0" applyAlignment="0" applyProtection="0"/>
    <xf numFmtId="9" fontId="22" fillId="0" borderId="0" applyFont="0" applyFill="0" applyBorder="0" applyAlignment="0" applyProtection="0"/>
    <xf numFmtId="0" fontId="22" fillId="10" borderId="35" applyBorder="0" applyAlignment="0">
      <alignment horizontal="center" vertical="top"/>
    </xf>
    <xf numFmtId="179" fontId="107" fillId="0" borderId="0" applyNumberFormat="0" applyFill="0" applyBorder="0" applyAlignment="0" applyProtection="0"/>
    <xf numFmtId="176" fontId="108" fillId="14" borderId="0" applyNumberFormat="0">
      <alignment vertical="center"/>
    </xf>
    <xf numFmtId="49" fontId="44" fillId="11" borderId="44">
      <alignment horizontal="center" vertical="center" wrapText="1"/>
    </xf>
    <xf numFmtId="0" fontId="22" fillId="0" borderId="43" applyBorder="0">
      <alignment horizontal="center" vertical="top" wrapText="1"/>
    </xf>
    <xf numFmtId="173" fontId="22" fillId="0" borderId="32" applyNumberFormat="0" applyFont="0" applyFill="0" applyAlignment="0"/>
    <xf numFmtId="41" fontId="22" fillId="0" borderId="0" applyFont="0" applyFill="0" applyBorder="0" applyAlignment="0" applyProtection="0"/>
    <xf numFmtId="0" fontId="92" fillId="0" borderId="0"/>
    <xf numFmtId="0" fontId="22" fillId="0" borderId="0"/>
    <xf numFmtId="0" fontId="133" fillId="0" borderId="0" applyNumberFormat="0" applyFill="0" applyBorder="0" applyAlignment="0" applyProtection="0"/>
    <xf numFmtId="0" fontId="134"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4" fontId="7" fillId="0" borderId="0" applyFont="0" applyFill="0" applyBorder="0" applyAlignment="0" applyProtection="0"/>
    <xf numFmtId="164" fontId="7" fillId="0" borderId="0" applyFont="0" applyFill="0" applyBorder="0" applyAlignment="0" applyProtection="0"/>
    <xf numFmtId="0" fontId="158" fillId="0" borderId="0" applyNumberFormat="0" applyFill="0" applyBorder="0" applyAlignment="0" applyProtection="0"/>
    <xf numFmtId="0" fontId="159" fillId="0" borderId="48" applyNumberFormat="0" applyFill="0" applyAlignment="0" applyProtection="0"/>
    <xf numFmtId="0" fontId="160" fillId="0" borderId="49" applyNumberFormat="0" applyFill="0" applyAlignment="0" applyProtection="0"/>
    <xf numFmtId="0" fontId="161" fillId="0" borderId="50" applyNumberFormat="0" applyFill="0" applyAlignment="0" applyProtection="0"/>
    <xf numFmtId="0" fontId="161" fillId="0" borderId="0" applyNumberFormat="0" applyFill="0" applyBorder="0" applyAlignment="0" applyProtection="0"/>
    <xf numFmtId="0" fontId="162" fillId="21" borderId="0" applyNumberFormat="0" applyBorder="0" applyAlignment="0" applyProtection="0"/>
    <xf numFmtId="0" fontId="163" fillId="22" borderId="0" applyNumberFormat="0" applyBorder="0" applyAlignment="0" applyProtection="0"/>
    <xf numFmtId="0" fontId="164" fillId="23" borderId="0" applyNumberFormat="0" applyBorder="0" applyAlignment="0" applyProtection="0"/>
    <xf numFmtId="0" fontId="165" fillId="24" borderId="51" applyNumberFormat="0" applyAlignment="0" applyProtection="0"/>
    <xf numFmtId="0" fontId="166" fillId="25" borderId="52" applyNumberFormat="0" applyAlignment="0" applyProtection="0"/>
    <xf numFmtId="0" fontId="167" fillId="25" borderId="51" applyNumberFormat="0" applyAlignment="0" applyProtection="0"/>
    <xf numFmtId="0" fontId="168" fillId="0" borderId="53" applyNumberFormat="0" applyFill="0" applyAlignment="0" applyProtection="0"/>
    <xf numFmtId="0" fontId="48" fillId="26" borderId="54" applyNumberFormat="0" applyAlignment="0" applyProtection="0"/>
    <xf numFmtId="0" fontId="110" fillId="0" borderId="0" applyNumberFormat="0" applyFill="0" applyBorder="0" applyAlignment="0" applyProtection="0"/>
    <xf numFmtId="0" fontId="7" fillId="27" borderId="55" applyNumberFormat="0" applyFont="0" applyAlignment="0" applyProtection="0"/>
    <xf numFmtId="0" fontId="169" fillId="0" borderId="0" applyNumberFormat="0" applyFill="0" applyBorder="0" applyAlignment="0" applyProtection="0"/>
    <xf numFmtId="0" fontId="49" fillId="0" borderId="56" applyNumberFormat="0" applyFill="0" applyAlignment="0" applyProtection="0"/>
    <xf numFmtId="0" fontId="32"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32" fillId="51" borderId="0" applyNumberFormat="0" applyBorder="0" applyAlignment="0" applyProtection="0"/>
    <xf numFmtId="0" fontId="133" fillId="0" borderId="0" applyNumberFormat="0" applyFill="0" applyBorder="0" applyAlignment="0" applyProtection="0"/>
    <xf numFmtId="0" fontId="134" fillId="0" borderId="0" applyNumberFormat="0" applyFill="0" applyBorder="0" applyAlignment="0" applyProtection="0"/>
  </cellStyleXfs>
  <cellXfs count="2002">
    <xf numFmtId="0" fontId="0" fillId="0" borderId="0" xfId="0"/>
    <xf numFmtId="0" fontId="1" fillId="0" borderId="0" xfId="0" applyFont="1"/>
    <xf numFmtId="0" fontId="2" fillId="0" borderId="0" xfId="0" applyFont="1"/>
    <xf numFmtId="0" fontId="3" fillId="0" borderId="0" xfId="0" applyFont="1"/>
    <xf numFmtId="0" fontId="4" fillId="0" borderId="0" xfId="0" applyFont="1"/>
    <xf numFmtId="0" fontId="0" fillId="0" borderId="0" xfId="0" applyBorder="1"/>
    <xf numFmtId="0" fontId="0" fillId="0" borderId="0" xfId="0" applyBorder="1" applyAlignment="1">
      <alignment horizontal="center" vertical="center"/>
    </xf>
    <xf numFmtId="0" fontId="0" fillId="0" borderId="14" xfId="0" applyBorder="1"/>
    <xf numFmtId="0" fontId="8" fillId="0" borderId="0" xfId="0" applyFont="1"/>
    <xf numFmtId="0" fontId="9" fillId="0" borderId="0" xfId="0" applyFont="1"/>
    <xf numFmtId="0" fontId="10" fillId="0" borderId="0" xfId="0" applyFont="1"/>
    <xf numFmtId="0" fontId="11" fillId="0" borderId="0" xfId="0" applyFont="1"/>
    <xf numFmtId="0" fontId="12" fillId="0" borderId="0" xfId="0" applyFont="1"/>
    <xf numFmtId="0" fontId="14" fillId="0" borderId="0" xfId="0" applyFont="1"/>
    <xf numFmtId="0" fontId="18" fillId="2" borderId="1" xfId="0" applyFont="1" applyFill="1" applyBorder="1" applyAlignment="1">
      <alignment horizontal="center" vertical="center" wrapText="1"/>
    </xf>
    <xf numFmtId="0" fontId="18" fillId="2" borderId="2" xfId="0" applyFont="1" applyFill="1" applyBorder="1" applyAlignment="1">
      <alignment horizontal="center" vertical="center" wrapText="1"/>
    </xf>
    <xf numFmtId="0" fontId="18" fillId="2" borderId="3" xfId="0" applyFont="1" applyFill="1" applyBorder="1" applyAlignment="1">
      <alignment horizontal="center" vertical="center" wrapText="1"/>
    </xf>
    <xf numFmtId="0" fontId="19" fillId="3" borderId="4" xfId="0" applyFont="1" applyFill="1" applyBorder="1" applyAlignment="1">
      <alignment horizontal="center" vertical="center"/>
    </xf>
    <xf numFmtId="0" fontId="19" fillId="3" borderId="6" xfId="0" applyFont="1" applyFill="1" applyBorder="1" applyAlignment="1">
      <alignment horizontal="center" vertical="center"/>
    </xf>
    <xf numFmtId="0" fontId="11" fillId="0" borderId="0" xfId="0" applyFont="1" applyAlignment="1">
      <alignment horizontal="center" vertical="center"/>
    </xf>
    <xf numFmtId="0" fontId="10" fillId="0" borderId="0" xfId="0" applyFont="1" applyBorder="1"/>
    <xf numFmtId="0" fontId="18" fillId="2" borderId="1" xfId="0" applyFont="1" applyFill="1" applyBorder="1" applyAlignment="1">
      <alignment horizontal="center" wrapText="1"/>
    </xf>
    <xf numFmtId="0" fontId="18" fillId="2" borderId="2" xfId="0" applyFont="1" applyFill="1" applyBorder="1" applyAlignment="1">
      <alignment horizontal="center" wrapText="1"/>
    </xf>
    <xf numFmtId="0" fontId="18" fillId="2" borderId="3" xfId="0" applyFont="1" applyFill="1" applyBorder="1" applyAlignment="1">
      <alignment horizontal="center" wrapText="1"/>
    </xf>
    <xf numFmtId="0" fontId="19" fillId="3" borderId="4" xfId="0" applyFont="1" applyFill="1" applyBorder="1" applyAlignment="1">
      <alignment horizontal="center" vertical="top"/>
    </xf>
    <xf numFmtId="0" fontId="19" fillId="3" borderId="0" xfId="0" applyFont="1" applyFill="1" applyAlignment="1">
      <alignment horizontal="center" vertical="top"/>
    </xf>
    <xf numFmtId="6" fontId="19" fillId="3" borderId="0" xfId="0" applyNumberFormat="1" applyFont="1" applyFill="1" applyAlignment="1">
      <alignment horizontal="center" vertical="top"/>
    </xf>
    <xf numFmtId="10" fontId="19" fillId="3" borderId="0" xfId="0" applyNumberFormat="1" applyFont="1" applyFill="1" applyAlignment="1">
      <alignment horizontal="center" vertical="top"/>
    </xf>
    <xf numFmtId="10" fontId="19" fillId="3" borderId="5" xfId="0" applyNumberFormat="1" applyFont="1" applyFill="1" applyBorder="1" applyAlignment="1">
      <alignment horizontal="center" vertical="top"/>
    </xf>
    <xf numFmtId="0" fontId="19" fillId="3" borderId="6" xfId="0" applyFont="1" applyFill="1" applyBorder="1" applyAlignment="1">
      <alignment horizontal="center" vertical="top"/>
    </xf>
    <xf numFmtId="0" fontId="19" fillId="3" borderId="7" xfId="0" applyFont="1" applyFill="1" applyBorder="1" applyAlignment="1">
      <alignment horizontal="center" vertical="top"/>
    </xf>
    <xf numFmtId="6" fontId="19" fillId="3" borderId="7" xfId="0" applyNumberFormat="1" applyFont="1" applyFill="1" applyBorder="1" applyAlignment="1">
      <alignment horizontal="center" vertical="top"/>
    </xf>
    <xf numFmtId="10" fontId="19" fillId="3" borderId="7" xfId="0" applyNumberFormat="1" applyFont="1" applyFill="1" applyBorder="1" applyAlignment="1">
      <alignment horizontal="center" vertical="top"/>
    </xf>
    <xf numFmtId="10" fontId="19" fillId="3" borderId="8" xfId="0" applyNumberFormat="1" applyFont="1" applyFill="1" applyBorder="1" applyAlignment="1">
      <alignment horizontal="center" vertical="top"/>
    </xf>
    <xf numFmtId="0" fontId="17" fillId="0" borderId="0" xfId="0" applyFont="1" applyBorder="1" applyAlignment="1">
      <alignment wrapText="1"/>
    </xf>
    <xf numFmtId="0" fontId="17" fillId="0" borderId="0" xfId="0" applyFont="1" applyBorder="1" applyAlignment="1">
      <alignment horizontal="center" wrapText="1"/>
    </xf>
    <xf numFmtId="0" fontId="18" fillId="2" borderId="11" xfId="0" applyFont="1" applyFill="1" applyBorder="1" applyAlignment="1">
      <alignment horizontal="center" wrapText="1"/>
    </xf>
    <xf numFmtId="6" fontId="19" fillId="3" borderId="0" xfId="0" applyNumberFormat="1" applyFont="1" applyFill="1" applyBorder="1" applyAlignment="1">
      <alignment horizontal="center" vertical="top"/>
    </xf>
    <xf numFmtId="6" fontId="11" fillId="0" borderId="13" xfId="0" applyNumberFormat="1" applyFont="1" applyBorder="1"/>
    <xf numFmtId="6" fontId="19" fillId="3" borderId="15" xfId="0" applyNumberFormat="1" applyFont="1" applyFill="1" applyBorder="1" applyAlignment="1">
      <alignment horizontal="center" vertical="top"/>
    </xf>
    <xf numFmtId="6" fontId="11" fillId="0" borderId="16" xfId="0" applyNumberFormat="1" applyFont="1" applyBorder="1"/>
    <xf numFmtId="6" fontId="11" fillId="0" borderId="0" xfId="0" applyNumberFormat="1" applyFont="1"/>
    <xf numFmtId="0" fontId="18" fillId="2" borderId="1" xfId="0" applyFont="1" applyFill="1" applyBorder="1" applyAlignment="1">
      <alignment horizontal="center" vertical="center" wrapText="1"/>
    </xf>
    <xf numFmtId="0" fontId="18" fillId="2" borderId="2" xfId="0" applyFont="1" applyFill="1" applyBorder="1" applyAlignment="1">
      <alignment horizontal="center" vertical="center" wrapText="1"/>
    </xf>
    <xf numFmtId="6" fontId="19" fillId="3" borderId="0" xfId="0" applyNumberFormat="1" applyFont="1" applyFill="1" applyAlignment="1">
      <alignment horizontal="center" vertical="center"/>
    </xf>
    <xf numFmtId="10" fontId="19" fillId="3" borderId="0" xfId="0" applyNumberFormat="1" applyFont="1" applyFill="1" applyAlignment="1">
      <alignment horizontal="center" vertical="center"/>
    </xf>
    <xf numFmtId="10" fontId="19" fillId="3" borderId="5" xfId="0" applyNumberFormat="1" applyFont="1" applyFill="1" applyBorder="1" applyAlignment="1">
      <alignment horizontal="center" vertical="center"/>
    </xf>
    <xf numFmtId="6" fontId="19" fillId="3" borderId="7" xfId="0" applyNumberFormat="1" applyFont="1" applyFill="1" applyBorder="1" applyAlignment="1">
      <alignment horizontal="center" vertical="center"/>
    </xf>
    <xf numFmtId="10" fontId="19" fillId="3" borderId="7" xfId="0" applyNumberFormat="1" applyFont="1" applyFill="1" applyBorder="1" applyAlignment="1">
      <alignment horizontal="center" vertical="center"/>
    </xf>
    <xf numFmtId="10" fontId="19" fillId="3" borderId="8" xfId="0" applyNumberFormat="1" applyFont="1" applyFill="1" applyBorder="1" applyAlignment="1">
      <alignment horizontal="center" vertical="center"/>
    </xf>
    <xf numFmtId="0" fontId="18" fillId="2" borderId="1" xfId="0" applyFont="1" applyFill="1" applyBorder="1" applyAlignment="1">
      <alignment horizontal="center" wrapText="1"/>
    </xf>
    <xf numFmtId="0" fontId="18" fillId="2" borderId="2" xfId="0" applyFont="1" applyFill="1" applyBorder="1" applyAlignment="1">
      <alignment horizontal="center" wrapText="1"/>
    </xf>
    <xf numFmtId="0" fontId="8" fillId="0" borderId="0" xfId="0" applyFont="1" applyBorder="1"/>
    <xf numFmtId="0" fontId="18" fillId="2" borderId="1" xfId="0" applyNumberFormat="1" applyFont="1" applyFill="1" applyBorder="1" applyAlignment="1" applyProtection="1">
      <alignment horizontal="center" vertical="top" wrapText="1"/>
    </xf>
    <xf numFmtId="0" fontId="18" fillId="2" borderId="2" xfId="0" applyNumberFormat="1" applyFont="1" applyFill="1" applyBorder="1" applyAlignment="1" applyProtection="1">
      <alignment horizontal="center" vertical="top" wrapText="1"/>
    </xf>
    <xf numFmtId="0" fontId="18" fillId="2" borderId="3" xfId="0" applyNumberFormat="1" applyFont="1" applyFill="1" applyBorder="1" applyAlignment="1" applyProtection="1">
      <alignment horizontal="center" vertical="top" wrapText="1"/>
    </xf>
    <xf numFmtId="0" fontId="19" fillId="3" borderId="4" xfId="0" applyNumberFormat="1" applyFont="1" applyFill="1" applyBorder="1" applyAlignment="1" applyProtection="1">
      <alignment horizontal="center" vertical="top"/>
    </xf>
    <xf numFmtId="3" fontId="19" fillId="3" borderId="0" xfId="0" applyNumberFormat="1" applyFont="1" applyFill="1" applyAlignment="1" applyProtection="1">
      <alignment horizontal="center" vertical="top"/>
    </xf>
    <xf numFmtId="44" fontId="19" fillId="3" borderId="5" xfId="0" applyNumberFormat="1" applyFont="1" applyFill="1" applyBorder="1" applyAlignment="1" applyProtection="1">
      <alignment horizontal="center" vertical="top"/>
    </xf>
    <xf numFmtId="0" fontId="19" fillId="3" borderId="6" xfId="0" applyNumberFormat="1" applyFont="1" applyFill="1" applyBorder="1" applyAlignment="1" applyProtection="1">
      <alignment horizontal="center" vertical="top"/>
    </xf>
    <xf numFmtId="3" fontId="19" fillId="3" borderId="7" xfId="0" applyNumberFormat="1" applyFont="1" applyFill="1" applyBorder="1" applyAlignment="1" applyProtection="1">
      <alignment horizontal="center" vertical="top"/>
    </xf>
    <xf numFmtId="44" fontId="19" fillId="3" borderId="8" xfId="0" applyNumberFormat="1" applyFont="1" applyFill="1" applyBorder="1" applyAlignment="1" applyProtection="1">
      <alignment horizontal="center" vertical="top"/>
    </xf>
    <xf numFmtId="0" fontId="19" fillId="3" borderId="0" xfId="0" applyFont="1" applyFill="1" applyAlignment="1">
      <alignment horizontal="center" vertical="center"/>
    </xf>
    <xf numFmtId="0" fontId="19" fillId="3" borderId="5" xfId="0" applyFont="1" applyFill="1" applyBorder="1" applyAlignment="1">
      <alignment horizontal="center" vertical="center"/>
    </xf>
    <xf numFmtId="0" fontId="19" fillId="3" borderId="7" xfId="0" applyFont="1" applyFill="1" applyBorder="1" applyAlignment="1">
      <alignment horizontal="center" vertical="center"/>
    </xf>
    <xf numFmtId="0" fontId="19" fillId="3" borderId="8" xfId="0" applyFont="1" applyFill="1" applyBorder="1" applyAlignment="1">
      <alignment horizontal="center" vertical="center"/>
    </xf>
    <xf numFmtId="0" fontId="19" fillId="3" borderId="0" xfId="0" applyFont="1" applyFill="1" applyBorder="1" applyAlignment="1">
      <alignment horizontal="center" vertical="center"/>
    </xf>
    <xf numFmtId="10" fontId="19" fillId="3" borderId="0" xfId="0" applyNumberFormat="1" applyFont="1" applyFill="1" applyBorder="1" applyAlignment="1">
      <alignment horizontal="center" vertical="center"/>
    </xf>
    <xf numFmtId="0" fontId="11" fillId="0" borderId="0" xfId="0" applyFont="1" applyBorder="1"/>
    <xf numFmtId="0" fontId="18" fillId="2" borderId="19" xfId="0" applyFont="1" applyFill="1" applyBorder="1" applyAlignment="1">
      <alignment horizontal="center" wrapText="1"/>
    </xf>
    <xf numFmtId="0" fontId="18" fillId="2" borderId="20" xfId="0" applyFont="1" applyFill="1" applyBorder="1" applyAlignment="1">
      <alignment horizontal="center" wrapText="1"/>
    </xf>
    <xf numFmtId="0" fontId="18" fillId="2" borderId="21" xfId="0" applyFont="1" applyFill="1" applyBorder="1" applyAlignment="1">
      <alignment horizontal="center" wrapText="1"/>
    </xf>
    <xf numFmtId="0" fontId="19" fillId="3" borderId="22" xfId="0" applyFont="1" applyFill="1" applyBorder="1" applyAlignment="1">
      <alignment horizontal="center" vertical="center"/>
    </xf>
    <xf numFmtId="0" fontId="19" fillId="3" borderId="23" xfId="0" applyFont="1" applyFill="1" applyBorder="1" applyAlignment="1">
      <alignment horizontal="center" vertical="center"/>
    </xf>
    <xf numFmtId="3" fontId="19" fillId="3" borderId="23" xfId="0" applyNumberFormat="1" applyFont="1" applyFill="1" applyBorder="1" applyAlignment="1">
      <alignment horizontal="center" vertical="center"/>
    </xf>
    <xf numFmtId="6" fontId="19" fillId="3" borderId="24" xfId="0" applyNumberFormat="1" applyFont="1" applyFill="1" applyBorder="1" applyAlignment="1">
      <alignment horizontal="right"/>
    </xf>
    <xf numFmtId="0" fontId="11" fillId="0" borderId="0" xfId="0" applyFont="1" applyAlignment="1">
      <alignment horizontal="left"/>
    </xf>
    <xf numFmtId="0" fontId="21" fillId="3" borderId="22" xfId="0" applyFont="1" applyFill="1" applyBorder="1" applyAlignment="1">
      <alignment vertical="center"/>
    </xf>
    <xf numFmtId="0" fontId="21" fillId="3" borderId="23" xfId="0" applyFont="1" applyFill="1" applyBorder="1" applyAlignment="1">
      <alignment vertical="center"/>
    </xf>
    <xf numFmtId="0" fontId="21" fillId="3" borderId="23" xfId="0" applyFont="1" applyFill="1" applyBorder="1" applyAlignment="1">
      <alignment horizontal="center" vertical="center"/>
    </xf>
    <xf numFmtId="0" fontId="21" fillId="3" borderId="24" xfId="0" applyFont="1" applyFill="1" applyBorder="1" applyAlignment="1">
      <alignment horizontal="right"/>
    </xf>
    <xf numFmtId="0" fontId="19" fillId="3" borderId="25" xfId="0" applyFont="1" applyFill="1" applyBorder="1" applyAlignment="1">
      <alignment horizontal="center" vertical="center"/>
    </xf>
    <xf numFmtId="0" fontId="19" fillId="3" borderId="26" xfId="0" applyFont="1" applyFill="1" applyBorder="1" applyAlignment="1">
      <alignment horizontal="center" vertical="center"/>
    </xf>
    <xf numFmtId="3" fontId="19" fillId="3" borderId="26" xfId="0" applyNumberFormat="1" applyFont="1" applyFill="1" applyBorder="1" applyAlignment="1">
      <alignment horizontal="center" vertical="center"/>
    </xf>
    <xf numFmtId="6" fontId="19" fillId="3" borderId="16" xfId="0" applyNumberFormat="1" applyFont="1" applyFill="1" applyBorder="1" applyAlignment="1">
      <alignment horizontal="right"/>
    </xf>
    <xf numFmtId="0" fontId="19" fillId="3" borderId="4" xfId="0" applyFont="1" applyFill="1" applyBorder="1" applyAlignment="1">
      <alignment horizontal="right" vertical="top"/>
    </xf>
    <xf numFmtId="3" fontId="19" fillId="3" borderId="0" xfId="0" applyNumberFormat="1" applyFont="1" applyFill="1" applyAlignment="1">
      <alignment horizontal="right" vertical="top"/>
    </xf>
    <xf numFmtId="6" fontId="19" fillId="3" borderId="5" xfId="0" applyNumberFormat="1" applyFont="1" applyFill="1" applyBorder="1" applyAlignment="1">
      <alignment horizontal="right" vertical="top"/>
    </xf>
    <xf numFmtId="0" fontId="19" fillId="3" borderId="6" xfId="0" applyFont="1" applyFill="1" applyBorder="1" applyAlignment="1">
      <alignment horizontal="right" vertical="top"/>
    </xf>
    <xf numFmtId="3" fontId="19" fillId="3" borderId="7" xfId="0" applyNumberFormat="1" applyFont="1" applyFill="1" applyBorder="1" applyAlignment="1">
      <alignment horizontal="right" vertical="top"/>
    </xf>
    <xf numFmtId="6" fontId="19" fillId="3" borderId="8" xfId="0" applyNumberFormat="1" applyFont="1" applyFill="1" applyBorder="1" applyAlignment="1">
      <alignment horizontal="right" vertical="top"/>
    </xf>
    <xf numFmtId="0" fontId="19" fillId="3" borderId="4" xfId="0" applyFont="1" applyFill="1" applyBorder="1" applyAlignment="1">
      <alignment horizontal="right" vertical="center"/>
    </xf>
    <xf numFmtId="0" fontId="19" fillId="3" borderId="5" xfId="0" applyFont="1" applyFill="1" applyBorder="1" applyAlignment="1">
      <alignment horizontal="center" vertical="top"/>
    </xf>
    <xf numFmtId="0" fontId="19" fillId="3" borderId="18" xfId="0" applyFont="1" applyFill="1" applyBorder="1" applyAlignment="1">
      <alignment horizontal="right" vertical="top"/>
    </xf>
    <xf numFmtId="0" fontId="19" fillId="3" borderId="8" xfId="0" applyFont="1" applyFill="1" applyBorder="1" applyAlignment="1">
      <alignment horizontal="center" vertical="top"/>
    </xf>
    <xf numFmtId="0" fontId="17" fillId="3" borderId="0" xfId="0" applyFont="1" applyFill="1" applyBorder="1" applyAlignment="1">
      <alignment horizontal="center" vertical="center" wrapText="1"/>
    </xf>
    <xf numFmtId="0" fontId="18" fillId="2" borderId="9" xfId="0" applyFont="1" applyFill="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9" fillId="3" borderId="12" xfId="0" applyFont="1" applyFill="1" applyBorder="1" applyAlignment="1">
      <alignment horizontal="center" vertical="top"/>
    </xf>
    <xf numFmtId="10" fontId="19" fillId="3" borderId="0" xfId="0" applyNumberFormat="1" applyFont="1" applyFill="1" applyBorder="1" applyAlignment="1">
      <alignment horizontal="center" vertical="top"/>
    </xf>
    <xf numFmtId="10" fontId="19" fillId="3" borderId="13" xfId="0" applyNumberFormat="1" applyFont="1" applyFill="1" applyBorder="1" applyAlignment="1">
      <alignment horizontal="center" vertical="top"/>
    </xf>
    <xf numFmtId="0" fontId="19" fillId="3" borderId="14" xfId="0" applyFont="1" applyFill="1" applyBorder="1" applyAlignment="1">
      <alignment horizontal="center" vertical="top"/>
    </xf>
    <xf numFmtId="10" fontId="19" fillId="3" borderId="15" xfId="0" applyNumberFormat="1" applyFont="1" applyFill="1" applyBorder="1" applyAlignment="1">
      <alignment horizontal="center" vertical="top"/>
    </xf>
    <xf numFmtId="10" fontId="19" fillId="3" borderId="16" xfId="0" applyNumberFormat="1" applyFont="1" applyFill="1" applyBorder="1" applyAlignment="1">
      <alignment horizontal="center" vertical="top"/>
    </xf>
    <xf numFmtId="0" fontId="19" fillId="3" borderId="4" xfId="0" applyFont="1" applyFill="1" applyBorder="1" applyAlignment="1">
      <alignment horizontal="left" vertical="top"/>
    </xf>
    <xf numFmtId="0" fontId="19" fillId="3" borderId="6" xfId="0" applyFont="1" applyFill="1" applyBorder="1" applyAlignment="1">
      <alignment horizontal="left" vertical="top"/>
    </xf>
    <xf numFmtId="0" fontId="11" fillId="0" borderId="0" xfId="0" applyFont="1" applyAlignment="1">
      <alignment horizontal="center"/>
    </xf>
    <xf numFmtId="3" fontId="19" fillId="3" borderId="0" xfId="0" applyNumberFormat="1" applyFont="1" applyFill="1" applyAlignment="1">
      <alignment horizontal="center" vertical="top"/>
    </xf>
    <xf numFmtId="6" fontId="19" fillId="3" borderId="0" xfId="0" applyNumberFormat="1" applyFont="1" applyFill="1" applyAlignment="1">
      <alignment horizontal="right" vertical="top"/>
    </xf>
    <xf numFmtId="3" fontId="19" fillId="3" borderId="7" xfId="0" applyNumberFormat="1" applyFont="1" applyFill="1" applyBorder="1" applyAlignment="1">
      <alignment horizontal="center" vertical="top"/>
    </xf>
    <xf numFmtId="6" fontId="19" fillId="3" borderId="7" xfId="0" applyNumberFormat="1" applyFont="1" applyFill="1" applyBorder="1" applyAlignment="1">
      <alignment horizontal="right" vertical="top"/>
    </xf>
    <xf numFmtId="0" fontId="21" fillId="3" borderId="0" xfId="0" applyFont="1" applyFill="1"/>
    <xf numFmtId="0" fontId="19" fillId="3" borderId="0" xfId="0" applyFont="1" applyFill="1" applyAlignment="1">
      <alignment horizontal="right" vertical="top"/>
    </xf>
    <xf numFmtId="0" fontId="19" fillId="3" borderId="7" xfId="0" applyFont="1" applyFill="1" applyBorder="1" applyAlignment="1">
      <alignment horizontal="right" vertical="top"/>
    </xf>
    <xf numFmtId="0" fontId="19" fillId="3" borderId="5" xfId="0" applyFont="1" applyFill="1" applyBorder="1" applyAlignment="1">
      <alignment horizontal="right" vertical="top"/>
    </xf>
    <xf numFmtId="0" fontId="0" fillId="0" borderId="0" xfId="0" applyFill="1"/>
    <xf numFmtId="0" fontId="11" fillId="0" borderId="0" xfId="0" applyFont="1" applyFill="1" applyBorder="1"/>
    <xf numFmtId="0" fontId="23" fillId="0" borderId="0" xfId="0" applyFont="1" applyFill="1" applyBorder="1"/>
    <xf numFmtId="2" fontId="23" fillId="0" borderId="0" xfId="0" applyNumberFormat="1" applyFont="1" applyFill="1" applyBorder="1"/>
    <xf numFmtId="0" fontId="11" fillId="0" borderId="0" xfId="0" applyFont="1" applyFill="1"/>
    <xf numFmtId="0" fontId="23" fillId="0" borderId="0" xfId="0" applyFont="1" applyBorder="1"/>
    <xf numFmtId="10" fontId="11" fillId="0" borderId="0" xfId="0" applyNumberFormat="1" applyFont="1" applyFill="1" applyBorder="1"/>
    <xf numFmtId="0" fontId="11" fillId="0" borderId="9" xfId="0" applyFont="1" applyBorder="1"/>
    <xf numFmtId="0" fontId="11" fillId="0" borderId="10" xfId="0" applyFont="1" applyFill="1" applyBorder="1"/>
    <xf numFmtId="0" fontId="23" fillId="0" borderId="12" xfId="0" applyFont="1" applyBorder="1"/>
    <xf numFmtId="10" fontId="23" fillId="0" borderId="13" xfId="3" applyNumberFormat="1" applyFont="1" applyFill="1" applyBorder="1"/>
    <xf numFmtId="10" fontId="11" fillId="0" borderId="15" xfId="0" applyNumberFormat="1" applyFont="1" applyFill="1" applyBorder="1"/>
    <xf numFmtId="10" fontId="11" fillId="0" borderId="10" xfId="0" applyNumberFormat="1" applyFont="1" applyFill="1" applyBorder="1"/>
    <xf numFmtId="10" fontId="23" fillId="0" borderId="0" xfId="0" applyNumberFormat="1" applyFont="1" applyFill="1" applyBorder="1"/>
    <xf numFmtId="165" fontId="11" fillId="0" borderId="10" xfId="0" applyNumberFormat="1" applyFont="1" applyFill="1" applyBorder="1"/>
    <xf numFmtId="165" fontId="11" fillId="0" borderId="11" xfId="0" applyNumberFormat="1" applyFont="1" applyFill="1" applyBorder="1"/>
    <xf numFmtId="0" fontId="23" fillId="0" borderId="12" xfId="0" applyFont="1" applyFill="1" applyBorder="1"/>
    <xf numFmtId="0" fontId="11" fillId="0" borderId="14" xfId="0" applyFont="1" applyBorder="1"/>
    <xf numFmtId="10" fontId="11" fillId="0" borderId="12" xfId="2" applyNumberFormat="1" applyFont="1" applyBorder="1"/>
    <xf numFmtId="0" fontId="11" fillId="0" borderId="28" xfId="0" applyFont="1" applyBorder="1"/>
    <xf numFmtId="0" fontId="11" fillId="0" borderId="17" xfId="0" applyFont="1" applyFill="1" applyBorder="1"/>
    <xf numFmtId="165" fontId="11" fillId="0" borderId="17" xfId="0" applyNumberFormat="1" applyFont="1" applyFill="1" applyBorder="1"/>
    <xf numFmtId="165" fontId="11" fillId="0" borderId="29" xfId="0" applyNumberFormat="1" applyFont="1" applyFill="1" applyBorder="1"/>
    <xf numFmtId="0" fontId="23" fillId="0" borderId="9" xfId="0" applyFont="1" applyBorder="1"/>
    <xf numFmtId="2" fontId="23" fillId="0" borderId="10" xfId="0" applyNumberFormat="1" applyFont="1" applyFill="1" applyBorder="1"/>
    <xf numFmtId="10" fontId="23" fillId="0" borderId="11" xfId="3" applyNumberFormat="1" applyFont="1" applyFill="1" applyBorder="1"/>
    <xf numFmtId="10" fontId="11" fillId="0" borderId="9" xfId="2" applyNumberFormat="1" applyFont="1" applyBorder="1"/>
    <xf numFmtId="10" fontId="23" fillId="0" borderId="10" xfId="0" applyNumberFormat="1" applyFont="1" applyFill="1" applyBorder="1"/>
    <xf numFmtId="10" fontId="23" fillId="0" borderId="9" xfId="2" applyNumberFormat="1" applyFont="1" applyBorder="1"/>
    <xf numFmtId="10" fontId="23" fillId="0" borderId="12" xfId="2" applyNumberFormat="1" applyFont="1" applyBorder="1"/>
    <xf numFmtId="10" fontId="23" fillId="0" borderId="12" xfId="0" applyNumberFormat="1" applyFont="1" applyBorder="1"/>
    <xf numFmtId="2" fontId="11" fillId="0" borderId="15" xfId="0" applyNumberFormat="1" applyFont="1" applyBorder="1"/>
    <xf numFmtId="10" fontId="11" fillId="0" borderId="16" xfId="0" applyNumberFormat="1" applyFont="1" applyBorder="1"/>
    <xf numFmtId="10" fontId="11" fillId="0" borderId="15" xfId="0" applyNumberFormat="1" applyFont="1" applyBorder="1"/>
    <xf numFmtId="10" fontId="11" fillId="0" borderId="14" xfId="0" applyNumberFormat="1" applyFont="1" applyBorder="1"/>
    <xf numFmtId="2" fontId="11" fillId="0" borderId="15" xfId="0" applyNumberFormat="1" applyFont="1" applyFill="1" applyBorder="1"/>
    <xf numFmtId="10" fontId="11" fillId="0" borderId="16" xfId="0" applyNumberFormat="1" applyFont="1" applyFill="1" applyBorder="1"/>
    <xf numFmtId="4" fontId="11" fillId="0" borderId="0" xfId="0" applyNumberFormat="1" applyFont="1"/>
    <xf numFmtId="4" fontId="0" fillId="0" borderId="0" xfId="0" applyNumberFormat="1"/>
    <xf numFmtId="0" fontId="24" fillId="0" borderId="0" xfId="4" applyFont="1"/>
    <xf numFmtId="0" fontId="25" fillId="0" borderId="0" xfId="4" applyFont="1"/>
    <xf numFmtId="0" fontId="24" fillId="0" borderId="31" xfId="4" applyFont="1" applyBorder="1"/>
    <xf numFmtId="0" fontId="24" fillId="0" borderId="32" xfId="4" applyFont="1" applyBorder="1"/>
    <xf numFmtId="0" fontId="24" fillId="0" borderId="0" xfId="4" applyFont="1" applyFill="1" applyBorder="1"/>
    <xf numFmtId="0" fontId="24" fillId="0" borderId="33" xfId="4" applyFont="1" applyFill="1" applyBorder="1"/>
    <xf numFmtId="0" fontId="25" fillId="0" borderId="27" xfId="4" applyFont="1" applyBorder="1"/>
    <xf numFmtId="0" fontId="25" fillId="0" borderId="0" xfId="4" applyFont="1" applyBorder="1"/>
    <xf numFmtId="0" fontId="14" fillId="0" borderId="34" xfId="0" applyFont="1" applyBorder="1"/>
    <xf numFmtId="0" fontId="24" fillId="0" borderId="27" xfId="4" applyFont="1" applyBorder="1"/>
    <xf numFmtId="165" fontId="25" fillId="0" borderId="0" xfId="5" applyNumberFormat="1" applyFont="1" applyBorder="1"/>
    <xf numFmtId="165" fontId="25" fillId="0" borderId="0" xfId="4" applyNumberFormat="1" applyFont="1" applyBorder="1"/>
    <xf numFmtId="165" fontId="14" fillId="0" borderId="34" xfId="1" applyNumberFormat="1" applyFont="1" applyBorder="1"/>
    <xf numFmtId="165" fontId="25" fillId="0" borderId="34" xfId="5" applyNumberFormat="1" applyFont="1" applyBorder="1"/>
    <xf numFmtId="0" fontId="24" fillId="0" borderId="35" xfId="4" applyFont="1" applyBorder="1"/>
    <xf numFmtId="165" fontId="24" fillId="0" borderId="30" xfId="4" applyNumberFormat="1" applyFont="1" applyBorder="1"/>
    <xf numFmtId="165" fontId="20" fillId="0" borderId="36" xfId="1" applyNumberFormat="1" applyFont="1" applyBorder="1"/>
    <xf numFmtId="0" fontId="24" fillId="0" borderId="31" xfId="6" applyFont="1" applyBorder="1"/>
    <xf numFmtId="0" fontId="25" fillId="0" borderId="32" xfId="6" applyFont="1" applyBorder="1"/>
    <xf numFmtId="0" fontId="25" fillId="0" borderId="32" xfId="6" applyFont="1" applyFill="1" applyBorder="1"/>
    <xf numFmtId="0" fontId="14" fillId="0" borderId="33" xfId="0" applyFont="1" applyBorder="1"/>
    <xf numFmtId="0" fontId="24" fillId="0" borderId="27" xfId="6" applyFont="1" applyBorder="1"/>
    <xf numFmtId="0" fontId="25" fillId="0" borderId="0" xfId="6" applyFont="1" applyBorder="1"/>
    <xf numFmtId="0" fontId="25" fillId="0" borderId="27" xfId="6" applyFont="1" applyBorder="1"/>
    <xf numFmtId="165" fontId="25" fillId="0" borderId="0" xfId="6" applyNumberFormat="1" applyFont="1" applyBorder="1"/>
    <xf numFmtId="165" fontId="25" fillId="0" borderId="0" xfId="6" applyNumberFormat="1" applyFont="1" applyFill="1" applyBorder="1"/>
    <xf numFmtId="165" fontId="24" fillId="0" borderId="0" xfId="5" applyNumberFormat="1" applyFont="1" applyBorder="1"/>
    <xf numFmtId="165" fontId="24" fillId="0" borderId="0" xfId="6" applyNumberFormat="1" applyFont="1" applyBorder="1"/>
    <xf numFmtId="165" fontId="20" fillId="0" borderId="34" xfId="1" applyNumberFormat="1" applyFont="1" applyBorder="1"/>
    <xf numFmtId="165" fontId="24" fillId="0" borderId="0" xfId="6" applyNumberFormat="1" applyFont="1" applyFill="1" applyBorder="1"/>
    <xf numFmtId="0" fontId="24" fillId="0" borderId="35" xfId="6" applyFont="1" applyBorder="1"/>
    <xf numFmtId="165" fontId="24" fillId="0" borderId="30" xfId="5" applyNumberFormat="1" applyFont="1" applyBorder="1"/>
    <xf numFmtId="165" fontId="24" fillId="0" borderId="30" xfId="6" applyNumberFormat="1" applyFont="1" applyBorder="1"/>
    <xf numFmtId="165" fontId="20" fillId="0" borderId="36" xfId="0" applyNumberFormat="1" applyFont="1" applyBorder="1"/>
    <xf numFmtId="4" fontId="10" fillId="0" borderId="0" xfId="0" applyNumberFormat="1" applyFont="1"/>
    <xf numFmtId="0" fontId="26" fillId="0" borderId="31" xfId="0" applyFont="1" applyBorder="1"/>
    <xf numFmtId="0" fontId="27" fillId="0" borderId="32" xfId="4" applyFont="1" applyBorder="1" applyAlignment="1">
      <alignment horizontal="right"/>
    </xf>
    <xf numFmtId="0" fontId="27" fillId="0" borderId="32" xfId="4" applyFont="1" applyFill="1" applyBorder="1" applyAlignment="1">
      <alignment horizontal="right"/>
    </xf>
    <xf numFmtId="0" fontId="27" fillId="0" borderId="33" xfId="4" applyFont="1" applyFill="1" applyBorder="1" applyAlignment="1">
      <alignment horizontal="right"/>
    </xf>
    <xf numFmtId="0" fontId="26" fillId="0" borderId="27" xfId="0" applyFont="1" applyBorder="1"/>
    <xf numFmtId="0" fontId="0" fillId="0" borderId="34" xfId="0" applyBorder="1"/>
    <xf numFmtId="165" fontId="26" fillId="0" borderId="0" xfId="1" applyNumberFormat="1" applyFont="1" applyBorder="1"/>
    <xf numFmtId="165" fontId="26" fillId="0" borderId="34" xfId="1" applyNumberFormat="1" applyFont="1" applyBorder="1"/>
    <xf numFmtId="0" fontId="28" fillId="0" borderId="27" xfId="0" applyFont="1" applyBorder="1"/>
    <xf numFmtId="165" fontId="28" fillId="0" borderId="0" xfId="0" applyNumberFormat="1" applyFont="1" applyBorder="1"/>
    <xf numFmtId="165" fontId="28" fillId="0" borderId="34" xfId="0" applyNumberFormat="1" applyFont="1" applyBorder="1"/>
    <xf numFmtId="0" fontId="26" fillId="0" borderId="0" xfId="0" applyFont="1" applyBorder="1"/>
    <xf numFmtId="0" fontId="26" fillId="0" borderId="34" xfId="0" applyFont="1" applyBorder="1"/>
    <xf numFmtId="0" fontId="28" fillId="0" borderId="35" xfId="0" applyFont="1" applyBorder="1"/>
    <xf numFmtId="165" fontId="28" fillId="0" borderId="30" xfId="0" applyNumberFormat="1" applyFont="1" applyBorder="1"/>
    <xf numFmtId="165" fontId="28" fillId="0" borderId="36" xfId="0" applyNumberFormat="1" applyFont="1" applyBorder="1"/>
    <xf numFmtId="0" fontId="28" fillId="0" borderId="0" xfId="0" applyFont="1" applyBorder="1"/>
    <xf numFmtId="0" fontId="12" fillId="0" borderId="0" xfId="0" applyFont="1" applyBorder="1"/>
    <xf numFmtId="165" fontId="11" fillId="0" borderId="0" xfId="1" applyNumberFormat="1" applyFont="1" applyBorder="1"/>
    <xf numFmtId="165" fontId="12" fillId="0" borderId="0" xfId="0" applyNumberFormat="1" applyFont="1" applyBorder="1"/>
    <xf numFmtId="0" fontId="29" fillId="0" borderId="0" xfId="4" applyFont="1" applyBorder="1" applyAlignment="1">
      <alignment horizontal="right"/>
    </xf>
    <xf numFmtId="0" fontId="29" fillId="0" borderId="0" xfId="4" applyFont="1" applyFill="1" applyBorder="1" applyAlignment="1">
      <alignment horizontal="right"/>
    </xf>
    <xf numFmtId="0" fontId="15" fillId="2" borderId="19" xfId="0" applyFont="1" applyFill="1" applyBorder="1" applyAlignment="1">
      <alignment horizontal="center" wrapText="1"/>
    </xf>
    <xf numFmtId="0" fontId="15" fillId="2" borderId="20" xfId="0" applyFont="1" applyFill="1" applyBorder="1" applyAlignment="1">
      <alignment horizontal="center" wrapText="1"/>
    </xf>
    <xf numFmtId="0" fontId="15" fillId="2" borderId="21" xfId="0" applyFont="1" applyFill="1" applyBorder="1" applyAlignment="1">
      <alignment horizontal="center" wrapText="1"/>
    </xf>
    <xf numFmtId="0" fontId="16" fillId="3" borderId="22" xfId="0" applyFont="1" applyFill="1" applyBorder="1" applyAlignment="1">
      <alignment horizontal="center" vertical="center"/>
    </xf>
    <xf numFmtId="0" fontId="16" fillId="3" borderId="23" xfId="0" applyFont="1" applyFill="1" applyBorder="1" applyAlignment="1">
      <alignment horizontal="center" vertical="center"/>
    </xf>
    <xf numFmtId="3" fontId="16" fillId="3" borderId="23" xfId="0" applyNumberFormat="1" applyFont="1" applyFill="1" applyBorder="1" applyAlignment="1">
      <alignment horizontal="center" vertical="center"/>
    </xf>
    <xf numFmtId="6" fontId="16" fillId="3" borderId="24" xfId="0" applyNumberFormat="1" applyFont="1" applyFill="1" applyBorder="1" applyAlignment="1">
      <alignment horizontal="right"/>
    </xf>
    <xf numFmtId="0" fontId="31" fillId="3" borderId="22" xfId="0" applyFont="1" applyFill="1" applyBorder="1" applyAlignment="1">
      <alignment vertical="center"/>
    </xf>
    <xf numFmtId="0" fontId="31" fillId="3" borderId="23" xfId="0" applyFont="1" applyFill="1" applyBorder="1" applyAlignment="1">
      <alignment vertical="center"/>
    </xf>
    <xf numFmtId="0" fontId="31" fillId="3" borderId="23" xfId="0" applyFont="1" applyFill="1" applyBorder="1" applyAlignment="1">
      <alignment horizontal="center" vertical="center"/>
    </xf>
    <xf numFmtId="0" fontId="31" fillId="3" borderId="24" xfId="0" applyFont="1" applyFill="1" applyBorder="1" applyAlignment="1">
      <alignment horizontal="right"/>
    </xf>
    <xf numFmtId="0" fontId="16" fillId="3" borderId="25" xfId="0" applyFont="1" applyFill="1" applyBorder="1" applyAlignment="1">
      <alignment horizontal="center" vertical="center"/>
    </xf>
    <xf numFmtId="0" fontId="16" fillId="3" borderId="26" xfId="0" applyFont="1" applyFill="1" applyBorder="1" applyAlignment="1">
      <alignment horizontal="center" vertical="center"/>
    </xf>
    <xf numFmtId="3" fontId="0" fillId="0" borderId="0" xfId="0" applyNumberFormat="1"/>
    <xf numFmtId="0" fontId="11" fillId="4" borderId="0" xfId="0" applyFont="1" applyFill="1"/>
    <xf numFmtId="0" fontId="13" fillId="0" borderId="0" xfId="0" applyFont="1" applyFill="1" applyBorder="1" applyAlignment="1">
      <alignment horizontal="left"/>
    </xf>
    <xf numFmtId="0" fontId="19" fillId="3" borderId="0" xfId="0" applyFont="1" applyFill="1" applyBorder="1" applyAlignment="1">
      <alignment horizontal="center" vertical="top"/>
    </xf>
    <xf numFmtId="0" fontId="12" fillId="5" borderId="0" xfId="0" applyFont="1" applyFill="1" applyBorder="1" applyAlignment="1">
      <alignment horizontal="center" vertical="center" wrapText="1"/>
    </xf>
    <xf numFmtId="3" fontId="11" fillId="0" borderId="0" xfId="0" applyNumberFormat="1" applyFont="1" applyBorder="1" applyAlignment="1">
      <alignment horizontal="center"/>
    </xf>
    <xf numFmtId="0" fontId="0" fillId="5" borderId="0" xfId="0" applyFill="1"/>
    <xf numFmtId="0" fontId="34" fillId="0" borderId="0" xfId="0" applyFont="1" applyBorder="1"/>
    <xf numFmtId="0" fontId="0" fillId="0" borderId="0" xfId="0" applyFont="1"/>
    <xf numFmtId="0" fontId="14" fillId="0" borderId="0" xfId="0" applyFont="1" applyBorder="1"/>
    <xf numFmtId="165" fontId="14" fillId="0" borderId="0" xfId="1" applyNumberFormat="1" applyFont="1" applyBorder="1"/>
    <xf numFmtId="165" fontId="20" fillId="0" borderId="0" xfId="1" applyNumberFormat="1" applyFont="1" applyBorder="1"/>
    <xf numFmtId="0" fontId="24" fillId="0" borderId="0" xfId="6" applyFont="1" applyBorder="1"/>
    <xf numFmtId="165" fontId="20" fillId="0" borderId="0" xfId="0" applyNumberFormat="1" applyFont="1" applyBorder="1"/>
    <xf numFmtId="166" fontId="23" fillId="0" borderId="0" xfId="4" applyNumberFormat="1" applyFont="1" applyBorder="1"/>
    <xf numFmtId="166" fontId="23" fillId="0" borderId="0" xfId="5" applyNumberFormat="1" applyFont="1" applyBorder="1"/>
    <xf numFmtId="166" fontId="23" fillId="0" borderId="0" xfId="6" applyNumberFormat="1" applyFont="1" applyBorder="1"/>
    <xf numFmtId="166" fontId="11" fillId="0" borderId="0" xfId="1" applyNumberFormat="1" applyFont="1" applyBorder="1"/>
    <xf numFmtId="166" fontId="11" fillId="0" borderId="0" xfId="0" applyNumberFormat="1" applyFont="1"/>
    <xf numFmtId="166" fontId="11" fillId="0" borderId="0" xfId="0" applyNumberFormat="1" applyFont="1" applyBorder="1"/>
    <xf numFmtId="166" fontId="11" fillId="0" borderId="0" xfId="0" applyNumberFormat="1" applyFont="1" applyAlignment="1">
      <alignment horizontal="center"/>
    </xf>
    <xf numFmtId="2" fontId="11" fillId="0" borderId="0" xfId="0" applyNumberFormat="1" applyFont="1" applyAlignment="1">
      <alignment horizontal="center"/>
    </xf>
    <xf numFmtId="0" fontId="35" fillId="0" borderId="37" xfId="0" applyFont="1" applyBorder="1" applyAlignment="1">
      <alignment vertical="top" wrapText="1"/>
    </xf>
    <xf numFmtId="0" fontId="35" fillId="0" borderId="29" xfId="0" applyFont="1" applyBorder="1" applyAlignment="1">
      <alignment vertical="top" wrapText="1"/>
    </xf>
    <xf numFmtId="0" fontId="35" fillId="0" borderId="38" xfId="0" applyFont="1" applyBorder="1" applyAlignment="1">
      <alignment vertical="top" wrapText="1"/>
    </xf>
    <xf numFmtId="0" fontId="35" fillId="0" borderId="16" xfId="0" applyFont="1" applyBorder="1" applyAlignment="1">
      <alignment vertical="top" wrapText="1"/>
    </xf>
    <xf numFmtId="0" fontId="35" fillId="0" borderId="13" xfId="0" applyFont="1" applyBorder="1" applyAlignment="1">
      <alignment vertical="top" wrapText="1"/>
    </xf>
    <xf numFmtId="0" fontId="0" fillId="0" borderId="0" xfId="0" applyBorder="1" applyAlignment="1">
      <alignment horizontal="center"/>
    </xf>
    <xf numFmtId="166" fontId="11" fillId="0" borderId="0" xfId="0" applyNumberFormat="1" applyFont="1" applyBorder="1" applyAlignment="1">
      <alignment horizontal="center"/>
    </xf>
    <xf numFmtId="166" fontId="23" fillId="0" borderId="0" xfId="4" applyNumberFormat="1" applyFont="1" applyBorder="1" applyAlignment="1">
      <alignment horizontal="center"/>
    </xf>
    <xf numFmtId="166" fontId="23" fillId="0" borderId="0" xfId="5" applyNumberFormat="1" applyFont="1" applyBorder="1" applyAlignment="1">
      <alignment horizontal="center"/>
    </xf>
    <xf numFmtId="166" fontId="23" fillId="0" borderId="0" xfId="6" applyNumberFormat="1" applyFont="1" applyBorder="1" applyAlignment="1">
      <alignment horizontal="center"/>
    </xf>
    <xf numFmtId="166" fontId="11" fillId="0" borderId="0" xfId="1" applyNumberFormat="1" applyFont="1" applyBorder="1" applyAlignment="1">
      <alignment horizontal="center"/>
    </xf>
    <xf numFmtId="167" fontId="11" fillId="0" borderId="0" xfId="0" applyNumberFormat="1" applyFont="1" applyBorder="1" applyAlignment="1">
      <alignment horizontal="center"/>
    </xf>
    <xf numFmtId="0" fontId="32" fillId="0" borderId="0" xfId="0" applyFont="1"/>
    <xf numFmtId="0" fontId="36" fillId="0" borderId="0" xfId="0" applyFont="1"/>
    <xf numFmtId="0" fontId="32" fillId="0" borderId="0" xfId="0" applyFont="1" applyProtection="1">
      <protection hidden="1"/>
    </xf>
    <xf numFmtId="0" fontId="36" fillId="0" borderId="0" xfId="0" applyFont="1" applyProtection="1">
      <protection hidden="1"/>
    </xf>
    <xf numFmtId="0" fontId="37" fillId="3" borderId="0" xfId="0" applyFont="1" applyFill="1" applyBorder="1" applyAlignment="1" applyProtection="1">
      <alignment horizontal="center" vertical="top"/>
      <protection hidden="1"/>
    </xf>
    <xf numFmtId="0" fontId="38" fillId="0" borderId="0" xfId="0" applyFont="1" applyFill="1" applyBorder="1" applyAlignment="1">
      <alignment horizontal="left"/>
    </xf>
    <xf numFmtId="0" fontId="38" fillId="0" borderId="0" xfId="0" applyFont="1" applyFill="1" applyBorder="1" applyAlignment="1">
      <alignment horizontal="left" vertical="center" wrapText="1"/>
    </xf>
    <xf numFmtId="0" fontId="38" fillId="0" borderId="0" xfId="0" applyFont="1" applyFill="1" applyBorder="1" applyAlignment="1">
      <alignment horizontal="left" vertical="top"/>
    </xf>
    <xf numFmtId="0" fontId="0" fillId="0" borderId="0" xfId="0" applyFont="1" applyBorder="1"/>
    <xf numFmtId="0" fontId="8" fillId="0" borderId="0" xfId="0" applyFont="1" applyAlignment="1"/>
    <xf numFmtId="0" fontId="39" fillId="4" borderId="0" xfId="0" applyFont="1" applyFill="1"/>
    <xf numFmtId="0" fontId="40" fillId="4" borderId="0" xfId="0" applyFont="1" applyFill="1" applyAlignment="1">
      <alignment horizontal="center"/>
    </xf>
    <xf numFmtId="3" fontId="39" fillId="0" borderId="0" xfId="0" applyNumberFormat="1" applyFont="1" applyAlignment="1">
      <alignment horizontal="center"/>
    </xf>
    <xf numFmtId="0" fontId="40" fillId="4" borderId="0" xfId="0" applyFont="1" applyFill="1"/>
    <xf numFmtId="3" fontId="40" fillId="0" borderId="0" xfId="0" applyNumberFormat="1" applyFont="1" applyAlignment="1">
      <alignment horizontal="center"/>
    </xf>
    <xf numFmtId="0" fontId="39" fillId="0" borderId="0" xfId="0" applyFont="1"/>
    <xf numFmtId="0" fontId="40" fillId="0" borderId="0" xfId="0" applyFont="1"/>
    <xf numFmtId="0" fontId="35" fillId="0" borderId="0" xfId="0" applyFont="1"/>
    <xf numFmtId="0" fontId="39" fillId="4" borderId="0" xfId="0" applyFont="1" applyFill="1" applyAlignment="1">
      <alignment horizontal="left"/>
    </xf>
    <xf numFmtId="0" fontId="40" fillId="6" borderId="0" xfId="0" applyFont="1" applyFill="1"/>
    <xf numFmtId="0" fontId="35" fillId="5" borderId="0" xfId="0" applyFont="1" applyFill="1"/>
    <xf numFmtId="0" fontId="39" fillId="0" borderId="0" xfId="0" applyFont="1" applyAlignment="1">
      <alignment horizontal="center"/>
    </xf>
    <xf numFmtId="0" fontId="22" fillId="0" borderId="0" xfId="4" applyFont="1" applyBorder="1"/>
    <xf numFmtId="165" fontId="22" fillId="0" borderId="0" xfId="5" applyNumberFormat="1" applyFont="1" applyBorder="1"/>
    <xf numFmtId="0" fontId="43" fillId="0" borderId="0" xfId="0" applyFont="1" applyBorder="1"/>
    <xf numFmtId="165" fontId="41" fillId="4" borderId="0" xfId="5" applyNumberFormat="1" applyFont="1" applyFill="1" applyBorder="1" applyAlignment="1">
      <alignment horizontal="center"/>
    </xf>
    <xf numFmtId="0" fontId="39" fillId="0" borderId="0" xfId="0" applyFont="1" applyBorder="1"/>
    <xf numFmtId="0" fontId="35" fillId="0" borderId="0" xfId="0" applyFont="1" applyBorder="1"/>
    <xf numFmtId="0" fontId="41" fillId="4" borderId="0" xfId="0" applyFont="1" applyFill="1" applyBorder="1" applyAlignment="1">
      <alignment horizontal="center" vertical="center" wrapText="1"/>
    </xf>
    <xf numFmtId="0" fontId="16" fillId="4" borderId="0" xfId="0" applyFont="1" applyFill="1" applyBorder="1" applyAlignment="1">
      <alignment horizontal="center" vertical="top"/>
    </xf>
    <xf numFmtId="3" fontId="39" fillId="0" borderId="0" xfId="0" applyNumberFormat="1" applyFont="1" applyBorder="1" applyAlignment="1">
      <alignment horizontal="center"/>
    </xf>
    <xf numFmtId="0" fontId="39" fillId="4" borderId="0" xfId="0" applyFont="1" applyFill="1" applyBorder="1" applyAlignment="1">
      <alignment horizontal="center"/>
    </xf>
    <xf numFmtId="0" fontId="39" fillId="0" borderId="0" xfId="0" applyFont="1" applyBorder="1" applyAlignment="1">
      <alignment horizontal="center"/>
    </xf>
    <xf numFmtId="2" fontId="39" fillId="0" borderId="0" xfId="0" applyNumberFormat="1" applyFont="1" applyAlignment="1">
      <alignment horizontal="center"/>
    </xf>
    <xf numFmtId="0" fontId="35" fillId="0" borderId="0" xfId="0" applyFont="1" applyAlignment="1"/>
    <xf numFmtId="0" fontId="39" fillId="4" borderId="0" xfId="0" applyFont="1" applyFill="1" applyBorder="1"/>
    <xf numFmtId="168" fontId="39" fillId="0" borderId="0" xfId="0" applyNumberFormat="1" applyFont="1" applyBorder="1" applyAlignment="1">
      <alignment horizontal="center"/>
    </xf>
    <xf numFmtId="0" fontId="47" fillId="0" borderId="0" xfId="0" applyFont="1"/>
    <xf numFmtId="0" fontId="48" fillId="7" borderId="0" xfId="0" applyFont="1" applyFill="1" applyBorder="1" applyAlignment="1">
      <alignment horizontal="center" wrapText="1"/>
    </xf>
    <xf numFmtId="0" fontId="0" fillId="0" borderId="9" xfId="0" applyBorder="1"/>
    <xf numFmtId="3" fontId="0" fillId="0" borderId="9" xfId="0" applyNumberFormat="1" applyBorder="1" applyAlignment="1">
      <alignment horizontal="center" wrapText="1"/>
    </xf>
    <xf numFmtId="3" fontId="0" fillId="0" borderId="10" xfId="0" applyNumberFormat="1" applyBorder="1" applyAlignment="1">
      <alignment horizontal="center" wrapText="1"/>
    </xf>
    <xf numFmtId="3" fontId="0" fillId="0" borderId="10" xfId="5" applyNumberFormat="1" applyFont="1" applyBorder="1" applyAlignment="1">
      <alignment horizontal="center" wrapText="1"/>
    </xf>
    <xf numFmtId="3" fontId="51" fillId="0" borderId="10" xfId="4" applyNumberFormat="1" applyFont="1" applyBorder="1" applyAlignment="1">
      <alignment horizontal="center" wrapText="1"/>
    </xf>
    <xf numFmtId="3" fontId="0" fillId="0" borderId="11" xfId="0" applyNumberFormat="1" applyBorder="1" applyAlignment="1">
      <alignment horizontal="center" wrapText="1"/>
    </xf>
    <xf numFmtId="0" fontId="0" fillId="0" borderId="12" xfId="0" applyBorder="1"/>
    <xf numFmtId="3" fontId="0" fillId="0" borderId="12" xfId="0" applyNumberFormat="1" applyBorder="1" applyAlignment="1">
      <alignment horizontal="center" wrapText="1"/>
    </xf>
    <xf numFmtId="3" fontId="0" fillId="0" borderId="0" xfId="0" applyNumberFormat="1" applyBorder="1" applyAlignment="1">
      <alignment horizontal="center" wrapText="1"/>
    </xf>
    <xf numFmtId="3" fontId="0" fillId="0" borderId="0" xfId="5" applyNumberFormat="1" applyFont="1" applyBorder="1" applyAlignment="1">
      <alignment horizontal="center" wrapText="1"/>
    </xf>
    <xf numFmtId="3" fontId="51" fillId="0" borderId="0" xfId="4" applyNumberFormat="1" applyFont="1" applyBorder="1" applyAlignment="1">
      <alignment horizontal="center" wrapText="1"/>
    </xf>
    <xf numFmtId="3" fontId="0" fillId="0" borderId="13" xfId="0" applyNumberFormat="1" applyBorder="1" applyAlignment="1">
      <alignment horizontal="center" wrapText="1"/>
    </xf>
    <xf numFmtId="0" fontId="49" fillId="0" borderId="28" xfId="0" applyFont="1" applyBorder="1"/>
    <xf numFmtId="3" fontId="49" fillId="0" borderId="28" xfId="0" applyNumberFormat="1" applyFont="1" applyBorder="1" applyAlignment="1">
      <alignment horizontal="center" wrapText="1"/>
    </xf>
    <xf numFmtId="4" fontId="49" fillId="0" borderId="17" xfId="0" applyNumberFormat="1" applyFont="1" applyBorder="1" applyAlignment="1">
      <alignment horizontal="center" wrapText="1"/>
    </xf>
    <xf numFmtId="3" fontId="49" fillId="0" borderId="17" xfId="0" applyNumberFormat="1" applyFont="1" applyBorder="1" applyAlignment="1">
      <alignment horizontal="center" wrapText="1"/>
    </xf>
    <xf numFmtId="4" fontId="49" fillId="0" borderId="29" xfId="0" applyNumberFormat="1" applyFont="1" applyBorder="1" applyAlignment="1">
      <alignment horizontal="center" wrapText="1"/>
    </xf>
    <xf numFmtId="0" fontId="0" fillId="0" borderId="0" xfId="0" applyAlignment="1"/>
    <xf numFmtId="1" fontId="0" fillId="0" borderId="0" xfId="0" applyNumberFormat="1"/>
    <xf numFmtId="0" fontId="0" fillId="0" borderId="0" xfId="0" applyAlignment="1">
      <alignment horizontal="center"/>
    </xf>
    <xf numFmtId="0" fontId="52" fillId="0" borderId="0" xfId="0" applyFont="1" applyAlignment="1">
      <alignment horizontal="center"/>
    </xf>
    <xf numFmtId="1" fontId="52" fillId="0" borderId="0" xfId="0" applyNumberFormat="1" applyFont="1" applyAlignment="1">
      <alignment horizontal="center"/>
    </xf>
    <xf numFmtId="0" fontId="53" fillId="7" borderId="0" xfId="0" applyFont="1" applyFill="1" applyBorder="1" applyAlignment="1">
      <alignment horizontal="center" wrapText="1"/>
    </xf>
    <xf numFmtId="3" fontId="39" fillId="0" borderId="0" xfId="0" applyNumberFormat="1" applyFont="1" applyBorder="1"/>
    <xf numFmtId="3" fontId="40" fillId="0" borderId="0" xfId="0" applyNumberFormat="1" applyFont="1" applyBorder="1"/>
    <xf numFmtId="3" fontId="0" fillId="0" borderId="0" xfId="0" applyNumberFormat="1" applyBorder="1"/>
    <xf numFmtId="3" fontId="39" fillId="0" borderId="0" xfId="0" applyNumberFormat="1" applyFont="1" applyFill="1" applyBorder="1" applyAlignment="1">
      <alignment horizontal="center"/>
    </xf>
    <xf numFmtId="0" fontId="39" fillId="4" borderId="0" xfId="0" applyFont="1" applyFill="1" applyBorder="1" applyAlignment="1">
      <alignment horizontal="center" wrapText="1" shrinkToFit="1"/>
    </xf>
    <xf numFmtId="0" fontId="39" fillId="5" borderId="0" xfId="0" applyFont="1" applyFill="1" applyBorder="1" applyAlignment="1">
      <alignment horizontal="center"/>
    </xf>
    <xf numFmtId="0" fontId="39" fillId="5" borderId="0" xfId="0" applyFont="1" applyFill="1" applyBorder="1" applyAlignment="1">
      <alignment horizontal="center" wrapText="1" shrinkToFit="1"/>
    </xf>
    <xf numFmtId="3" fontId="39" fillId="5" borderId="0" xfId="0" applyNumberFormat="1" applyFont="1" applyFill="1" applyBorder="1" applyAlignment="1">
      <alignment horizontal="center"/>
    </xf>
    <xf numFmtId="0" fontId="0" fillId="5" borderId="0" xfId="0" applyFill="1" applyBorder="1" applyAlignment="1">
      <alignment horizontal="center" vertical="center"/>
    </xf>
    <xf numFmtId="0" fontId="0" fillId="5" borderId="0" xfId="0" applyFill="1" applyBorder="1"/>
    <xf numFmtId="3" fontId="39" fillId="5" borderId="0" xfId="0" applyNumberFormat="1" applyFont="1" applyFill="1" applyBorder="1"/>
    <xf numFmtId="3" fontId="40" fillId="5" borderId="0" xfId="0" applyNumberFormat="1" applyFont="1" applyFill="1" applyBorder="1"/>
    <xf numFmtId="0" fontId="39" fillId="5" borderId="0" xfId="0" applyFont="1" applyFill="1" applyBorder="1" applyAlignment="1"/>
    <xf numFmtId="3" fontId="39" fillId="5" borderId="0" xfId="0" applyNumberFormat="1" applyFont="1" applyFill="1" applyBorder="1" applyAlignment="1"/>
    <xf numFmtId="3" fontId="40" fillId="5" borderId="0" xfId="0" applyNumberFormat="1" applyFont="1" applyFill="1" applyBorder="1" applyAlignment="1"/>
    <xf numFmtId="0" fontId="39" fillId="0" borderId="0" xfId="0" applyFont="1" applyBorder="1" applyAlignment="1"/>
    <xf numFmtId="0" fontId="41" fillId="4" borderId="0" xfId="0" applyFont="1" applyFill="1" applyBorder="1" applyAlignment="1">
      <alignment horizontal="center" wrapText="1"/>
    </xf>
    <xf numFmtId="0" fontId="41" fillId="4" borderId="0" xfId="0" applyFont="1" applyFill="1" applyBorder="1" applyAlignment="1">
      <alignment shrinkToFit="1"/>
    </xf>
    <xf numFmtId="0" fontId="54" fillId="4" borderId="0" xfId="0" applyFont="1" applyFill="1" applyBorder="1" applyAlignment="1">
      <alignment shrinkToFit="1"/>
    </xf>
    <xf numFmtId="2" fontId="39" fillId="0" borderId="0" xfId="0" applyNumberFormat="1" applyFont="1" applyBorder="1" applyAlignment="1">
      <alignment horizontal="center" wrapText="1"/>
    </xf>
    <xf numFmtId="2" fontId="39" fillId="0" borderId="0" xfId="0" applyNumberFormat="1" applyFont="1" applyBorder="1" applyAlignment="1">
      <alignment horizontal="right" wrapText="1"/>
    </xf>
    <xf numFmtId="2" fontId="54" fillId="0" borderId="0" xfId="0" applyNumberFormat="1" applyFont="1" applyBorder="1" applyAlignment="1">
      <alignment horizontal="right" wrapText="1"/>
    </xf>
    <xf numFmtId="0" fontId="39" fillId="0" borderId="0" xfId="0" applyFont="1" applyBorder="1" applyAlignment="1">
      <alignment horizontal="left"/>
    </xf>
    <xf numFmtId="0" fontId="39" fillId="5" borderId="27" xfId="0" applyFont="1" applyFill="1" applyBorder="1" applyAlignment="1">
      <alignment horizontal="left"/>
    </xf>
    <xf numFmtId="166" fontId="41" fillId="5" borderId="27" xfId="4" applyNumberFormat="1" applyFont="1" applyFill="1" applyBorder="1" applyAlignment="1">
      <alignment horizontal="left"/>
    </xf>
    <xf numFmtId="0" fontId="39" fillId="5" borderId="35" xfId="0" applyFont="1" applyFill="1" applyBorder="1" applyAlignment="1">
      <alignment horizontal="left"/>
    </xf>
    <xf numFmtId="0" fontId="39" fillId="4" borderId="31" xfId="0" applyFont="1" applyFill="1" applyBorder="1" applyAlignment="1">
      <alignment horizontal="center"/>
    </xf>
    <xf numFmtId="0" fontId="0" fillId="0" borderId="34" xfId="0" applyBorder="1" applyAlignment="1"/>
    <xf numFmtId="0" fontId="0" fillId="0" borderId="30" xfId="0" applyBorder="1" applyAlignment="1"/>
    <xf numFmtId="0" fontId="0" fillId="0" borderId="36" xfId="0" applyBorder="1" applyAlignment="1"/>
    <xf numFmtId="3" fontId="41" fillId="0" borderId="0" xfId="5" applyNumberFormat="1" applyFont="1" applyBorder="1"/>
    <xf numFmtId="3" fontId="46" fillId="0" borderId="0" xfId="5" applyNumberFormat="1" applyFont="1" applyBorder="1"/>
    <xf numFmtId="3" fontId="41" fillId="0" borderId="0" xfId="6" applyNumberFormat="1" applyFont="1" applyBorder="1"/>
    <xf numFmtId="3" fontId="39" fillId="0" borderId="0" xfId="0" applyNumberFormat="1" applyFont="1"/>
    <xf numFmtId="0" fontId="26" fillId="0" borderId="0" xfId="0" applyFont="1"/>
    <xf numFmtId="165" fontId="0" fillId="0" borderId="0" xfId="1" applyNumberFormat="1" applyFont="1"/>
    <xf numFmtId="9" fontId="39" fillId="0" borderId="0" xfId="0" applyNumberFormat="1" applyFont="1"/>
    <xf numFmtId="0" fontId="41" fillId="4" borderId="0" xfId="6" applyFont="1" applyFill="1" applyBorder="1" applyAlignment="1">
      <alignment horizontal="center"/>
    </xf>
    <xf numFmtId="165" fontId="41" fillId="4" borderId="0" xfId="6" applyNumberFormat="1" applyFont="1" applyFill="1" applyBorder="1" applyAlignment="1">
      <alignment horizontal="center"/>
    </xf>
    <xf numFmtId="0" fontId="41" fillId="4" borderId="0" xfId="6" applyFont="1" applyFill="1" applyBorder="1"/>
    <xf numFmtId="0" fontId="46" fillId="4" borderId="0" xfId="6" applyFont="1" applyFill="1" applyBorder="1"/>
    <xf numFmtId="0" fontId="0" fillId="4" borderId="32" xfId="0" applyFill="1" applyBorder="1" applyAlignment="1">
      <alignment horizontal="center"/>
    </xf>
    <xf numFmtId="0" fontId="0" fillId="4" borderId="33" xfId="0" applyFill="1" applyBorder="1" applyAlignment="1">
      <alignment horizontal="center"/>
    </xf>
    <xf numFmtId="3" fontId="39" fillId="0" borderId="0" xfId="1" applyNumberFormat="1" applyFont="1" applyBorder="1"/>
    <xf numFmtId="3" fontId="41" fillId="0" borderId="0" xfId="6" applyNumberFormat="1" applyFont="1" applyFill="1" applyBorder="1"/>
    <xf numFmtId="4" fontId="39" fillId="4" borderId="0" xfId="0" applyNumberFormat="1" applyFont="1" applyFill="1"/>
    <xf numFmtId="3" fontId="40" fillId="0" borderId="0" xfId="0" applyNumberFormat="1" applyFont="1"/>
    <xf numFmtId="0" fontId="39" fillId="5" borderId="27" xfId="0" applyFont="1" applyFill="1" applyBorder="1" applyAlignment="1">
      <alignment horizontal="center"/>
    </xf>
    <xf numFmtId="0" fontId="0" fillId="5" borderId="0" xfId="0" applyFill="1" applyBorder="1" applyAlignment="1">
      <alignment horizontal="center"/>
    </xf>
    <xf numFmtId="0" fontId="0" fillId="5" borderId="34" xfId="0" applyFill="1" applyBorder="1" applyAlignment="1">
      <alignment horizontal="center"/>
    </xf>
    <xf numFmtId="165" fontId="41" fillId="5" borderId="0" xfId="5" applyNumberFormat="1" applyFont="1" applyFill="1" applyBorder="1" applyAlignment="1">
      <alignment horizontal="center"/>
    </xf>
    <xf numFmtId="165" fontId="41" fillId="5" borderId="0" xfId="6" applyNumberFormat="1" applyFont="1" applyFill="1" applyBorder="1" applyAlignment="1">
      <alignment horizontal="center"/>
    </xf>
    <xf numFmtId="165" fontId="39" fillId="5" borderId="0" xfId="1" applyNumberFormat="1" applyFont="1" applyFill="1" applyBorder="1" applyAlignment="1">
      <alignment horizontal="center"/>
    </xf>
    <xf numFmtId="0" fontId="46" fillId="4" borderId="0" xfId="6" applyFont="1" applyFill="1" applyBorder="1" applyAlignment="1">
      <alignment horizontal="left"/>
    </xf>
    <xf numFmtId="0" fontId="51" fillId="5" borderId="0" xfId="0" applyFont="1" applyFill="1" applyBorder="1"/>
    <xf numFmtId="0" fontId="51" fillId="0" borderId="0" xfId="0" applyFont="1"/>
    <xf numFmtId="0" fontId="49" fillId="0" borderId="0" xfId="0" applyFont="1"/>
    <xf numFmtId="0" fontId="51" fillId="5" borderId="0" xfId="0" applyFont="1" applyFill="1"/>
    <xf numFmtId="0" fontId="42" fillId="5" borderId="0" xfId="0" applyFont="1" applyFill="1"/>
    <xf numFmtId="0" fontId="42" fillId="0" borderId="0" xfId="0" applyFont="1"/>
    <xf numFmtId="0" fontId="0" fillId="8" borderId="0" xfId="0" applyFill="1"/>
    <xf numFmtId="0" fontId="35" fillId="4" borderId="0" xfId="0" applyFont="1" applyFill="1"/>
    <xf numFmtId="0" fontId="55" fillId="0" borderId="0" xfId="0" applyFont="1"/>
    <xf numFmtId="0" fontId="35" fillId="5" borderId="0" xfId="0" applyFont="1" applyFill="1" applyAlignment="1"/>
    <xf numFmtId="0" fontId="0" fillId="0" borderId="0" xfId="0" applyFont="1" applyAlignment="1">
      <alignment horizontal="left"/>
    </xf>
    <xf numFmtId="0" fontId="0" fillId="0" borderId="31" xfId="0" applyBorder="1"/>
    <xf numFmtId="0" fontId="49" fillId="0" borderId="32" xfId="0" applyFont="1" applyBorder="1"/>
    <xf numFmtId="0" fontId="49" fillId="0" borderId="33" xfId="0" applyFont="1" applyFill="1" applyBorder="1"/>
    <xf numFmtId="0" fontId="49" fillId="0" borderId="27" xfId="0" applyFont="1" applyBorder="1"/>
    <xf numFmtId="0" fontId="0" fillId="0" borderId="27" xfId="0" applyBorder="1"/>
    <xf numFmtId="165" fontId="0" fillId="0" borderId="34" xfId="1" applyNumberFormat="1" applyFont="1" applyBorder="1"/>
    <xf numFmtId="3" fontId="49" fillId="0" borderId="0" xfId="0" applyNumberFormat="1" applyFont="1" applyBorder="1"/>
    <xf numFmtId="165" fontId="49" fillId="0" borderId="34" xfId="1" applyNumberFormat="1" applyFont="1" applyBorder="1"/>
    <xf numFmtId="0" fontId="49" fillId="0" borderId="35" xfId="0" applyFont="1" applyBorder="1"/>
    <xf numFmtId="3" fontId="49" fillId="0" borderId="30" xfId="0" applyNumberFormat="1" applyFont="1" applyBorder="1"/>
    <xf numFmtId="0" fontId="32" fillId="5" borderId="0" xfId="0" applyFont="1" applyFill="1"/>
    <xf numFmtId="0" fontId="35" fillId="6" borderId="0" xfId="0" applyFont="1" applyFill="1"/>
    <xf numFmtId="3" fontId="52" fillId="0" borderId="37" xfId="0" applyNumberFormat="1" applyFont="1" applyBorder="1" applyAlignment="1">
      <alignment horizontal="right" vertical="top" wrapText="1"/>
    </xf>
    <xf numFmtId="3" fontId="52" fillId="0" borderId="29" xfId="0" applyNumberFormat="1" applyFont="1" applyBorder="1" applyAlignment="1">
      <alignment horizontal="right" vertical="top" wrapText="1"/>
    </xf>
    <xf numFmtId="3" fontId="52" fillId="0" borderId="38" xfId="0" applyNumberFormat="1" applyFont="1" applyBorder="1" applyAlignment="1">
      <alignment horizontal="right" vertical="top" wrapText="1"/>
    </xf>
    <xf numFmtId="3" fontId="52" fillId="0" borderId="16" xfId="0" applyNumberFormat="1" applyFont="1" applyBorder="1" applyAlignment="1">
      <alignment horizontal="right" vertical="top" wrapText="1"/>
    </xf>
    <xf numFmtId="0" fontId="56" fillId="3" borderId="7" xfId="0" applyFont="1" applyFill="1" applyBorder="1" applyAlignment="1">
      <alignment horizontal="center" vertical="top"/>
    </xf>
    <xf numFmtId="10" fontId="0" fillId="0" borderId="0" xfId="0" applyNumberFormat="1"/>
    <xf numFmtId="10" fontId="39" fillId="0" borderId="0" xfId="0" applyNumberFormat="1" applyFont="1" applyBorder="1" applyAlignment="1">
      <alignment horizontal="center"/>
    </xf>
    <xf numFmtId="10" fontId="50" fillId="0" borderId="0" xfId="0" applyNumberFormat="1" applyFont="1" applyBorder="1" applyAlignment="1" applyProtection="1">
      <alignment horizontal="center"/>
      <protection hidden="1"/>
    </xf>
    <xf numFmtId="0" fontId="58" fillId="2" borderId="4" xfId="0" applyFont="1" applyFill="1" applyBorder="1" applyAlignment="1">
      <alignment horizontal="center" wrapText="1"/>
    </xf>
    <xf numFmtId="0" fontId="58" fillId="2" borderId="0" xfId="0" applyFont="1" applyFill="1" applyBorder="1" applyAlignment="1">
      <alignment horizontal="center" wrapText="1"/>
    </xf>
    <xf numFmtId="0" fontId="58" fillId="2" borderId="5" xfId="0" applyFont="1" applyFill="1" applyBorder="1" applyAlignment="1">
      <alignment horizontal="center" wrapText="1"/>
    </xf>
    <xf numFmtId="0" fontId="56" fillId="3" borderId="4" xfId="0" applyFont="1" applyFill="1" applyBorder="1" applyAlignment="1">
      <alignment horizontal="center"/>
    </xf>
    <xf numFmtId="3" fontId="56" fillId="3" borderId="0" xfId="0" applyNumberFormat="1" applyFont="1" applyFill="1" applyAlignment="1">
      <alignment horizontal="center"/>
    </xf>
    <xf numFmtId="8" fontId="56" fillId="3" borderId="0" xfId="0" applyNumberFormat="1" applyFont="1" applyFill="1" applyAlignment="1">
      <alignment horizontal="center"/>
    </xf>
    <xf numFmtId="0" fontId="56" fillId="3" borderId="0" xfId="0" applyFont="1" applyFill="1" applyAlignment="1">
      <alignment horizontal="center"/>
    </xf>
    <xf numFmtId="0" fontId="56" fillId="3" borderId="5" xfId="0" applyFont="1" applyFill="1" applyBorder="1" applyAlignment="1">
      <alignment horizontal="center"/>
    </xf>
    <xf numFmtId="8" fontId="56" fillId="3" borderId="5" xfId="0" applyNumberFormat="1" applyFont="1" applyFill="1" applyBorder="1" applyAlignment="1">
      <alignment horizontal="center"/>
    </xf>
    <xf numFmtId="0" fontId="56" fillId="3" borderId="6" xfId="0" applyFont="1" applyFill="1" applyBorder="1" applyAlignment="1">
      <alignment horizontal="center"/>
    </xf>
    <xf numFmtId="3" fontId="56" fillId="3" borderId="7" xfId="0" applyNumberFormat="1" applyFont="1" applyFill="1" applyBorder="1" applyAlignment="1">
      <alignment horizontal="center"/>
    </xf>
    <xf numFmtId="8" fontId="56" fillId="3" borderId="7" xfId="0" applyNumberFormat="1" applyFont="1" applyFill="1" applyBorder="1" applyAlignment="1">
      <alignment horizontal="center"/>
    </xf>
    <xf numFmtId="8" fontId="56" fillId="3" borderId="8" xfId="0" applyNumberFormat="1" applyFont="1" applyFill="1" applyBorder="1" applyAlignment="1">
      <alignment horizontal="center"/>
    </xf>
    <xf numFmtId="0" fontId="59" fillId="3" borderId="0" xfId="0" applyFont="1" applyFill="1" applyAlignment="1">
      <alignment horizontal="center"/>
    </xf>
    <xf numFmtId="0" fontId="58" fillId="2" borderId="1" xfId="0" applyFont="1" applyFill="1" applyBorder="1" applyAlignment="1">
      <alignment horizontal="center" vertical="center" wrapText="1"/>
    </xf>
    <xf numFmtId="0" fontId="58" fillId="2" borderId="2" xfId="0" applyFont="1" applyFill="1" applyBorder="1" applyAlignment="1">
      <alignment horizontal="center" vertical="center" wrapText="1"/>
    </xf>
    <xf numFmtId="0" fontId="58" fillId="2" borderId="3" xfId="0" applyFont="1" applyFill="1" applyBorder="1" applyAlignment="1">
      <alignment horizontal="center" vertical="center" wrapText="1"/>
    </xf>
    <xf numFmtId="0" fontId="59" fillId="3" borderId="0" xfId="0" applyFont="1" applyFill="1"/>
    <xf numFmtId="0" fontId="56" fillId="3" borderId="4" xfId="0" applyFont="1" applyFill="1" applyBorder="1" applyAlignment="1">
      <alignment horizontal="right" vertical="top"/>
    </xf>
    <xf numFmtId="3" fontId="56" fillId="3" borderId="0" xfId="0" applyNumberFormat="1" applyFont="1" applyFill="1" applyAlignment="1">
      <alignment horizontal="right" vertical="top"/>
    </xf>
    <xf numFmtId="6" fontId="56" fillId="3" borderId="0" xfId="0" applyNumberFormat="1" applyFont="1" applyFill="1" applyAlignment="1">
      <alignment horizontal="right" vertical="top"/>
    </xf>
    <xf numFmtId="0" fontId="56" fillId="3" borderId="0" xfId="0" applyFont="1" applyFill="1" applyAlignment="1">
      <alignment horizontal="right" vertical="top"/>
    </xf>
    <xf numFmtId="0" fontId="56" fillId="3" borderId="5" xfId="0" applyFont="1" applyFill="1" applyBorder="1" applyAlignment="1">
      <alignment horizontal="right" vertical="top"/>
    </xf>
    <xf numFmtId="8" fontId="59" fillId="3" borderId="0" xfId="0" applyNumberFormat="1" applyFont="1" applyFill="1"/>
    <xf numFmtId="6" fontId="56" fillId="3" borderId="5" xfId="0" applyNumberFormat="1" applyFont="1" applyFill="1" applyBorder="1" applyAlignment="1">
      <alignment horizontal="right" vertical="top"/>
    </xf>
    <xf numFmtId="10" fontId="59" fillId="3" borderId="0" xfId="8" applyNumberFormat="1" applyFont="1" applyFill="1"/>
    <xf numFmtId="0" fontId="56" fillId="3" borderId="6" xfId="0" applyFont="1" applyFill="1" applyBorder="1" applyAlignment="1">
      <alignment horizontal="right" vertical="top"/>
    </xf>
    <xf numFmtId="3" fontId="56" fillId="3" borderId="7" xfId="0" applyNumberFormat="1" applyFont="1" applyFill="1" applyBorder="1" applyAlignment="1">
      <alignment horizontal="right" vertical="top"/>
    </xf>
    <xf numFmtId="6" fontId="56" fillId="3" borderId="7" xfId="0" applyNumberFormat="1" applyFont="1" applyFill="1" applyBorder="1" applyAlignment="1">
      <alignment horizontal="right" vertical="top"/>
    </xf>
    <xf numFmtId="6" fontId="56" fillId="3" borderId="8" xfId="0" applyNumberFormat="1" applyFont="1" applyFill="1" applyBorder="1" applyAlignment="1">
      <alignment horizontal="right" vertical="top"/>
    </xf>
    <xf numFmtId="0" fontId="41" fillId="0" borderId="0" xfId="0" applyFont="1"/>
    <xf numFmtId="10" fontId="56" fillId="3" borderId="0" xfId="0" applyNumberFormat="1" applyFont="1" applyFill="1" applyAlignment="1">
      <alignment horizontal="center"/>
    </xf>
    <xf numFmtId="6" fontId="0" fillId="0" borderId="0" xfId="0" applyNumberFormat="1"/>
    <xf numFmtId="0" fontId="18" fillId="2" borderId="4"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18" fillId="2" borderId="5" xfId="0" applyFont="1" applyFill="1" applyBorder="1" applyAlignment="1">
      <alignment horizontal="center" vertical="center" wrapText="1"/>
    </xf>
    <xf numFmtId="3" fontId="60" fillId="0" borderId="12" xfId="0" applyNumberFormat="1" applyFont="1" applyBorder="1" applyAlignment="1">
      <alignment horizontal="right" wrapText="1"/>
    </xf>
    <xf numFmtId="3" fontId="61" fillId="0" borderId="0" xfId="0" applyNumberFormat="1" applyFont="1" applyAlignment="1">
      <alignment horizontal="right" wrapText="1"/>
    </xf>
    <xf numFmtId="10" fontId="60" fillId="0" borderId="12" xfId="0" applyNumberFormat="1" applyFont="1" applyBorder="1" applyAlignment="1">
      <alignment horizontal="right" wrapText="1"/>
    </xf>
    <xf numFmtId="10" fontId="61" fillId="0" borderId="0" xfId="0" applyNumberFormat="1" applyFont="1" applyAlignment="1">
      <alignment horizontal="right" wrapText="1"/>
    </xf>
    <xf numFmtId="0" fontId="60" fillId="0" borderId="12" xfId="0" applyFont="1" applyBorder="1" applyAlignment="1">
      <alignment horizontal="right" wrapText="1"/>
    </xf>
    <xf numFmtId="0" fontId="61" fillId="0" borderId="0" xfId="0" applyFont="1" applyAlignment="1">
      <alignment horizontal="right" wrapText="1"/>
    </xf>
    <xf numFmtId="0" fontId="10" fillId="0" borderId="12" xfId="0" applyFont="1" applyBorder="1" applyAlignment="1">
      <alignment horizontal="right" wrapText="1"/>
    </xf>
    <xf numFmtId="0" fontId="62" fillId="0" borderId="0" xfId="0" applyFont="1" applyAlignment="1">
      <alignment horizontal="right" wrapText="1"/>
    </xf>
    <xf numFmtId="10" fontId="26" fillId="0" borderId="12" xfId="0" applyNumberFormat="1" applyFont="1" applyBorder="1" applyAlignment="1">
      <alignment horizontal="right" wrapText="1"/>
    </xf>
    <xf numFmtId="0" fontId="26" fillId="0" borderId="12" xfId="0" applyFont="1" applyBorder="1" applyAlignment="1">
      <alignment horizontal="right" wrapText="1"/>
    </xf>
    <xf numFmtId="10" fontId="63" fillId="0" borderId="0" xfId="0" applyNumberFormat="1" applyFont="1" applyAlignment="1">
      <alignment horizontal="right" wrapText="1"/>
    </xf>
    <xf numFmtId="0" fontId="63" fillId="0" borderId="0" xfId="0" applyFont="1" applyAlignment="1">
      <alignment horizontal="right" wrapText="1"/>
    </xf>
    <xf numFmtId="0" fontId="64" fillId="0" borderId="12" xfId="0" applyFont="1" applyBorder="1" applyAlignment="1">
      <alignment horizontal="right" wrapText="1"/>
    </xf>
    <xf numFmtId="10" fontId="64" fillId="0" borderId="12" xfId="0" applyNumberFormat="1" applyFont="1" applyBorder="1" applyAlignment="1">
      <alignment horizontal="right" wrapText="1"/>
    </xf>
    <xf numFmtId="3" fontId="65" fillId="0" borderId="0" xfId="0" applyNumberFormat="1" applyFont="1" applyAlignment="1">
      <alignment horizontal="right" wrapText="1"/>
    </xf>
    <xf numFmtId="10" fontId="65" fillId="0" borderId="0" xfId="0" applyNumberFormat="1" applyFont="1" applyAlignment="1">
      <alignment horizontal="right" wrapText="1"/>
    </xf>
    <xf numFmtId="0" fontId="65" fillId="0" borderId="0" xfId="0" applyFont="1" applyAlignment="1">
      <alignment horizontal="right" wrapText="1"/>
    </xf>
    <xf numFmtId="0" fontId="66" fillId="3" borderId="4" xfId="0" applyFont="1" applyFill="1" applyBorder="1" applyAlignment="1">
      <alignment horizontal="center" vertical="top"/>
    </xf>
    <xf numFmtId="3" fontId="26" fillId="0" borderId="12" xfId="0" applyNumberFormat="1" applyFont="1" applyBorder="1" applyAlignment="1">
      <alignment horizontal="right" wrapText="1"/>
    </xf>
    <xf numFmtId="0" fontId="66" fillId="3" borderId="0" xfId="0" applyFont="1" applyFill="1" applyAlignment="1">
      <alignment horizontal="center" vertical="top"/>
    </xf>
    <xf numFmtId="3" fontId="63" fillId="0" borderId="0" xfId="0" applyNumberFormat="1" applyFont="1" applyAlignment="1">
      <alignment horizontal="right" wrapText="1"/>
    </xf>
    <xf numFmtId="3" fontId="66" fillId="3" borderId="0" xfId="0" applyNumberFormat="1" applyFont="1" applyFill="1" applyAlignment="1">
      <alignment horizontal="center" vertical="top"/>
    </xf>
    <xf numFmtId="6" fontId="66" fillId="3" borderId="0" xfId="0" applyNumberFormat="1" applyFont="1" applyFill="1" applyAlignment="1">
      <alignment horizontal="center" vertical="top"/>
    </xf>
    <xf numFmtId="6" fontId="66" fillId="3" borderId="0" xfId="0" applyNumberFormat="1" applyFont="1" applyFill="1" applyAlignment="1">
      <alignment horizontal="right" vertical="top"/>
    </xf>
    <xf numFmtId="10" fontId="66" fillId="3" borderId="0" xfId="0" applyNumberFormat="1" applyFont="1" applyFill="1" applyAlignment="1">
      <alignment horizontal="center" vertical="top"/>
    </xf>
    <xf numFmtId="0" fontId="67" fillId="3" borderId="0" xfId="0" applyFont="1" applyFill="1" applyAlignment="1">
      <alignment horizontal="center" vertical="top"/>
    </xf>
    <xf numFmtId="0" fontId="60" fillId="0" borderId="14" xfId="0" applyFont="1" applyBorder="1" applyAlignment="1">
      <alignment horizontal="right" wrapText="1"/>
    </xf>
    <xf numFmtId="0" fontId="61" fillId="0" borderId="15" xfId="0" applyFont="1" applyBorder="1" applyAlignment="1">
      <alignment horizontal="right" wrapText="1"/>
    </xf>
    <xf numFmtId="0" fontId="68" fillId="2" borderId="1"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69" fillId="3" borderId="4" xfId="0" applyFont="1" applyFill="1" applyBorder="1" applyAlignment="1">
      <alignment horizontal="center" vertical="top"/>
    </xf>
    <xf numFmtId="3" fontId="64" fillId="0" borderId="12" xfId="0" applyNumberFormat="1" applyFont="1" applyBorder="1" applyAlignment="1">
      <alignment horizontal="right" wrapText="1"/>
    </xf>
    <xf numFmtId="0" fontId="64" fillId="0" borderId="14" xfId="0" applyFont="1" applyBorder="1" applyAlignment="1">
      <alignment horizontal="right" wrapText="1"/>
    </xf>
    <xf numFmtId="10" fontId="69" fillId="3" borderId="0" xfId="0" applyNumberFormat="1" applyFont="1" applyFill="1" applyAlignment="1">
      <alignment horizontal="center" vertical="top"/>
    </xf>
    <xf numFmtId="0" fontId="65" fillId="0" borderId="15" xfId="0" applyFont="1" applyBorder="1" applyAlignment="1">
      <alignment horizontal="right" wrapText="1"/>
    </xf>
    <xf numFmtId="3" fontId="69" fillId="3" borderId="0" xfId="0" applyNumberFormat="1" applyFont="1" applyFill="1" applyAlignment="1">
      <alignment horizontal="center" vertical="top"/>
    </xf>
    <xf numFmtId="6" fontId="69" fillId="3" borderId="0" xfId="0" applyNumberFormat="1" applyFont="1" applyFill="1" applyAlignment="1">
      <alignment horizontal="center" vertical="top"/>
    </xf>
    <xf numFmtId="6" fontId="69" fillId="3" borderId="0" xfId="0" applyNumberFormat="1" applyFont="1" applyFill="1" applyAlignment="1">
      <alignment horizontal="right" vertical="top"/>
    </xf>
    <xf numFmtId="165" fontId="0" fillId="0" borderId="0" xfId="5" applyNumberFormat="1" applyFont="1"/>
    <xf numFmtId="165" fontId="0" fillId="9" borderId="0" xfId="0" applyNumberFormat="1" applyFill="1"/>
    <xf numFmtId="165" fontId="0" fillId="0" borderId="0" xfId="0" applyNumberFormat="1"/>
    <xf numFmtId="165" fontId="19" fillId="3" borderId="0" xfId="0" applyNumberFormat="1" applyFont="1" applyFill="1" applyAlignment="1">
      <alignment horizontal="center" vertical="top"/>
    </xf>
    <xf numFmtId="165" fontId="44" fillId="0" borderId="0" xfId="4" applyNumberFormat="1" applyFont="1" applyFill="1" applyBorder="1"/>
    <xf numFmtId="165" fontId="45" fillId="0" borderId="34" xfId="0" applyNumberFormat="1" applyFont="1" applyBorder="1"/>
    <xf numFmtId="165" fontId="22" fillId="0" borderId="0" xfId="4" applyNumberFormat="1" applyBorder="1"/>
    <xf numFmtId="165" fontId="44" fillId="0" borderId="0" xfId="6" applyNumberFormat="1" applyFont="1" applyBorder="1"/>
    <xf numFmtId="165" fontId="44" fillId="0" borderId="0" xfId="5" applyNumberFormat="1" applyFont="1" applyBorder="1"/>
    <xf numFmtId="3" fontId="44" fillId="0" borderId="0" xfId="6" applyNumberFormat="1" applyFont="1" applyBorder="1"/>
    <xf numFmtId="165" fontId="45" fillId="0" borderId="34" xfId="1" applyNumberFormat="1" applyFont="1" applyBorder="1"/>
    <xf numFmtId="6" fontId="0" fillId="0" borderId="0" xfId="5" applyNumberFormat="1" applyFont="1"/>
    <xf numFmtId="3" fontId="21" fillId="3" borderId="0" xfId="0" applyNumberFormat="1" applyFont="1" applyFill="1"/>
    <xf numFmtId="6" fontId="21" fillId="3" borderId="0" xfId="0" applyNumberFormat="1" applyFont="1" applyFill="1"/>
    <xf numFmtId="8" fontId="0" fillId="0" borderId="0" xfId="0" applyNumberFormat="1"/>
    <xf numFmtId="165" fontId="51" fillId="0" borderId="0" xfId="0" applyNumberFormat="1" applyFont="1" applyFill="1" applyBorder="1" applyAlignment="1"/>
    <xf numFmtId="165" fontId="44" fillId="0" borderId="0" xfId="5" applyNumberFormat="1" applyFont="1" applyFill="1" applyBorder="1"/>
    <xf numFmtId="169" fontId="0" fillId="0" borderId="0" xfId="0" applyNumberFormat="1"/>
    <xf numFmtId="10" fontId="35" fillId="0" borderId="0" xfId="0" applyNumberFormat="1" applyFont="1"/>
    <xf numFmtId="0" fontId="70" fillId="0" borderId="0" xfId="0" applyFont="1" applyAlignment="1">
      <alignment wrapText="1"/>
    </xf>
    <xf numFmtId="2" fontId="51" fillId="0" borderId="0" xfId="0" applyNumberFormat="1" applyFont="1" applyFill="1" applyBorder="1"/>
    <xf numFmtId="10" fontId="51" fillId="0" borderId="0" xfId="0" applyNumberFormat="1" applyFont="1" applyFill="1"/>
    <xf numFmtId="10" fontId="51" fillId="0" borderId="0" xfId="3" applyNumberFormat="1" applyFont="1" applyFill="1" applyBorder="1"/>
    <xf numFmtId="10" fontId="0" fillId="0" borderId="0" xfId="0" applyNumberFormat="1" applyFill="1"/>
    <xf numFmtId="0" fontId="13" fillId="0" borderId="0" xfId="0" applyNumberFormat="1" applyFont="1" applyFill="1" applyBorder="1" applyAlignment="1">
      <alignment horizontal="left"/>
    </xf>
    <xf numFmtId="8" fontId="19" fillId="3" borderId="0" xfId="0" applyNumberFormat="1" applyFont="1" applyFill="1" applyAlignment="1">
      <alignment horizontal="right" vertical="top"/>
    </xf>
    <xf numFmtId="3" fontId="35" fillId="0" borderId="0" xfId="0" applyNumberFormat="1" applyFont="1"/>
    <xf numFmtId="170" fontId="19" fillId="3" borderId="0" xfId="0" applyNumberFormat="1" applyFont="1" applyFill="1" applyAlignment="1">
      <alignment horizontal="right" vertical="top"/>
    </xf>
    <xf numFmtId="0" fontId="17" fillId="0" borderId="0" xfId="0" applyFont="1" applyBorder="1" applyAlignment="1">
      <alignment horizontal="center" wrapText="1"/>
    </xf>
    <xf numFmtId="0" fontId="25" fillId="0" borderId="0" xfId="6" applyFont="1" applyFill="1" applyBorder="1"/>
    <xf numFmtId="49" fontId="72" fillId="4" borderId="0" xfId="4" applyNumberFormat="1" applyFont="1" applyFill="1" applyBorder="1" applyAlignment="1">
      <alignment horizontal="center"/>
    </xf>
    <xf numFmtId="6" fontId="0" fillId="0" borderId="11" xfId="0" applyNumberFormat="1" applyBorder="1"/>
    <xf numFmtId="6" fontId="0" fillId="0" borderId="13" xfId="0" applyNumberFormat="1" applyBorder="1"/>
    <xf numFmtId="6" fontId="0" fillId="0" borderId="16" xfId="0" applyNumberFormat="1" applyBorder="1"/>
    <xf numFmtId="10" fontId="10" fillId="0" borderId="12" xfId="0" applyNumberFormat="1" applyFont="1" applyBorder="1" applyAlignment="1">
      <alignment horizontal="right" wrapText="1"/>
    </xf>
    <xf numFmtId="10" fontId="18" fillId="2" borderId="5" xfId="0" applyNumberFormat="1" applyFont="1" applyFill="1" applyBorder="1" applyAlignment="1">
      <alignment horizontal="center" vertical="center" wrapText="1"/>
    </xf>
    <xf numFmtId="10" fontId="52" fillId="0" borderId="0" xfId="0" applyNumberFormat="1" applyFont="1"/>
    <xf numFmtId="49" fontId="39" fillId="4" borderId="0" xfId="1" applyNumberFormat="1" applyFont="1" applyFill="1" applyBorder="1" applyAlignment="1">
      <alignment horizontal="center"/>
    </xf>
    <xf numFmtId="171" fontId="0" fillId="0" borderId="0" xfId="0" applyNumberFormat="1"/>
    <xf numFmtId="0" fontId="0" fillId="0" borderId="0" xfId="0" applyFill="1" applyBorder="1"/>
    <xf numFmtId="0" fontId="49" fillId="0" borderId="0" xfId="0" applyFont="1" applyFill="1" applyBorder="1"/>
    <xf numFmtId="0" fontId="49" fillId="0" borderId="0" xfId="0" applyFont="1" applyBorder="1"/>
    <xf numFmtId="0" fontId="74" fillId="0" borderId="0" xfId="6" applyFont="1" applyFill="1" applyBorder="1" applyAlignment="1">
      <alignment horizontal="center"/>
    </xf>
    <xf numFmtId="3" fontId="0" fillId="0" borderId="0" xfId="0" applyNumberFormat="1" applyFill="1"/>
    <xf numFmtId="3" fontId="11" fillId="0" borderId="0" xfId="0" applyNumberFormat="1" applyFont="1" applyFill="1"/>
    <xf numFmtId="0" fontId="35" fillId="0" borderId="0" xfId="0" applyFont="1" applyFill="1"/>
    <xf numFmtId="0" fontId="51" fillId="0" borderId="0" xfId="0" applyFont="1" applyFill="1"/>
    <xf numFmtId="4" fontId="51" fillId="0" borderId="0" xfId="0" applyNumberFormat="1" applyFont="1" applyFill="1"/>
    <xf numFmtId="0" fontId="55" fillId="0" borderId="0" xfId="0" applyFont="1" applyFill="1"/>
    <xf numFmtId="0" fontId="32" fillId="0" borderId="0" xfId="0" applyFont="1" applyFill="1"/>
    <xf numFmtId="4" fontId="32" fillId="0" borderId="0" xfId="0" applyNumberFormat="1" applyFont="1" applyFill="1"/>
    <xf numFmtId="0" fontId="75" fillId="0" borderId="0" xfId="0" applyFont="1" applyBorder="1"/>
    <xf numFmtId="0" fontId="51" fillId="0" borderId="0" xfId="0" applyFont="1" applyAlignment="1">
      <alignment horizontal="left"/>
    </xf>
    <xf numFmtId="0" fontId="51" fillId="0" borderId="0" xfId="0" applyFont="1" applyFill="1" applyAlignment="1">
      <alignment horizontal="center"/>
    </xf>
    <xf numFmtId="0" fontId="83" fillId="0" borderId="0" xfId="0" applyFont="1" applyAlignment="1">
      <alignment horizontal="center"/>
    </xf>
    <xf numFmtId="0" fontId="83" fillId="0" borderId="0" xfId="0" applyFont="1"/>
    <xf numFmtId="0" fontId="84" fillId="0" borderId="0" xfId="0" applyFont="1" applyAlignment="1">
      <alignment horizontal="right"/>
    </xf>
    <xf numFmtId="0" fontId="84" fillId="0" borderId="0" xfId="0" applyFont="1"/>
    <xf numFmtId="10" fontId="84" fillId="0" borderId="0" xfId="0" applyNumberFormat="1" applyFont="1" applyAlignment="1">
      <alignment horizontal="center"/>
    </xf>
    <xf numFmtId="10" fontId="84" fillId="0" borderId="0" xfId="0" applyNumberFormat="1" applyFont="1"/>
    <xf numFmtId="3" fontId="73" fillId="0" borderId="0" xfId="0" applyNumberFormat="1" applyFont="1" applyAlignment="1">
      <alignment horizontal="left" vertical="center"/>
    </xf>
    <xf numFmtId="4" fontId="32" fillId="0" borderId="0" xfId="0" applyNumberFormat="1" applyFont="1" applyFill="1" applyAlignment="1">
      <alignment vertical="center"/>
    </xf>
    <xf numFmtId="0" fontId="81" fillId="0" borderId="33" xfId="0" applyFont="1" applyFill="1" applyBorder="1" applyAlignment="1">
      <alignment horizontal="center"/>
    </xf>
    <xf numFmtId="3" fontId="35" fillId="0" borderId="34" xfId="0" applyNumberFormat="1" applyFont="1" applyBorder="1" applyAlignment="1">
      <alignment horizontal="center"/>
    </xf>
    <xf numFmtId="3" fontId="81" fillId="0" borderId="34" xfId="0" applyNumberFormat="1" applyFont="1" applyBorder="1" applyAlignment="1">
      <alignment horizontal="center"/>
    </xf>
    <xf numFmtId="3" fontId="81" fillId="0" borderId="36" xfId="0" applyNumberFormat="1" applyFont="1" applyBorder="1" applyAlignment="1">
      <alignment horizontal="center"/>
    </xf>
    <xf numFmtId="3" fontId="73" fillId="0" borderId="0" xfId="0" applyNumberFormat="1" applyFont="1" applyAlignment="1">
      <alignment horizontal="right" vertical="center"/>
    </xf>
    <xf numFmtId="0" fontId="32" fillId="5" borderId="0" xfId="0" applyFont="1" applyFill="1" applyBorder="1"/>
    <xf numFmtId="3" fontId="88" fillId="5" borderId="0" xfId="0" applyNumberFormat="1" applyFont="1" applyFill="1" applyBorder="1" applyAlignment="1">
      <alignment horizontal="center"/>
    </xf>
    <xf numFmtId="0" fontId="83" fillId="0" borderId="0" xfId="0" applyFont="1" applyAlignment="1">
      <alignment horizontal="left"/>
    </xf>
    <xf numFmtId="0" fontId="84" fillId="0" borderId="0" xfId="0" applyFont="1" applyAlignment="1">
      <alignment horizontal="left"/>
    </xf>
    <xf numFmtId="168" fontId="84" fillId="0" borderId="0" xfId="0" applyNumberFormat="1" applyFont="1" applyAlignment="1">
      <alignment horizontal="left"/>
    </xf>
    <xf numFmtId="171" fontId="84" fillId="0" borderId="0" xfId="0" applyNumberFormat="1" applyFont="1" applyAlignment="1">
      <alignment horizontal="right" vertical="center"/>
    </xf>
    <xf numFmtId="171" fontId="84" fillId="0" borderId="0" xfId="0" applyNumberFormat="1" applyFont="1" applyAlignment="1">
      <alignment horizontal="left" vertical="center"/>
    </xf>
    <xf numFmtId="0" fontId="89" fillId="0" borderId="0" xfId="0" applyFont="1" applyAlignment="1">
      <alignment horizontal="left"/>
    </xf>
    <xf numFmtId="168" fontId="89" fillId="0" borderId="0" xfId="0" applyNumberFormat="1" applyFont="1" applyAlignment="1">
      <alignment horizontal="left"/>
    </xf>
    <xf numFmtId="168" fontId="85" fillId="0" borderId="0" xfId="0" applyNumberFormat="1" applyFont="1" applyAlignment="1">
      <alignment horizontal="left"/>
    </xf>
    <xf numFmtId="10" fontId="83" fillId="0" borderId="0" xfId="0" applyNumberFormat="1" applyFont="1" applyAlignment="1">
      <alignment horizontal="center"/>
    </xf>
    <xf numFmtId="4" fontId="84" fillId="0" borderId="0" xfId="0" applyNumberFormat="1" applyFont="1"/>
    <xf numFmtId="168" fontId="84" fillId="0" borderId="0" xfId="0" applyNumberFormat="1" applyFont="1"/>
    <xf numFmtId="4" fontId="90" fillId="0" borderId="0" xfId="0" applyNumberFormat="1" applyFont="1" applyFill="1"/>
    <xf numFmtId="3" fontId="51" fillId="0" borderId="0" xfId="0" applyNumberFormat="1" applyFont="1" applyFill="1"/>
    <xf numFmtId="0" fontId="0" fillId="0" borderId="0" xfId="0" applyAlignment="1">
      <alignment wrapText="1"/>
    </xf>
    <xf numFmtId="0" fontId="22" fillId="0" borderId="0" xfId="11" applyFont="1" applyFill="1" applyBorder="1"/>
    <xf numFmtId="3" fontId="44" fillId="0" borderId="0" xfId="12" applyNumberFormat="1" applyFont="1" applyFill="1" applyBorder="1" applyAlignment="1"/>
    <xf numFmtId="3" fontId="22" fillId="0" borderId="0" xfId="12" applyNumberFormat="1" applyFont="1" applyFill="1" applyBorder="1" applyAlignment="1"/>
    <xf numFmtId="3" fontId="60" fillId="0" borderId="0" xfId="0" applyNumberFormat="1" applyFont="1" applyAlignment="1">
      <alignment horizontal="right" vertical="center"/>
    </xf>
    <xf numFmtId="0" fontId="55" fillId="5" borderId="0" xfId="0" applyFont="1" applyFill="1"/>
    <xf numFmtId="166" fontId="23" fillId="0" borderId="0" xfId="0" applyNumberFormat="1" applyFont="1" applyFill="1"/>
    <xf numFmtId="3" fontId="49" fillId="0" borderId="34" xfId="0" applyNumberFormat="1" applyFont="1" applyBorder="1" applyAlignment="1">
      <alignment horizontal="center"/>
    </xf>
    <xf numFmtId="3" fontId="49" fillId="0" borderId="36" xfId="0" applyNumberFormat="1" applyFont="1" applyBorder="1" applyAlignment="1">
      <alignment horizontal="center"/>
    </xf>
    <xf numFmtId="3" fontId="49" fillId="0" borderId="36" xfId="0" applyNumberFormat="1" applyFont="1" applyBorder="1"/>
    <xf numFmtId="0" fontId="46" fillId="0" borderId="0" xfId="0" applyFont="1"/>
    <xf numFmtId="166" fontId="37" fillId="5" borderId="0" xfId="0" applyNumberFormat="1" applyFont="1" applyFill="1"/>
    <xf numFmtId="165" fontId="78" fillId="5" borderId="0" xfId="6" applyNumberFormat="1" applyFont="1" applyFill="1" applyBorder="1" applyAlignment="1">
      <alignment horizontal="center"/>
    </xf>
    <xf numFmtId="165" fontId="78" fillId="5" borderId="0" xfId="1" applyNumberFormat="1" applyFont="1" applyFill="1" applyBorder="1" applyAlignment="1">
      <alignment horizontal="center"/>
    </xf>
    <xf numFmtId="49" fontId="78" fillId="5" borderId="0" xfId="1" applyNumberFormat="1" applyFont="1" applyFill="1" applyBorder="1" applyAlignment="1">
      <alignment horizontal="center"/>
    </xf>
    <xf numFmtId="165" fontId="77" fillId="5" borderId="0" xfId="6" applyNumberFormat="1" applyFont="1" applyFill="1" applyBorder="1" applyAlignment="1">
      <alignment horizontal="center"/>
    </xf>
    <xf numFmtId="165" fontId="77" fillId="5" borderId="0" xfId="1" applyNumberFormat="1" applyFont="1" applyFill="1" applyBorder="1" applyAlignment="1">
      <alignment horizontal="center"/>
    </xf>
    <xf numFmtId="168" fontId="77" fillId="5" borderId="0" xfId="5" applyNumberFormat="1" applyFont="1" applyFill="1" applyBorder="1"/>
    <xf numFmtId="4" fontId="32" fillId="5" borderId="0" xfId="0" applyNumberFormat="1" applyFont="1" applyFill="1"/>
    <xf numFmtId="168" fontId="109" fillId="0" borderId="0" xfId="0" applyNumberFormat="1" applyFont="1" applyAlignment="1">
      <alignment horizontal="center"/>
    </xf>
    <xf numFmtId="3" fontId="109" fillId="0" borderId="0" xfId="0" applyNumberFormat="1" applyFont="1" applyAlignment="1">
      <alignment horizontal="center"/>
    </xf>
    <xf numFmtId="8" fontId="55" fillId="5" borderId="0" xfId="0" applyNumberFormat="1" applyFont="1" applyFill="1"/>
    <xf numFmtId="0" fontId="32" fillId="5" borderId="0" xfId="0" applyFont="1" applyFill="1" applyBorder="1" applyAlignment="1">
      <alignment horizontal="center" vertical="center"/>
    </xf>
    <xf numFmtId="0" fontId="55" fillId="5" borderId="0" xfId="0" applyFont="1" applyFill="1" applyAlignment="1">
      <alignment horizontal="center"/>
    </xf>
    <xf numFmtId="0" fontId="110" fillId="0" borderId="0" xfId="0" applyFont="1"/>
    <xf numFmtId="3" fontId="22" fillId="0" borderId="0" xfId="12" applyNumberFormat="1" applyFont="1" applyFill="1" applyBorder="1"/>
    <xf numFmtId="3" fontId="22" fillId="0" borderId="30" xfId="43" applyNumberFormat="1" applyFont="1" applyFill="1" applyBorder="1" applyAlignment="1">
      <alignment horizontal="right"/>
    </xf>
    <xf numFmtId="3" fontId="22" fillId="0" borderId="0" xfId="12" applyNumberFormat="1" applyFont="1" applyFill="1"/>
    <xf numFmtId="3" fontId="44" fillId="0" borderId="27" xfId="12" applyNumberFormat="1" applyFont="1" applyFill="1" applyBorder="1"/>
    <xf numFmtId="3" fontId="44" fillId="0" borderId="32" xfId="12" applyNumberFormat="1" applyFont="1" applyFill="1" applyBorder="1"/>
    <xf numFmtId="3" fontId="44" fillId="0" borderId="0" xfId="12" applyNumberFormat="1" applyFont="1" applyFill="1" applyBorder="1"/>
    <xf numFmtId="0" fontId="111" fillId="0" borderId="0" xfId="0" applyFont="1"/>
    <xf numFmtId="0" fontId="52" fillId="5" borderId="0" xfId="0" applyFont="1" applyFill="1" applyAlignment="1">
      <alignment horizontal="center" vertical="center"/>
    </xf>
    <xf numFmtId="0" fontId="35" fillId="0" borderId="0" xfId="0" applyFont="1" applyAlignment="1">
      <alignment horizontal="center" vertical="center"/>
    </xf>
    <xf numFmtId="0" fontId="0" fillId="0" borderId="0" xfId="0" applyFont="1" applyAlignment="1">
      <alignment horizontal="center" vertical="center"/>
    </xf>
    <xf numFmtId="0" fontId="81" fillId="5" borderId="0" xfId="0" applyFont="1" applyFill="1" applyAlignment="1">
      <alignment horizontal="center" vertical="center"/>
    </xf>
    <xf numFmtId="168" fontId="35" fillId="5" borderId="0" xfId="0" applyNumberFormat="1" applyFont="1" applyFill="1" applyAlignment="1">
      <alignment horizontal="center" vertical="center"/>
    </xf>
    <xf numFmtId="0" fontId="35" fillId="5" borderId="0" xfId="0" applyFont="1" applyFill="1" applyAlignment="1">
      <alignment horizontal="center" vertical="center"/>
    </xf>
    <xf numFmtId="0" fontId="81" fillId="0" borderId="0" xfId="0" applyFont="1" applyAlignment="1">
      <alignment horizontal="center" vertical="center"/>
    </xf>
    <xf numFmtId="3" fontId="0" fillId="0" borderId="34" xfId="0" applyNumberFormat="1" applyFont="1" applyBorder="1" applyAlignment="1">
      <alignment horizontal="center"/>
    </xf>
    <xf numFmtId="3" fontId="11" fillId="0" borderId="0" xfId="0" applyNumberFormat="1" applyFont="1"/>
    <xf numFmtId="0" fontId="83" fillId="0" borderId="0" xfId="0" applyFont="1" applyAlignment="1">
      <alignment horizontal="left" wrapText="1"/>
    </xf>
    <xf numFmtId="0" fontId="0" fillId="0" borderId="0" xfId="0" applyFont="1" applyAlignment="1"/>
    <xf numFmtId="0" fontId="0" fillId="0" borderId="0" xfId="0" applyAlignment="1"/>
    <xf numFmtId="0" fontId="76" fillId="5" borderId="0" xfId="0" applyFont="1" applyFill="1" applyBorder="1"/>
    <xf numFmtId="0" fontId="76" fillId="5" borderId="0" xfId="4" applyFont="1" applyFill="1" applyBorder="1"/>
    <xf numFmtId="165" fontId="76" fillId="5" borderId="0" xfId="5" applyNumberFormat="1" applyFont="1" applyFill="1" applyBorder="1"/>
    <xf numFmtId="165" fontId="78" fillId="5" borderId="0" xfId="5" applyNumberFormat="1" applyFont="1" applyFill="1" applyBorder="1" applyAlignment="1">
      <alignment horizontal="center"/>
    </xf>
    <xf numFmtId="0" fontId="77" fillId="5" borderId="0" xfId="6" applyFont="1" applyFill="1" applyBorder="1" applyAlignment="1">
      <alignment horizontal="center"/>
    </xf>
    <xf numFmtId="165" fontId="77" fillId="5" borderId="0" xfId="5" applyNumberFormat="1" applyFont="1" applyFill="1" applyBorder="1" applyAlignment="1">
      <alignment horizontal="center"/>
    </xf>
    <xf numFmtId="0" fontId="79" fillId="5" borderId="0" xfId="6" applyFont="1" applyFill="1" applyBorder="1" applyAlignment="1">
      <alignment horizontal="left"/>
    </xf>
    <xf numFmtId="0" fontId="77" fillId="5" borderId="0" xfId="6" applyFont="1" applyFill="1" applyBorder="1"/>
    <xf numFmtId="168" fontId="77" fillId="5" borderId="0" xfId="6" applyNumberFormat="1" applyFont="1" applyFill="1" applyBorder="1"/>
    <xf numFmtId="168" fontId="77" fillId="5" borderId="0" xfId="0" applyNumberFormat="1" applyFont="1" applyFill="1" applyBorder="1"/>
    <xf numFmtId="168" fontId="79" fillId="5" borderId="0" xfId="5" applyNumberFormat="1" applyFont="1" applyFill="1" applyBorder="1"/>
    <xf numFmtId="0" fontId="79" fillId="5" borderId="0" xfId="6" applyFont="1" applyFill="1" applyBorder="1"/>
    <xf numFmtId="0" fontId="77" fillId="5" borderId="0" xfId="0" applyFont="1" applyFill="1"/>
    <xf numFmtId="168" fontId="77" fillId="5" borderId="0" xfId="0" applyNumberFormat="1" applyFont="1" applyFill="1"/>
    <xf numFmtId="4" fontId="77" fillId="5" borderId="0" xfId="0" applyNumberFormat="1" applyFont="1" applyFill="1"/>
    <xf numFmtId="168" fontId="79" fillId="5" borderId="0" xfId="0" applyNumberFormat="1" applyFont="1" applyFill="1"/>
    <xf numFmtId="167" fontId="37" fillId="5" borderId="0" xfId="0" applyNumberFormat="1" applyFont="1" applyFill="1" applyBorder="1" applyAlignment="1">
      <alignment horizontal="center"/>
    </xf>
    <xf numFmtId="4" fontId="50" fillId="5" borderId="0" xfId="0" applyNumberFormat="1" applyFont="1" applyFill="1"/>
    <xf numFmtId="166" fontId="37" fillId="5" borderId="0" xfId="0" applyNumberFormat="1" applyFont="1" applyFill="1" applyBorder="1" applyAlignment="1">
      <alignment horizontal="center"/>
    </xf>
    <xf numFmtId="166" fontId="37" fillId="5" borderId="0" xfId="0" applyNumberFormat="1" applyFont="1" applyFill="1" applyBorder="1"/>
    <xf numFmtId="0" fontId="112" fillId="0" borderId="0" xfId="0" applyFont="1"/>
    <xf numFmtId="0" fontId="81" fillId="0" borderId="0" xfId="0" applyFont="1"/>
    <xf numFmtId="0" fontId="81" fillId="0" borderId="0" xfId="0" applyFont="1" applyAlignment="1">
      <alignment horizontal="center"/>
    </xf>
    <xf numFmtId="0" fontId="81" fillId="0" borderId="0" xfId="0" applyFont="1" applyAlignment="1">
      <alignment horizontal="center" wrapText="1"/>
    </xf>
    <xf numFmtId="0" fontId="81" fillId="0" borderId="0" xfId="0" applyFont="1" applyAlignment="1">
      <alignment wrapText="1"/>
    </xf>
    <xf numFmtId="3" fontId="35" fillId="0" borderId="0" xfId="0" applyNumberFormat="1" applyFont="1" applyAlignment="1">
      <alignment horizontal="center"/>
    </xf>
    <xf numFmtId="10" fontId="35" fillId="0" borderId="0" xfId="0" applyNumberFormat="1" applyFont="1" applyAlignment="1">
      <alignment horizontal="center"/>
    </xf>
    <xf numFmtId="10" fontId="35" fillId="0" borderId="0" xfId="0" applyNumberFormat="1" applyFont="1" applyAlignment="1">
      <alignment horizontal="left"/>
    </xf>
    <xf numFmtId="3" fontId="60" fillId="0" borderId="0" xfId="0" applyNumberFormat="1" applyFont="1" applyAlignment="1">
      <alignment horizontal="left" vertical="center"/>
    </xf>
    <xf numFmtId="6" fontId="35" fillId="0" borderId="0" xfId="0" applyNumberFormat="1" applyFont="1" applyAlignment="1">
      <alignment horizontal="center"/>
    </xf>
    <xf numFmtId="8" fontId="35" fillId="0" borderId="0" xfId="0" applyNumberFormat="1" applyFont="1" applyAlignment="1">
      <alignment horizontal="center"/>
    </xf>
    <xf numFmtId="171" fontId="60" fillId="0" borderId="0" xfId="0" applyNumberFormat="1" applyFont="1" applyAlignment="1">
      <alignment horizontal="right" vertical="center"/>
    </xf>
    <xf numFmtId="171" fontId="60" fillId="0" borderId="0" xfId="0" applyNumberFormat="1" applyFont="1" applyAlignment="1">
      <alignment horizontal="left" vertical="center"/>
    </xf>
    <xf numFmtId="0" fontId="35" fillId="0" borderId="0" xfId="0" applyFont="1" applyAlignment="1">
      <alignment horizontal="right" vertical="center"/>
    </xf>
    <xf numFmtId="0" fontId="35" fillId="0" borderId="0" xfId="0" applyFont="1" applyAlignment="1">
      <alignment horizontal="left" vertical="center"/>
    </xf>
    <xf numFmtId="3" fontId="35" fillId="0" borderId="0" xfId="0" applyNumberFormat="1" applyFont="1" applyAlignment="1">
      <alignment horizontal="center" vertical="center"/>
    </xf>
    <xf numFmtId="180" fontId="35" fillId="0" borderId="0" xfId="0" applyNumberFormat="1" applyFont="1" applyAlignment="1">
      <alignment horizontal="center" vertical="center"/>
    </xf>
    <xf numFmtId="0" fontId="88" fillId="5" borderId="0" xfId="0" applyFont="1" applyFill="1"/>
    <xf numFmtId="0" fontId="88" fillId="5" borderId="0" xfId="0" applyFont="1" applyFill="1" applyBorder="1" applyAlignment="1">
      <alignment horizontal="center" vertical="center" wrapText="1"/>
    </xf>
    <xf numFmtId="0" fontId="55" fillId="5" borderId="0" xfId="0" applyFont="1" applyFill="1" applyBorder="1" applyAlignment="1">
      <alignment horizontal="center" vertical="top"/>
    </xf>
    <xf numFmtId="3" fontId="55" fillId="5" borderId="0" xfId="0" applyNumberFormat="1" applyFont="1" applyFill="1" applyBorder="1" applyAlignment="1">
      <alignment horizontal="center" vertical="top"/>
    </xf>
    <xf numFmtId="6" fontId="55" fillId="5" borderId="0" xfId="0" applyNumberFormat="1" applyFont="1" applyFill="1" applyBorder="1" applyAlignment="1">
      <alignment horizontal="center" vertical="top"/>
    </xf>
    <xf numFmtId="3" fontId="55" fillId="5" borderId="0" xfId="0" applyNumberFormat="1" applyFont="1" applyFill="1" applyAlignment="1">
      <alignment horizontal="center"/>
    </xf>
    <xf numFmtId="6" fontId="55" fillId="5" borderId="0" xfId="0" applyNumberFormat="1" applyFont="1" applyFill="1" applyAlignment="1">
      <alignment horizontal="center"/>
    </xf>
    <xf numFmtId="0" fontId="114" fillId="5" borderId="0" xfId="0" applyFont="1" applyFill="1" applyBorder="1"/>
    <xf numFmtId="0" fontId="115" fillId="0" borderId="0" xfId="0" applyFont="1"/>
    <xf numFmtId="0" fontId="42" fillId="5" borderId="0" xfId="0" applyFont="1" applyFill="1" applyAlignment="1">
      <alignment horizontal="center"/>
    </xf>
    <xf numFmtId="0" fontId="116" fillId="0" borderId="0" xfId="0" applyFont="1"/>
    <xf numFmtId="0" fontId="88" fillId="0" borderId="0" xfId="0" applyFont="1"/>
    <xf numFmtId="4" fontId="35" fillId="5" borderId="0" xfId="0" applyNumberFormat="1" applyFont="1" applyFill="1" applyAlignment="1"/>
    <xf numFmtId="10" fontId="35" fillId="5" borderId="0" xfId="0" applyNumberFormat="1" applyFont="1" applyFill="1"/>
    <xf numFmtId="0" fontId="0" fillId="0" borderId="0" xfId="0" applyFont="1" applyFill="1"/>
    <xf numFmtId="0" fontId="0" fillId="5" borderId="0" xfId="0" applyFont="1" applyFill="1"/>
    <xf numFmtId="0" fontId="116" fillId="5" borderId="0" xfId="0" applyFont="1" applyFill="1" applyAlignment="1"/>
    <xf numFmtId="0" fontId="0" fillId="0" borderId="0" xfId="0" applyFont="1" applyAlignment="1">
      <alignment horizontal="center"/>
    </xf>
    <xf numFmtId="10" fontId="0" fillId="0" borderId="0" xfId="0" applyNumberFormat="1" applyFont="1" applyAlignment="1">
      <alignment horizontal="center"/>
    </xf>
    <xf numFmtId="10" fontId="0" fillId="0" borderId="0" xfId="0" applyNumberFormat="1" applyFont="1"/>
    <xf numFmtId="3" fontId="35" fillId="5" borderId="0" xfId="0" applyNumberFormat="1" applyFont="1" applyFill="1" applyBorder="1"/>
    <xf numFmtId="0" fontId="35" fillId="0" borderId="0" xfId="0" applyFont="1" applyBorder="1" applyAlignment="1">
      <alignment horizontal="center"/>
    </xf>
    <xf numFmtId="0" fontId="42" fillId="6" borderId="0" xfId="0" applyFont="1" applyFill="1" applyBorder="1" applyAlignment="1">
      <alignment horizontal="left"/>
    </xf>
    <xf numFmtId="0" fontId="42" fillId="6" borderId="0" xfId="0" applyFont="1" applyFill="1" applyBorder="1" applyAlignment="1">
      <alignment horizontal="center"/>
    </xf>
    <xf numFmtId="0" fontId="35" fillId="5" borderId="0" xfId="0" applyFont="1" applyFill="1" applyBorder="1" applyAlignment="1">
      <alignment horizontal="left"/>
    </xf>
    <xf numFmtId="0" fontId="35" fillId="5" borderId="0" xfId="0" applyFont="1" applyFill="1" applyBorder="1" applyAlignment="1">
      <alignment horizontal="center"/>
    </xf>
    <xf numFmtId="0" fontId="0" fillId="5" borderId="0" xfId="0" applyFont="1" applyFill="1" applyBorder="1"/>
    <xf numFmtId="0" fontId="35" fillId="4" borderId="0" xfId="0" applyFont="1" applyFill="1" applyBorder="1" applyAlignment="1">
      <alignment horizontal="left"/>
    </xf>
    <xf numFmtId="3" fontId="0" fillId="0" borderId="0" xfId="0" applyNumberFormat="1" applyFont="1"/>
    <xf numFmtId="3" fontId="55" fillId="5" borderId="0" xfId="0" applyNumberFormat="1" applyFont="1" applyFill="1" applyBorder="1" applyAlignment="1" applyProtection="1">
      <alignment horizontal="center"/>
      <protection hidden="1"/>
    </xf>
    <xf numFmtId="3" fontId="55" fillId="5" borderId="0" xfId="0" applyNumberFormat="1" applyFont="1" applyFill="1" applyBorder="1" applyAlignment="1">
      <alignment horizontal="center"/>
    </xf>
    <xf numFmtId="0" fontId="117" fillId="0" borderId="0" xfId="0" applyFont="1" applyBorder="1"/>
    <xf numFmtId="0" fontId="35" fillId="0" borderId="0" xfId="0" applyFont="1" applyAlignment="1">
      <alignment horizontal="center"/>
    </xf>
    <xf numFmtId="0" fontId="35" fillId="5" borderId="0" xfId="0" applyFont="1" applyFill="1" applyBorder="1"/>
    <xf numFmtId="3" fontId="42" fillId="5" borderId="0" xfId="0" applyNumberFormat="1" applyFont="1" applyFill="1" applyBorder="1"/>
    <xf numFmtId="3" fontId="55" fillId="5" borderId="0" xfId="0" applyNumberFormat="1" applyFont="1" applyFill="1" applyBorder="1"/>
    <xf numFmtId="0" fontId="42" fillId="0" borderId="0" xfId="0" applyFont="1" applyBorder="1"/>
    <xf numFmtId="0" fontId="55" fillId="0" borderId="0" xfId="0" applyFont="1" applyProtection="1">
      <protection hidden="1"/>
    </xf>
    <xf numFmtId="0" fontId="35" fillId="0" borderId="0" xfId="0" applyFont="1" applyBorder="1" applyAlignment="1">
      <alignment horizontal="center" vertical="center"/>
    </xf>
    <xf numFmtId="0" fontId="81" fillId="0" borderId="0" xfId="0" applyFont="1" applyAlignment="1"/>
    <xf numFmtId="0" fontId="118" fillId="0" borderId="0" xfId="0" applyFont="1"/>
    <xf numFmtId="0" fontId="119" fillId="0" borderId="0" xfId="0" applyFont="1"/>
    <xf numFmtId="0" fontId="120" fillId="0" borderId="0" xfId="0" applyFont="1"/>
    <xf numFmtId="0" fontId="121" fillId="0" borderId="0" xfId="0" applyFont="1"/>
    <xf numFmtId="0" fontId="51" fillId="0" borderId="0" xfId="0" applyFont="1" applyAlignment="1"/>
    <xf numFmtId="0" fontId="122" fillId="0" borderId="0" xfId="0" applyFont="1"/>
    <xf numFmtId="0" fontId="51" fillId="0" borderId="0" xfId="7" applyFont="1" applyAlignment="1" applyProtection="1"/>
    <xf numFmtId="0" fontId="123" fillId="0" borderId="0" xfId="0" applyFont="1"/>
    <xf numFmtId="0" fontId="124" fillId="0" borderId="0" xfId="7" applyFont="1" applyAlignment="1" applyProtection="1"/>
    <xf numFmtId="0" fontId="81" fillId="6" borderId="0" xfId="0" applyFont="1" applyFill="1"/>
    <xf numFmtId="10" fontId="84" fillId="0" borderId="0" xfId="0" applyNumberFormat="1" applyFont="1" applyBorder="1" applyAlignment="1">
      <alignment horizontal="center"/>
    </xf>
    <xf numFmtId="0" fontId="35" fillId="0" borderId="0" xfId="0" applyFont="1" applyFill="1" applyBorder="1" applyAlignment="1">
      <alignment horizontal="center"/>
    </xf>
    <xf numFmtId="0" fontId="35" fillId="0" borderId="0" xfId="0" applyFont="1" applyFill="1" applyBorder="1" applyAlignment="1">
      <alignment horizontal="center" wrapText="1" shrinkToFit="1"/>
    </xf>
    <xf numFmtId="3" fontId="35" fillId="0" borderId="0" xfId="0" applyNumberFormat="1" applyFont="1" applyFill="1" applyBorder="1" applyAlignment="1">
      <alignment horizontal="center"/>
    </xf>
    <xf numFmtId="0" fontId="35" fillId="5" borderId="0" xfId="0" applyFont="1" applyFill="1" applyBorder="1" applyAlignment="1">
      <alignment horizontal="center" wrapText="1" shrinkToFit="1"/>
    </xf>
    <xf numFmtId="3" fontId="35" fillId="5" borderId="0" xfId="0" applyNumberFormat="1" applyFont="1" applyFill="1" applyBorder="1" applyAlignment="1">
      <alignment horizontal="center"/>
    </xf>
    <xf numFmtId="0" fontId="0" fillId="5" borderId="0" xfId="0" applyFont="1" applyFill="1" applyBorder="1" applyAlignment="1">
      <alignment horizontal="center" vertical="center"/>
    </xf>
    <xf numFmtId="0" fontId="52" fillId="0" borderId="0" xfId="0" applyFont="1" applyAlignment="1">
      <alignment horizontal="left"/>
    </xf>
    <xf numFmtId="0" fontId="52" fillId="0" borderId="0" xfId="0" applyFont="1"/>
    <xf numFmtId="0" fontId="35" fillId="4" borderId="0" xfId="0" applyFont="1" applyFill="1" applyAlignment="1">
      <alignment horizontal="left"/>
    </xf>
    <xf numFmtId="0" fontId="35" fillId="0" borderId="0" xfId="0" applyFont="1" applyAlignment="1">
      <alignment horizontal="right"/>
    </xf>
    <xf numFmtId="0" fontId="116" fillId="4" borderId="0" xfId="0" applyFont="1" applyFill="1" applyAlignment="1">
      <alignment horizontal="center" vertical="center"/>
    </xf>
    <xf numFmtId="2" fontId="116" fillId="5" borderId="0" xfId="0" applyNumberFormat="1" applyFont="1" applyFill="1" applyAlignment="1">
      <alignment horizontal="center" vertical="center" wrapText="1"/>
    </xf>
    <xf numFmtId="0" fontId="81" fillId="0" borderId="0" xfId="0" applyFont="1" applyAlignment="1">
      <alignment horizontal="right" vertical="center"/>
    </xf>
    <xf numFmtId="0" fontId="35" fillId="0" borderId="0" xfId="0" applyFont="1" applyAlignment="1">
      <alignment horizontal="left"/>
    </xf>
    <xf numFmtId="0" fontId="81" fillId="0" borderId="0" xfId="0" applyFont="1" applyAlignment="1">
      <alignment horizontal="center" vertical="center" wrapText="1"/>
    </xf>
    <xf numFmtId="0" fontId="35" fillId="0" borderId="0" xfId="0" applyFont="1" applyAlignment="1">
      <alignment vertical="center"/>
    </xf>
    <xf numFmtId="3" fontId="35" fillId="0" borderId="0" xfId="0" applyNumberFormat="1" applyFont="1" applyAlignment="1">
      <alignment horizontal="right"/>
    </xf>
    <xf numFmtId="3" fontId="35" fillId="0" borderId="0" xfId="0" applyNumberFormat="1" applyFont="1" applyAlignment="1">
      <alignment vertical="center"/>
    </xf>
    <xf numFmtId="1" fontId="35" fillId="0" borderId="0" xfId="0" applyNumberFormat="1" applyFont="1" applyAlignment="1">
      <alignment horizontal="left" vertical="center"/>
    </xf>
    <xf numFmtId="10" fontId="35" fillId="0" borderId="0" xfId="0" applyNumberFormat="1" applyFont="1" applyAlignment="1">
      <alignment horizontal="center" vertical="center"/>
    </xf>
    <xf numFmtId="0" fontId="81" fillId="0" borderId="0" xfId="0" applyFont="1" applyAlignment="1">
      <alignment horizontal="left" vertical="center"/>
    </xf>
    <xf numFmtId="3" fontId="35" fillId="0" borderId="0" xfId="0" applyNumberFormat="1" applyFont="1" applyAlignment="1">
      <alignment horizontal="left" vertical="center"/>
    </xf>
    <xf numFmtId="3" fontId="81" fillId="0" borderId="0" xfId="0" applyNumberFormat="1" applyFont="1" applyAlignment="1">
      <alignment horizontal="center" vertical="center"/>
    </xf>
    <xf numFmtId="3" fontId="81" fillId="0" borderId="0" xfId="0" applyNumberFormat="1" applyFont="1" applyAlignment="1">
      <alignment horizontal="left" vertical="center"/>
    </xf>
    <xf numFmtId="0" fontId="125" fillId="0" borderId="0" xfId="0" applyFont="1"/>
    <xf numFmtId="0" fontId="10" fillId="0" borderId="0" xfId="0" applyFont="1" applyAlignment="1">
      <alignment horizontal="center" vertical="center"/>
    </xf>
    <xf numFmtId="0" fontId="81" fillId="5" borderId="0" xfId="0" applyFont="1" applyFill="1" applyAlignment="1">
      <alignment horizontal="left" vertical="center"/>
    </xf>
    <xf numFmtId="0" fontId="113" fillId="5" borderId="0" xfId="0" applyFont="1" applyFill="1" applyAlignment="1">
      <alignment horizontal="center" vertical="center"/>
    </xf>
    <xf numFmtId="3" fontId="52" fillId="5" borderId="0" xfId="0" applyNumberFormat="1" applyFont="1" applyFill="1" applyAlignment="1">
      <alignment horizontal="center" vertical="center"/>
    </xf>
    <xf numFmtId="0" fontId="81" fillId="5" borderId="0" xfId="0" applyFont="1" applyFill="1"/>
    <xf numFmtId="0" fontId="35" fillId="4" borderId="0" xfId="0" applyFont="1" applyFill="1" applyAlignment="1">
      <alignment horizontal="center"/>
    </xf>
    <xf numFmtId="168" fontId="35" fillId="5" borderId="0" xfId="0" applyNumberFormat="1" applyFont="1" applyFill="1" applyAlignment="1">
      <alignment horizontal="center"/>
    </xf>
    <xf numFmtId="0" fontId="35" fillId="5" borderId="0" xfId="0" applyFont="1" applyFill="1" applyAlignment="1">
      <alignment horizontal="left" vertical="center"/>
    </xf>
    <xf numFmtId="10" fontId="35" fillId="5" borderId="0" xfId="0" applyNumberFormat="1" applyFont="1" applyFill="1" applyAlignment="1">
      <alignment horizontal="center" vertical="center"/>
    </xf>
    <xf numFmtId="168" fontId="35" fillId="0" borderId="0" xfId="0" applyNumberFormat="1" applyFont="1" applyAlignment="1">
      <alignment horizontal="center" vertical="center"/>
    </xf>
    <xf numFmtId="4" fontId="35" fillId="5" borderId="0" xfId="0" applyNumberFormat="1" applyFont="1" applyFill="1" applyAlignment="1">
      <alignment horizontal="center"/>
    </xf>
    <xf numFmtId="10" fontId="81" fillId="0" borderId="0" xfId="0" applyNumberFormat="1" applyFont="1" applyAlignment="1">
      <alignment horizontal="left" vertical="center"/>
    </xf>
    <xf numFmtId="10" fontId="35" fillId="0" borderId="0" xfId="0" applyNumberFormat="1" applyFont="1" applyAlignment="1">
      <alignment horizontal="left" vertical="center"/>
    </xf>
    <xf numFmtId="1" fontId="52" fillId="0" borderId="0" xfId="0" applyNumberFormat="1" applyFont="1" applyAlignment="1">
      <alignment horizontal="right" vertical="center"/>
    </xf>
    <xf numFmtId="1" fontId="52" fillId="0" borderId="0" xfId="0" applyNumberFormat="1" applyFont="1" applyAlignment="1">
      <alignment horizontal="left" vertical="center"/>
    </xf>
    <xf numFmtId="0" fontId="35" fillId="5" borderId="0" xfId="0" applyFont="1" applyFill="1" applyAlignment="1">
      <alignment horizontal="center"/>
    </xf>
    <xf numFmtId="0" fontId="81" fillId="5" borderId="0" xfId="0" applyFont="1" applyFill="1" applyAlignment="1">
      <alignment wrapText="1"/>
    </xf>
    <xf numFmtId="0" fontId="126" fillId="0" borderId="0" xfId="0" applyFont="1"/>
    <xf numFmtId="0" fontId="55" fillId="5" borderId="0" xfId="0" applyFont="1" applyFill="1" applyAlignment="1"/>
    <xf numFmtId="0" fontId="55" fillId="5" borderId="0" xfId="0" applyFont="1" applyFill="1" applyAlignment="1">
      <alignment horizontal="left" vertical="center"/>
    </xf>
    <xf numFmtId="3" fontId="55" fillId="5" borderId="0" xfId="0" applyNumberFormat="1" applyFont="1" applyFill="1" applyAlignment="1">
      <alignment horizontal="left" vertical="center"/>
    </xf>
    <xf numFmtId="0" fontId="88" fillId="5" borderId="0" xfId="0" applyFont="1" applyFill="1" applyAlignment="1">
      <alignment horizontal="left" vertical="center"/>
    </xf>
    <xf numFmtId="3" fontId="53" fillId="5" borderId="0" xfId="0" applyNumberFormat="1" applyFont="1" applyFill="1" applyAlignment="1">
      <alignment horizontal="center" vertical="center"/>
    </xf>
    <xf numFmtId="0" fontId="55" fillId="5" borderId="0" xfId="0" applyFont="1" applyFill="1" applyAlignment="1">
      <alignment horizontal="left"/>
    </xf>
    <xf numFmtId="168" fontId="55" fillId="5" borderId="0" xfId="0" applyNumberFormat="1" applyFont="1" applyFill="1" applyAlignment="1">
      <alignment horizontal="center"/>
    </xf>
    <xf numFmtId="168" fontId="55" fillId="5" borderId="0" xfId="0" applyNumberFormat="1" applyFont="1" applyFill="1" applyAlignment="1">
      <alignment horizontal="left"/>
    </xf>
    <xf numFmtId="168" fontId="55" fillId="5" borderId="0" xfId="0" applyNumberFormat="1" applyFont="1" applyFill="1" applyAlignment="1">
      <alignment horizontal="right"/>
    </xf>
    <xf numFmtId="0" fontId="55" fillId="5" borderId="0" xfId="0" applyFont="1" applyFill="1" applyAlignment="1">
      <alignment horizontal="center" vertical="center"/>
    </xf>
    <xf numFmtId="0" fontId="32" fillId="5" borderId="0" xfId="0" applyFont="1" applyFill="1" applyAlignment="1">
      <alignment horizontal="left"/>
    </xf>
    <xf numFmtId="0" fontId="88" fillId="5" borderId="0" xfId="0" applyFont="1" applyFill="1" applyAlignment="1"/>
    <xf numFmtId="10" fontId="81" fillId="5" borderId="0" xfId="0" applyNumberFormat="1" applyFont="1" applyFill="1" applyAlignment="1">
      <alignment horizontal="left" vertical="center"/>
    </xf>
    <xf numFmtId="0" fontId="126" fillId="5" borderId="0" xfId="0" applyFont="1" applyFill="1" applyAlignment="1">
      <alignment horizontal="center" vertical="center"/>
    </xf>
    <xf numFmtId="0" fontId="126" fillId="5" borderId="0" xfId="0" applyFont="1" applyFill="1"/>
    <xf numFmtId="0" fontId="90" fillId="5" borderId="0" xfId="0" applyFont="1" applyFill="1"/>
    <xf numFmtId="168" fontId="35" fillId="5" borderId="0" xfId="0" applyNumberFormat="1" applyFont="1" applyFill="1" applyAlignment="1">
      <alignment horizontal="left" vertical="center"/>
    </xf>
    <xf numFmtId="4" fontId="35" fillId="0" borderId="0" xfId="0" applyNumberFormat="1" applyFont="1"/>
    <xf numFmtId="3" fontId="113" fillId="5" borderId="0" xfId="0" applyNumberFormat="1" applyFont="1" applyFill="1" applyAlignment="1">
      <alignment horizontal="center" vertical="center"/>
    </xf>
    <xf numFmtId="0" fontId="88" fillId="5" borderId="0" xfId="0" applyFont="1" applyFill="1" applyAlignment="1">
      <alignment horizontal="center" vertical="center"/>
    </xf>
    <xf numFmtId="0" fontId="127" fillId="5" borderId="0" xfId="0" applyFont="1" applyFill="1" applyAlignment="1">
      <alignment horizontal="center" vertical="center"/>
    </xf>
    <xf numFmtId="0" fontId="113" fillId="5" borderId="0" xfId="0" applyFont="1" applyFill="1" applyAlignment="1">
      <alignment horizontal="center" vertical="center" wrapText="1"/>
    </xf>
    <xf numFmtId="2" fontId="60" fillId="0" borderId="0" xfId="0" applyNumberFormat="1" applyFont="1" applyAlignment="1">
      <alignment horizontal="right" vertical="center"/>
    </xf>
    <xf numFmtId="2" fontId="60" fillId="0" borderId="0" xfId="0" applyNumberFormat="1" applyFont="1" applyAlignment="1">
      <alignment horizontal="left" vertical="center"/>
    </xf>
    <xf numFmtId="4" fontId="60" fillId="0" borderId="0" xfId="0" applyNumberFormat="1" applyFont="1" applyAlignment="1">
      <alignment horizontal="left" vertical="center"/>
    </xf>
    <xf numFmtId="0" fontId="128" fillId="0" borderId="0" xfId="0" applyFont="1"/>
    <xf numFmtId="0" fontId="0" fillId="0" borderId="0" xfId="0" applyFont="1" applyFill="1" applyAlignment="1">
      <alignment vertical="center"/>
    </xf>
    <xf numFmtId="0" fontId="81" fillId="0" borderId="0" xfId="0" applyFont="1" applyFill="1" applyBorder="1" applyAlignment="1">
      <alignment horizontal="center" vertical="center"/>
    </xf>
    <xf numFmtId="3" fontId="35" fillId="0" borderId="0" xfId="0" applyNumberFormat="1" applyFont="1" applyFill="1" applyBorder="1" applyAlignment="1">
      <alignment horizontal="left"/>
    </xf>
    <xf numFmtId="168" fontId="35" fillId="0" borderId="0" xfId="0" applyNumberFormat="1" applyFont="1" applyFill="1" applyBorder="1" applyAlignment="1">
      <alignment horizontal="left"/>
    </xf>
    <xf numFmtId="168" fontId="35" fillId="0" borderId="0" xfId="1" applyNumberFormat="1" applyFont="1" applyFill="1" applyBorder="1" applyAlignment="1">
      <alignment horizontal="left"/>
    </xf>
    <xf numFmtId="3" fontId="35" fillId="0" borderId="0" xfId="0" applyNumberFormat="1" applyFont="1" applyBorder="1" applyAlignment="1">
      <alignment horizontal="left"/>
    </xf>
    <xf numFmtId="165" fontId="35" fillId="0" borderId="0" xfId="1" applyNumberFormat="1" applyFont="1" applyBorder="1" applyAlignment="1">
      <alignment horizontal="left"/>
    </xf>
    <xf numFmtId="0" fontId="81" fillId="0" borderId="0" xfId="0" applyFont="1" applyFill="1" applyBorder="1" applyAlignment="1">
      <alignment horizontal="left" vertical="center"/>
    </xf>
    <xf numFmtId="168" fontId="35" fillId="0" borderId="0" xfId="0" applyNumberFormat="1" applyFont="1" applyFill="1" applyBorder="1" applyAlignment="1">
      <alignment horizontal="left" vertical="center"/>
    </xf>
    <xf numFmtId="0" fontId="113" fillId="0" borderId="0" xfId="0" applyFont="1" applyAlignment="1">
      <alignment horizontal="left"/>
    </xf>
    <xf numFmtId="0" fontId="93" fillId="0" borderId="0" xfId="0" applyFont="1" applyAlignment="1">
      <alignment horizontal="right"/>
    </xf>
    <xf numFmtId="4" fontId="0" fillId="0" borderId="0" xfId="0" applyNumberFormat="1" applyFont="1" applyFill="1"/>
    <xf numFmtId="0" fontId="80" fillId="0" borderId="0" xfId="0" applyFont="1" applyAlignment="1">
      <alignment horizontal="left"/>
    </xf>
    <xf numFmtId="3" fontId="52" fillId="0" borderId="0" xfId="0" applyNumberFormat="1" applyFont="1" applyAlignment="1">
      <alignment horizontal="right" vertical="center"/>
    </xf>
    <xf numFmtId="0" fontId="0" fillId="0" borderId="0" xfId="0" applyFont="1" applyFill="1" applyAlignment="1">
      <alignment horizontal="right" vertical="center"/>
    </xf>
    <xf numFmtId="0" fontId="0" fillId="0" borderId="0" xfId="0" applyFont="1" applyAlignment="1">
      <alignment horizontal="right" vertical="center"/>
    </xf>
    <xf numFmtId="0" fontId="53" fillId="5" borderId="0" xfId="0" applyFont="1" applyFill="1"/>
    <xf numFmtId="0" fontId="42" fillId="0" borderId="0" xfId="44" applyFont="1"/>
    <xf numFmtId="3" fontId="52" fillId="0" borderId="0" xfId="0" applyNumberFormat="1" applyFont="1" applyAlignment="1">
      <alignment horizontal="center" vertical="center"/>
    </xf>
    <xf numFmtId="0" fontId="81" fillId="0" borderId="0" xfId="0" applyFont="1" applyAlignment="1">
      <alignment vertical="center" wrapText="1"/>
    </xf>
    <xf numFmtId="3" fontId="0" fillId="0" borderId="0" xfId="0" applyNumberFormat="1" applyFont="1" applyAlignment="1">
      <alignment horizontal="center" vertical="center"/>
    </xf>
    <xf numFmtId="10" fontId="0" fillId="0" borderId="0" xfId="0" applyNumberFormat="1" applyFont="1" applyAlignment="1">
      <alignment horizontal="center" vertical="center"/>
    </xf>
    <xf numFmtId="0" fontId="113" fillId="0" borderId="0" xfId="0" applyFont="1" applyAlignment="1">
      <alignment horizontal="center" vertical="center" wrapText="1"/>
    </xf>
    <xf numFmtId="3" fontId="52" fillId="0" borderId="0" xfId="0" applyNumberFormat="1" applyFont="1" applyAlignment="1">
      <alignment horizontal="center" vertical="center" wrapText="1"/>
    </xf>
    <xf numFmtId="0" fontId="55" fillId="5" borderId="0" xfId="0" applyFont="1" applyFill="1" applyBorder="1" applyAlignment="1">
      <alignment horizontal="center"/>
    </xf>
    <xf numFmtId="168" fontId="55" fillId="5" borderId="0" xfId="0" applyNumberFormat="1" applyFont="1" applyFill="1" applyBorder="1" applyAlignment="1">
      <alignment horizontal="left"/>
    </xf>
    <xf numFmtId="3" fontId="55" fillId="5" borderId="0" xfId="0" applyNumberFormat="1" applyFont="1" applyFill="1" applyBorder="1" applyAlignment="1">
      <alignment horizontal="left" vertical="center"/>
    </xf>
    <xf numFmtId="0" fontId="81" fillId="0" borderId="0" xfId="0" applyFont="1" applyFill="1" applyBorder="1" applyAlignment="1">
      <alignment horizontal="center" vertical="center" wrapText="1"/>
    </xf>
    <xf numFmtId="10" fontId="35" fillId="0" borderId="0" xfId="0" applyNumberFormat="1" applyFont="1" applyFill="1" applyBorder="1" applyAlignment="1">
      <alignment horizontal="center" vertical="center"/>
    </xf>
    <xf numFmtId="10" fontId="35" fillId="0" borderId="0" xfId="0" applyNumberFormat="1" applyFont="1" applyFill="1" applyBorder="1" applyAlignment="1">
      <alignment horizontal="left" vertical="center"/>
    </xf>
    <xf numFmtId="171" fontId="35" fillId="0" borderId="0" xfId="0" applyNumberFormat="1" applyFont="1" applyFill="1" applyBorder="1" applyAlignment="1">
      <alignment horizontal="right" vertical="center"/>
    </xf>
    <xf numFmtId="0" fontId="35" fillId="0" borderId="0" xfId="0" applyFont="1" applyAlignment="1">
      <alignment horizontal="left" vertical="center"/>
    </xf>
    <xf numFmtId="0" fontId="35" fillId="0" borderId="0" xfId="0" applyFont="1" applyFill="1" applyBorder="1" applyAlignment="1">
      <alignment horizontal="left" vertical="center"/>
    </xf>
    <xf numFmtId="0" fontId="81" fillId="0" borderId="0" xfId="0" applyFont="1" applyFill="1" applyBorder="1" applyAlignment="1">
      <alignment horizontal="center" vertical="center"/>
    </xf>
    <xf numFmtId="0" fontId="81" fillId="5" borderId="0" xfId="0" applyFont="1" applyFill="1" applyAlignment="1">
      <alignment vertical="center" wrapText="1"/>
    </xf>
    <xf numFmtId="3" fontId="0" fillId="5" borderId="0" xfId="0" applyNumberFormat="1" applyFont="1" applyFill="1" applyAlignment="1">
      <alignment horizontal="center" vertical="center"/>
    </xf>
    <xf numFmtId="10" fontId="0" fillId="5" borderId="0" xfId="0" applyNumberFormat="1" applyFont="1" applyFill="1" applyAlignment="1">
      <alignment horizontal="center" vertical="center"/>
    </xf>
    <xf numFmtId="3" fontId="0" fillId="5" borderId="0" xfId="0" applyNumberFormat="1" applyFont="1" applyFill="1"/>
    <xf numFmtId="3" fontId="73" fillId="5" borderId="0" xfId="0" applyNumberFormat="1" applyFont="1" applyFill="1" applyAlignment="1">
      <alignment horizontal="right" vertical="center"/>
    </xf>
    <xf numFmtId="3" fontId="73" fillId="5" borderId="0" xfId="0" applyNumberFormat="1" applyFont="1" applyFill="1" applyAlignment="1">
      <alignment horizontal="left" vertical="center"/>
    </xf>
    <xf numFmtId="0" fontId="81" fillId="5" borderId="0" xfId="0" applyFont="1" applyFill="1" applyAlignment="1">
      <alignment horizontal="center" vertical="center" wrapText="1"/>
    </xf>
    <xf numFmtId="3" fontId="52" fillId="5" borderId="0" xfId="0" applyNumberFormat="1" applyFont="1" applyFill="1" applyAlignment="1">
      <alignment horizontal="center" vertical="center" wrapText="1"/>
    </xf>
    <xf numFmtId="4" fontId="0" fillId="5" borderId="0" xfId="0" applyNumberFormat="1" applyFont="1" applyFill="1"/>
    <xf numFmtId="0" fontId="81" fillId="5" borderId="0" xfId="0" applyFont="1" applyFill="1" applyBorder="1" applyAlignment="1">
      <alignment horizontal="left"/>
    </xf>
    <xf numFmtId="168" fontId="35" fillId="5" borderId="0" xfId="0" applyNumberFormat="1" applyFont="1" applyFill="1" applyBorder="1" applyAlignment="1">
      <alignment horizontal="left"/>
    </xf>
    <xf numFmtId="0" fontId="88" fillId="5" borderId="0" xfId="0" applyFont="1" applyFill="1" applyBorder="1"/>
    <xf numFmtId="0" fontId="55" fillId="5" borderId="0" xfId="0" applyFont="1" applyFill="1" applyBorder="1"/>
    <xf numFmtId="0" fontId="55" fillId="5" borderId="0" xfId="0" applyFont="1" applyFill="1" applyBorder="1" applyAlignment="1">
      <alignment horizontal="left"/>
    </xf>
    <xf numFmtId="168" fontId="55" fillId="5" borderId="0" xfId="1" applyNumberFormat="1" applyFont="1" applyFill="1" applyBorder="1" applyAlignment="1">
      <alignment horizontal="left"/>
    </xf>
    <xf numFmtId="0" fontId="88" fillId="5" borderId="0" xfId="0" applyFont="1" applyFill="1" applyBorder="1" applyAlignment="1">
      <alignment horizontal="left"/>
    </xf>
    <xf numFmtId="0" fontId="55" fillId="5" borderId="0" xfId="0" applyFont="1" applyFill="1" applyBorder="1" applyAlignment="1">
      <alignment vertical="center" wrapText="1"/>
    </xf>
    <xf numFmtId="0" fontId="88" fillId="5" borderId="0" xfId="0" applyFont="1" applyFill="1" applyBorder="1" applyAlignment="1">
      <alignment wrapText="1"/>
    </xf>
    <xf numFmtId="0" fontId="88" fillId="5" borderId="0" xfId="0" applyFont="1" applyFill="1" applyBorder="1" applyAlignment="1">
      <alignment horizontal="center" vertical="center"/>
    </xf>
    <xf numFmtId="0" fontId="129" fillId="5" borderId="0" xfId="0" applyFont="1" applyFill="1" applyBorder="1" applyAlignment="1">
      <alignment horizontal="left" vertical="center"/>
    </xf>
    <xf numFmtId="0" fontId="53" fillId="5" borderId="0" xfId="0" applyFont="1" applyFill="1" applyAlignment="1">
      <alignment vertical="center" wrapText="1"/>
    </xf>
    <xf numFmtId="10" fontId="53" fillId="5" borderId="0" xfId="0" applyNumberFormat="1" applyFont="1" applyFill="1" applyAlignment="1">
      <alignment horizontal="center" vertical="center"/>
    </xf>
    <xf numFmtId="3" fontId="53" fillId="5" borderId="0" xfId="0" applyNumberFormat="1" applyFont="1" applyFill="1" applyAlignment="1">
      <alignment horizontal="left"/>
    </xf>
    <xf numFmtId="3" fontId="129" fillId="5" borderId="0" xfId="0" applyNumberFormat="1" applyFont="1" applyFill="1" applyAlignment="1">
      <alignment horizontal="left" vertical="center"/>
    </xf>
    <xf numFmtId="0" fontId="127" fillId="5" borderId="0" xfId="0" applyFont="1" applyFill="1" applyAlignment="1">
      <alignment vertical="center" wrapText="1"/>
    </xf>
    <xf numFmtId="0" fontId="116" fillId="0" borderId="0" xfId="0" applyFont="1" applyFill="1" applyBorder="1" applyAlignment="1">
      <alignment horizontal="left" vertical="center"/>
    </xf>
    <xf numFmtId="168" fontId="42" fillId="0" borderId="0" xfId="0" applyNumberFormat="1" applyFont="1" applyFill="1" applyBorder="1" applyAlignment="1">
      <alignment horizontal="left" vertical="center"/>
    </xf>
    <xf numFmtId="10" fontId="42" fillId="0" borderId="0" xfId="0" applyNumberFormat="1" applyFont="1" applyFill="1" applyBorder="1" applyAlignment="1">
      <alignment horizontal="center" vertical="center"/>
    </xf>
    <xf numFmtId="10" fontId="42" fillId="0" borderId="0" xfId="0" applyNumberFormat="1" applyFont="1" applyFill="1" applyBorder="1" applyAlignment="1">
      <alignment horizontal="left" vertical="center"/>
    </xf>
    <xf numFmtId="0" fontId="116" fillId="0" borderId="0" xfId="0" applyFont="1" applyFill="1" applyBorder="1" applyAlignment="1">
      <alignment horizontal="left"/>
    </xf>
    <xf numFmtId="168" fontId="42" fillId="0" borderId="0" xfId="0" applyNumberFormat="1" applyFont="1" applyFill="1" applyBorder="1" applyAlignment="1">
      <alignment horizontal="left"/>
    </xf>
    <xf numFmtId="0" fontId="93" fillId="0" borderId="0" xfId="0" applyFont="1" applyAlignment="1">
      <alignment horizontal="left"/>
    </xf>
    <xf numFmtId="3" fontId="53" fillId="5" borderId="0" xfId="0" applyNumberFormat="1" applyFont="1" applyFill="1" applyAlignment="1">
      <alignment horizontal="right" vertical="center"/>
    </xf>
    <xf numFmtId="0" fontId="88" fillId="5" borderId="0" xfId="0" applyFont="1" applyFill="1" applyBorder="1" applyAlignment="1">
      <alignment horizontal="left" vertical="center"/>
    </xf>
    <xf numFmtId="0" fontId="127" fillId="5" borderId="0" xfId="0" applyFont="1" applyFill="1" applyAlignment="1">
      <alignment horizontal="center" vertical="center" wrapText="1"/>
    </xf>
    <xf numFmtId="3" fontId="53" fillId="5" borderId="0" xfId="0" applyNumberFormat="1" applyFont="1" applyFill="1" applyAlignment="1">
      <alignment horizontal="center" vertical="center" wrapText="1"/>
    </xf>
    <xf numFmtId="0" fontId="93" fillId="0" borderId="0" xfId="0" applyFont="1" applyAlignment="1">
      <alignment horizontal="center"/>
    </xf>
    <xf numFmtId="4" fontId="51" fillId="0" borderId="0" xfId="0" applyNumberFormat="1" applyFont="1" applyFill="1" applyAlignment="1">
      <alignment horizontal="left"/>
    </xf>
    <xf numFmtId="3" fontId="80" fillId="5" borderId="0" xfId="0" applyNumberFormat="1" applyFont="1" applyFill="1" applyAlignment="1">
      <alignment horizontal="left" vertical="center"/>
    </xf>
    <xf numFmtId="3" fontId="52" fillId="0" borderId="0" xfId="0" applyNumberFormat="1" applyFont="1" applyAlignment="1">
      <alignment horizontal="left" vertical="center"/>
    </xf>
    <xf numFmtId="0" fontId="127" fillId="5" borderId="0" xfId="0" applyFont="1" applyFill="1" applyBorder="1" applyAlignment="1">
      <alignment horizontal="left" vertical="center"/>
    </xf>
    <xf numFmtId="3" fontId="80" fillId="0" borderId="0" xfId="0" applyNumberFormat="1" applyFont="1" applyAlignment="1">
      <alignment horizontal="left"/>
    </xf>
    <xf numFmtId="0" fontId="35" fillId="0" borderId="0" xfId="0" applyFont="1" applyFill="1" applyBorder="1" applyAlignment="1">
      <alignment horizontal="left"/>
    </xf>
    <xf numFmtId="0" fontId="35" fillId="0" borderId="0" xfId="0" applyFont="1" applyFill="1" applyAlignment="1">
      <alignment vertical="center"/>
    </xf>
    <xf numFmtId="171" fontId="35" fillId="0" borderId="0" xfId="0" applyNumberFormat="1" applyFont="1" applyFill="1" applyBorder="1" applyAlignment="1">
      <alignment horizontal="left" vertical="center"/>
    </xf>
    <xf numFmtId="4" fontId="55" fillId="0" borderId="0" xfId="0" applyNumberFormat="1" applyFont="1" applyFill="1" applyAlignment="1">
      <alignment vertical="center"/>
    </xf>
    <xf numFmtId="0" fontId="35" fillId="0" borderId="0" xfId="0" applyFont="1" applyAlignment="1">
      <alignment vertical="center" wrapText="1"/>
    </xf>
    <xf numFmtId="0" fontId="42" fillId="0" borderId="0" xfId="4" applyFont="1" applyBorder="1"/>
    <xf numFmtId="165" fontId="42" fillId="0" borderId="0" xfId="5" applyNumberFormat="1" applyFont="1" applyBorder="1"/>
    <xf numFmtId="0" fontId="116" fillId="0" borderId="0" xfId="4" applyFont="1" applyBorder="1"/>
    <xf numFmtId="165" fontId="42" fillId="0" borderId="0" xfId="4" applyNumberFormat="1" applyFont="1" applyBorder="1"/>
    <xf numFmtId="165" fontId="35" fillId="0" borderId="0" xfId="1" applyNumberFormat="1" applyFont="1" applyBorder="1"/>
    <xf numFmtId="0" fontId="42" fillId="0" borderId="0" xfId="4" applyFont="1" applyBorder="1" applyAlignment="1">
      <alignment horizontal="center"/>
    </xf>
    <xf numFmtId="165" fontId="42" fillId="0" borderId="0" xfId="5" applyNumberFormat="1" applyFont="1" applyBorder="1" applyAlignment="1">
      <alignment horizontal="center"/>
    </xf>
    <xf numFmtId="165" fontId="42" fillId="0" borderId="0" xfId="4" applyNumberFormat="1" applyFont="1" applyBorder="1" applyAlignment="1">
      <alignment horizontal="center"/>
    </xf>
    <xf numFmtId="165" fontId="35" fillId="0" borderId="0" xfId="1" applyNumberFormat="1" applyFont="1" applyBorder="1" applyAlignment="1">
      <alignment horizontal="center"/>
    </xf>
    <xf numFmtId="165" fontId="35" fillId="0" borderId="0" xfId="5" applyNumberFormat="1" applyFont="1"/>
    <xf numFmtId="165" fontId="42" fillId="5" borderId="0" xfId="5" applyNumberFormat="1" applyFont="1" applyFill="1" applyBorder="1" applyAlignment="1">
      <alignment horizontal="center"/>
    </xf>
    <xf numFmtId="0" fontId="116" fillId="6" borderId="0" xfId="4" applyFont="1" applyFill="1" applyBorder="1" applyAlignment="1">
      <alignment horizontal="center"/>
    </xf>
    <xf numFmtId="0" fontId="7" fillId="0" borderId="0" xfId="0" applyFont="1"/>
    <xf numFmtId="0" fontId="7" fillId="5" borderId="0" xfId="0" applyFont="1" applyFill="1"/>
    <xf numFmtId="0" fontId="35" fillId="0" borderId="0" xfId="0" applyFont="1" applyFill="1" applyAlignment="1">
      <alignment horizontal="center" vertical="center"/>
    </xf>
    <xf numFmtId="0" fontId="35" fillId="0" borderId="0" xfId="0" applyFont="1" applyFill="1" applyAlignment="1">
      <alignment horizontal="center" vertical="center" wrapText="1"/>
    </xf>
    <xf numFmtId="0" fontId="35" fillId="0" borderId="0" xfId="0" applyFont="1" applyFill="1" applyAlignment="1">
      <alignment horizontal="left" vertical="center"/>
    </xf>
    <xf numFmtId="3" fontId="35" fillId="0" borderId="0" xfId="0" applyNumberFormat="1" applyFont="1" applyFill="1" applyAlignment="1">
      <alignment horizontal="center"/>
    </xf>
    <xf numFmtId="168" fontId="35" fillId="0" borderId="0" xfId="0" applyNumberFormat="1" applyFont="1" applyFill="1" applyAlignment="1">
      <alignment horizontal="center"/>
    </xf>
    <xf numFmtId="10" fontId="35" fillId="0" borderId="0" xfId="0" applyNumberFormat="1" applyFont="1" applyFill="1" applyAlignment="1">
      <alignment horizontal="center"/>
    </xf>
    <xf numFmtId="4" fontId="35" fillId="0" borderId="0" xfId="0" applyNumberFormat="1" applyFont="1" applyFill="1" applyAlignment="1">
      <alignment horizontal="center"/>
    </xf>
    <xf numFmtId="0" fontId="35" fillId="8" borderId="0" xfId="0" applyFont="1" applyFill="1" applyAlignment="1">
      <alignment horizontal="left"/>
    </xf>
    <xf numFmtId="0" fontId="35" fillId="0" borderId="0" xfId="0" applyFont="1" applyFill="1" applyAlignment="1">
      <alignment horizontal="left"/>
    </xf>
    <xf numFmtId="0" fontId="35" fillId="0" borderId="0" xfId="0" applyFont="1" applyFill="1" applyAlignment="1">
      <alignment horizontal="center"/>
    </xf>
    <xf numFmtId="166" fontId="35" fillId="0" borderId="0" xfId="0" applyNumberFormat="1" applyFont="1" applyFill="1" applyAlignment="1">
      <alignment horizontal="center"/>
    </xf>
    <xf numFmtId="0" fontId="35" fillId="15" borderId="0" xfId="0" applyFont="1" applyFill="1" applyAlignment="1">
      <alignment horizontal="left"/>
    </xf>
    <xf numFmtId="0" fontId="35" fillId="0" borderId="0" xfId="0" applyFont="1" applyFill="1" applyAlignment="1">
      <alignment horizontal="left" vertical="center" wrapText="1"/>
    </xf>
    <xf numFmtId="0" fontId="35" fillId="0" borderId="0" xfId="0" applyFont="1" applyFill="1" applyProtection="1">
      <protection hidden="1"/>
    </xf>
    <xf numFmtId="0" fontId="55" fillId="0" borderId="0" xfId="0" applyFont="1" applyFill="1" applyProtection="1">
      <protection hidden="1"/>
    </xf>
    <xf numFmtId="0" fontId="35" fillId="4" borderId="0" xfId="0" applyFont="1" applyFill="1" applyAlignment="1">
      <alignment horizontal="center" vertical="center"/>
    </xf>
    <xf numFmtId="0" fontId="35" fillId="4" borderId="0" xfId="0" applyFont="1" applyFill="1" applyAlignment="1">
      <alignment horizontal="center" vertical="center" wrapText="1"/>
    </xf>
    <xf numFmtId="3" fontId="35" fillId="5" borderId="0" xfId="0" applyNumberFormat="1" applyFont="1" applyFill="1" applyAlignment="1">
      <alignment horizontal="center"/>
    </xf>
    <xf numFmtId="10" fontId="35" fillId="5" borderId="0" xfId="0" applyNumberFormat="1" applyFont="1" applyFill="1" applyAlignment="1">
      <alignment horizontal="center"/>
    </xf>
    <xf numFmtId="166" fontId="35" fillId="5" borderId="0" xfId="0" applyNumberFormat="1" applyFont="1" applyFill="1" applyAlignment="1">
      <alignment horizontal="center"/>
    </xf>
    <xf numFmtId="0" fontId="35" fillId="0" borderId="0" xfId="0" applyFont="1" applyProtection="1">
      <protection hidden="1"/>
    </xf>
    <xf numFmtId="0" fontId="81" fillId="0" borderId="0" xfId="0" applyFont="1" applyAlignment="1">
      <alignment horizontal="left"/>
    </xf>
    <xf numFmtId="0" fontId="81" fillId="0" borderId="0" xfId="0" applyFont="1" applyBorder="1"/>
    <xf numFmtId="1" fontId="35" fillId="0" borderId="0" xfId="0" applyNumberFormat="1" applyFont="1" applyAlignment="1">
      <alignment horizontal="center"/>
    </xf>
    <xf numFmtId="3" fontId="55" fillId="5" borderId="0" xfId="0" applyNumberFormat="1" applyFont="1" applyFill="1"/>
    <xf numFmtId="0" fontId="42" fillId="0" borderId="0" xfId="0" applyFont="1" applyAlignment="1">
      <alignment horizontal="center"/>
    </xf>
    <xf numFmtId="0" fontId="131" fillId="0" borderId="0" xfId="0" applyFont="1"/>
    <xf numFmtId="3" fontId="35" fillId="0" borderId="0" xfId="0" applyNumberFormat="1" applyFont="1" applyBorder="1" applyAlignment="1">
      <alignment horizontal="center"/>
    </xf>
    <xf numFmtId="3" fontId="84" fillId="5" borderId="0" xfId="0" applyNumberFormat="1" applyFont="1" applyFill="1" applyBorder="1" applyAlignment="1">
      <alignment horizontal="left"/>
    </xf>
    <xf numFmtId="3" fontId="83" fillId="5" borderId="0" xfId="0" applyNumberFormat="1" applyFont="1" applyFill="1" applyBorder="1" applyAlignment="1">
      <alignment horizontal="left"/>
    </xf>
    <xf numFmtId="0" fontId="124" fillId="0" borderId="0" xfId="7" applyFont="1" applyAlignment="1" applyProtection="1">
      <alignment wrapText="1"/>
    </xf>
    <xf numFmtId="0" fontId="124" fillId="0" borderId="0" xfId="7" applyFont="1" applyAlignment="1" applyProtection="1">
      <alignment horizontal="left" wrapText="1"/>
    </xf>
    <xf numFmtId="0" fontId="132" fillId="0" borderId="0" xfId="0" applyFont="1"/>
    <xf numFmtId="0" fontId="116" fillId="6" borderId="0" xfId="0" applyFont="1" applyFill="1"/>
    <xf numFmtId="0" fontId="42" fillId="6" borderId="0" xfId="0" applyFont="1" applyFill="1"/>
    <xf numFmtId="0" fontId="80" fillId="0" borderId="0" xfId="6" applyFont="1" applyFill="1" applyBorder="1" applyAlignment="1">
      <alignment horizontal="center"/>
    </xf>
    <xf numFmtId="0" fontId="93" fillId="0" borderId="0" xfId="6" applyFont="1" applyFill="1" applyBorder="1" applyAlignment="1">
      <alignment horizontal="center"/>
    </xf>
    <xf numFmtId="3" fontId="80" fillId="0" borderId="0" xfId="6" applyNumberFormat="1" applyFont="1" applyFill="1" applyBorder="1" applyAlignment="1">
      <alignment horizontal="center"/>
    </xf>
    <xf numFmtId="0" fontId="0" fillId="0" borderId="0" xfId="0" applyFont="1" applyFill="1" applyAlignment="1">
      <alignment horizontal="center"/>
    </xf>
    <xf numFmtId="3" fontId="93" fillId="0" borderId="0" xfId="6" applyNumberFormat="1" applyFont="1" applyFill="1" applyBorder="1" applyAlignment="1">
      <alignment horizontal="center"/>
    </xf>
    <xf numFmtId="0" fontId="0" fillId="0" borderId="0" xfId="0" applyFont="1" applyFill="1" applyBorder="1"/>
    <xf numFmtId="0" fontId="42" fillId="5" borderId="0" xfId="4" applyFont="1" applyFill="1" applyBorder="1" applyAlignment="1">
      <alignment horizontal="center"/>
    </xf>
    <xf numFmtId="165" fontId="42" fillId="5" borderId="0" xfId="4" applyNumberFormat="1" applyFont="1" applyFill="1" applyBorder="1" applyAlignment="1">
      <alignment horizontal="center"/>
    </xf>
    <xf numFmtId="165" fontId="35" fillId="5" borderId="0" xfId="1" applyNumberFormat="1" applyFont="1" applyFill="1" applyBorder="1" applyAlignment="1">
      <alignment horizontal="center"/>
    </xf>
    <xf numFmtId="5" fontId="42" fillId="5" borderId="0" xfId="5" applyNumberFormat="1" applyFont="1" applyFill="1" applyBorder="1" applyAlignment="1">
      <alignment horizontal="center"/>
    </xf>
    <xf numFmtId="5" fontId="42" fillId="5" borderId="0" xfId="4" applyNumberFormat="1" applyFont="1" applyFill="1" applyBorder="1" applyAlignment="1">
      <alignment horizontal="center"/>
    </xf>
    <xf numFmtId="5" fontId="42" fillId="5" borderId="0" xfId="6" applyNumberFormat="1" applyFont="1" applyFill="1" applyBorder="1" applyAlignment="1">
      <alignment horizontal="center"/>
    </xf>
    <xf numFmtId="166" fontId="42" fillId="5" borderId="0" xfId="4" applyNumberFormat="1" applyFont="1" applyFill="1" applyBorder="1" applyAlignment="1">
      <alignment horizontal="center"/>
    </xf>
    <xf numFmtId="166" fontId="42" fillId="5" borderId="0" xfId="5" applyNumberFormat="1" applyFont="1" applyFill="1" applyBorder="1" applyAlignment="1">
      <alignment horizontal="center"/>
    </xf>
    <xf numFmtId="166" fontId="42" fillId="5" borderId="0" xfId="6" applyNumberFormat="1" applyFont="1" applyFill="1" applyBorder="1" applyAlignment="1">
      <alignment horizontal="center"/>
    </xf>
    <xf numFmtId="166" fontId="116" fillId="5" borderId="0" xfId="5" applyNumberFormat="1" applyFont="1" applyFill="1" applyBorder="1" applyAlignment="1">
      <alignment horizontal="center"/>
    </xf>
    <xf numFmtId="0" fontId="42" fillId="5" borderId="0" xfId="6" applyFont="1" applyFill="1" applyBorder="1"/>
    <xf numFmtId="165" fontId="116" fillId="5" borderId="0" xfId="6" applyNumberFormat="1" applyFont="1" applyFill="1" applyBorder="1"/>
    <xf numFmtId="166" fontId="42" fillId="5" borderId="0" xfId="5" applyNumberFormat="1" applyFont="1" applyFill="1" applyBorder="1"/>
    <xf numFmtId="165" fontId="42" fillId="5" borderId="0" xfId="5" applyNumberFormat="1" applyFont="1" applyFill="1" applyBorder="1"/>
    <xf numFmtId="0" fontId="116" fillId="5" borderId="0" xfId="6" applyFont="1" applyFill="1" applyBorder="1"/>
    <xf numFmtId="0" fontId="81" fillId="0" borderId="0" xfId="0" applyFont="1" applyFill="1" applyBorder="1" applyAlignment="1">
      <alignment horizontal="left" vertical="center" wrapText="1"/>
    </xf>
    <xf numFmtId="168" fontId="35" fillId="0" borderId="0" xfId="0" applyNumberFormat="1" applyFont="1" applyFill="1" applyBorder="1" applyAlignment="1">
      <alignment horizontal="center" vertical="center"/>
    </xf>
    <xf numFmtId="3" fontId="0" fillId="0" borderId="0" xfId="0" applyNumberFormat="1" applyFont="1" applyAlignment="1">
      <alignment horizontal="center"/>
    </xf>
    <xf numFmtId="3" fontId="73" fillId="0" borderId="0" xfId="0" applyNumberFormat="1" applyFont="1" applyAlignment="1">
      <alignment horizontal="center" vertical="center"/>
    </xf>
    <xf numFmtId="171" fontId="52" fillId="0" borderId="0" xfId="0" applyNumberFormat="1" applyFont="1" applyAlignment="1">
      <alignment horizontal="left" vertical="center"/>
    </xf>
    <xf numFmtId="171" fontId="52" fillId="0" borderId="0" xfId="0" applyNumberFormat="1" applyFont="1" applyAlignment="1">
      <alignment horizontal="right" vertical="center"/>
    </xf>
    <xf numFmtId="0" fontId="81" fillId="0" borderId="0" xfId="0" applyFont="1" applyFill="1" applyBorder="1" applyAlignment="1">
      <alignment horizontal="right" vertical="center" wrapText="1"/>
    </xf>
    <xf numFmtId="171" fontId="52" fillId="0" borderId="0" xfId="0" applyNumberFormat="1" applyFont="1" applyFill="1" applyBorder="1" applyAlignment="1">
      <alignment horizontal="right" vertical="center" wrapText="1"/>
    </xf>
    <xf numFmtId="171" fontId="82" fillId="0" borderId="0" xfId="0" applyNumberFormat="1" applyFont="1" applyFill="1" applyBorder="1" applyAlignment="1">
      <alignment vertical="center" wrapText="1"/>
    </xf>
    <xf numFmtId="171" fontId="52" fillId="0" borderId="0" xfId="0" applyNumberFormat="1" applyFont="1" applyFill="1" applyBorder="1" applyAlignment="1">
      <alignment horizontal="left" vertical="center" wrapText="1"/>
    </xf>
    <xf numFmtId="168" fontId="35" fillId="0" borderId="0" xfId="0" applyNumberFormat="1" applyFont="1" applyFill="1" applyBorder="1" applyAlignment="1">
      <alignment horizontal="left" wrapText="1"/>
    </xf>
    <xf numFmtId="0" fontId="0" fillId="0" borderId="0" xfId="0" applyFont="1" applyAlignment="1">
      <alignment wrapText="1"/>
    </xf>
    <xf numFmtId="0" fontId="93" fillId="0" borderId="0" xfId="0" applyFont="1" applyAlignment="1">
      <alignment horizontal="center" wrapText="1"/>
    </xf>
    <xf numFmtId="0" fontId="81" fillId="4" borderId="0" xfId="0" applyFont="1" applyFill="1" applyBorder="1" applyAlignment="1">
      <alignment horizontal="left"/>
    </xf>
    <xf numFmtId="0" fontId="116" fillId="5" borderId="0" xfId="0" applyFont="1" applyFill="1" applyAlignment="1">
      <alignment horizontal="center"/>
    </xf>
    <xf numFmtId="0" fontId="116" fillId="5" borderId="0" xfId="0" applyFont="1" applyFill="1" applyAlignment="1">
      <alignment horizontal="center" vertical="center"/>
    </xf>
    <xf numFmtId="0" fontId="0" fillId="5" borderId="0" xfId="0" applyFont="1" applyFill="1" applyAlignment="1">
      <alignment horizontal="center" vertical="center"/>
    </xf>
    <xf numFmtId="0" fontId="135" fillId="5" borderId="0" xfId="0" applyFont="1" applyFill="1" applyAlignment="1"/>
    <xf numFmtId="4" fontId="0" fillId="5" borderId="0" xfId="0" applyNumberFormat="1" applyFont="1" applyFill="1" applyAlignment="1"/>
    <xf numFmtId="10" fontId="0" fillId="5" borderId="0" xfId="0" applyNumberFormat="1" applyFont="1" applyFill="1"/>
    <xf numFmtId="181" fontId="52" fillId="0" borderId="0" xfId="0" applyNumberFormat="1" applyFont="1" applyAlignment="1">
      <alignment horizontal="right" vertical="center"/>
    </xf>
    <xf numFmtId="181" fontId="52" fillId="0" borderId="0" xfId="0" applyNumberFormat="1" applyFont="1" applyAlignment="1">
      <alignment horizontal="left" vertical="center"/>
    </xf>
    <xf numFmtId="4" fontId="35" fillId="5" borderId="0" xfId="0" applyNumberFormat="1" applyFont="1" applyFill="1" applyAlignment="1">
      <alignment horizontal="center" vertical="center" wrapText="1"/>
    </xf>
    <xf numFmtId="0" fontId="135" fillId="5" borderId="0" xfId="0" applyFont="1" applyFill="1" applyAlignment="1">
      <alignment vertical="center"/>
    </xf>
    <xf numFmtId="0" fontId="0" fillId="5" borderId="0" xfId="0" applyFont="1" applyFill="1" applyAlignment="1">
      <alignment vertical="center"/>
    </xf>
    <xf numFmtId="0" fontId="42" fillId="5" borderId="0" xfId="0" applyFont="1" applyFill="1" applyAlignment="1"/>
    <xf numFmtId="0" fontId="42" fillId="5" borderId="0" xfId="0" applyFont="1" applyFill="1" applyBorder="1" applyAlignment="1"/>
    <xf numFmtId="3" fontId="116" fillId="5" borderId="0" xfId="0" applyNumberFormat="1" applyFont="1" applyFill="1" applyBorder="1"/>
    <xf numFmtId="0" fontId="42" fillId="0" borderId="0" xfId="0" applyFont="1" applyBorder="1" applyAlignment="1">
      <alignment horizontal="center"/>
    </xf>
    <xf numFmtId="0" fontId="42" fillId="5" borderId="0" xfId="0" applyFont="1" applyFill="1" applyAlignment="1">
      <alignment horizontal="left"/>
    </xf>
    <xf numFmtId="3" fontId="42" fillId="5" borderId="0" xfId="0" applyNumberFormat="1" applyFont="1" applyFill="1" applyAlignment="1">
      <alignment horizontal="center" vertical="center"/>
    </xf>
    <xf numFmtId="0" fontId="42" fillId="5" borderId="0" xfId="0" applyFont="1" applyFill="1" applyAlignment="1">
      <alignment horizontal="right"/>
    </xf>
    <xf numFmtId="2" fontId="42" fillId="5" borderId="0" xfId="0" applyNumberFormat="1" applyFont="1" applyFill="1" applyAlignment="1">
      <alignment horizontal="center"/>
    </xf>
    <xf numFmtId="2" fontId="42" fillId="5" borderId="0" xfId="0" applyNumberFormat="1" applyFont="1" applyFill="1" applyAlignment="1"/>
    <xf numFmtId="2" fontId="42" fillId="5" borderId="0" xfId="0" applyNumberFormat="1" applyFont="1" applyFill="1" applyAlignment="1">
      <alignment horizontal="right"/>
    </xf>
    <xf numFmtId="0" fontId="55" fillId="5" borderId="0" xfId="0" applyFont="1" applyFill="1" applyBorder="1" applyAlignment="1">
      <alignment horizontal="center" vertical="center"/>
    </xf>
    <xf numFmtId="3" fontId="55" fillId="5" borderId="0" xfId="0" applyNumberFormat="1" applyFont="1" applyFill="1" applyBorder="1" applyProtection="1">
      <protection hidden="1"/>
    </xf>
    <xf numFmtId="0" fontId="55" fillId="5" borderId="0" xfId="0" applyFont="1" applyFill="1" applyBorder="1" applyAlignment="1">
      <alignment horizontal="center" wrapText="1"/>
    </xf>
    <xf numFmtId="0" fontId="55" fillId="5" borderId="0" xfId="0" applyFont="1" applyFill="1" applyBorder="1" applyAlignment="1">
      <alignment horizontal="center" shrinkToFit="1"/>
    </xf>
    <xf numFmtId="0" fontId="55" fillId="5" borderId="0" xfId="0" applyFont="1" applyFill="1" applyBorder="1" applyAlignment="1">
      <alignment shrinkToFit="1"/>
    </xf>
    <xf numFmtId="0" fontId="55" fillId="5" borderId="0" xfId="0" applyFont="1" applyFill="1" applyBorder="1" applyAlignment="1">
      <alignment horizontal="left" shrinkToFit="1"/>
    </xf>
    <xf numFmtId="2" fontId="55" fillId="5" borderId="0" xfId="0" applyNumberFormat="1" applyFont="1" applyFill="1" applyBorder="1" applyAlignment="1">
      <alignment horizontal="center" wrapText="1"/>
    </xf>
    <xf numFmtId="2" fontId="55" fillId="5" borderId="0" xfId="0" applyNumberFormat="1" applyFont="1" applyFill="1" applyBorder="1" applyAlignment="1">
      <alignment horizontal="left" wrapText="1"/>
    </xf>
    <xf numFmtId="4" fontId="55" fillId="16" borderId="0" xfId="0" applyNumberFormat="1" applyFont="1" applyFill="1" applyBorder="1" applyAlignment="1">
      <alignment horizontal="center"/>
    </xf>
    <xf numFmtId="4" fontId="55" fillId="16" borderId="0" xfId="0" applyNumberFormat="1" applyFont="1" applyFill="1" applyBorder="1" applyAlignment="1">
      <alignment horizontal="left"/>
    </xf>
    <xf numFmtId="4" fontId="55" fillId="5" borderId="0" xfId="0" applyNumberFormat="1" applyFont="1" applyFill="1" applyBorder="1" applyAlignment="1">
      <alignment horizontal="left"/>
    </xf>
    <xf numFmtId="0" fontId="55" fillId="5" borderId="0" xfId="0" applyFont="1" applyFill="1" applyProtection="1">
      <protection hidden="1"/>
    </xf>
    <xf numFmtId="0" fontId="35" fillId="0" borderId="0" xfId="0" applyFont="1" applyAlignment="1">
      <alignment horizontal="left" vertical="center"/>
    </xf>
    <xf numFmtId="0" fontId="116" fillId="5" borderId="0" xfId="0" applyFont="1" applyFill="1" applyBorder="1" applyAlignment="1">
      <alignment horizontal="center" vertical="center" wrapText="1"/>
    </xf>
    <xf numFmtId="180" fontId="0" fillId="0" borderId="0" xfId="0" applyNumberFormat="1" applyFont="1" applyAlignment="1">
      <alignment vertical="center"/>
    </xf>
    <xf numFmtId="180" fontId="0" fillId="0" borderId="0" xfId="0" applyNumberFormat="1" applyFont="1" applyAlignment="1">
      <alignment horizontal="center" vertical="center"/>
    </xf>
    <xf numFmtId="0" fontId="35" fillId="0" borderId="0" xfId="0" applyFont="1" applyFill="1" applyBorder="1" applyAlignment="1">
      <alignment horizontal="center" vertical="center"/>
    </xf>
    <xf numFmtId="0" fontId="116" fillId="0" borderId="0" xfId="0" applyFont="1" applyFill="1" applyBorder="1" applyAlignment="1">
      <alignment horizontal="center" vertical="center"/>
    </xf>
    <xf numFmtId="168" fontId="42" fillId="0" borderId="0" xfId="0" applyNumberFormat="1" applyFont="1" applyFill="1" applyBorder="1" applyAlignment="1">
      <alignment horizontal="center" vertical="center"/>
    </xf>
    <xf numFmtId="168" fontId="42" fillId="0" borderId="0" xfId="0" applyNumberFormat="1" applyFont="1" applyFill="1" applyBorder="1" applyAlignment="1">
      <alignment horizontal="right" vertical="center"/>
    </xf>
    <xf numFmtId="0" fontId="116" fillId="0" borderId="0" xfId="0" applyFont="1" applyFill="1" applyBorder="1" applyAlignment="1">
      <alignment horizontal="right" vertical="center"/>
    </xf>
    <xf numFmtId="0" fontId="55" fillId="5" borderId="0" xfId="4" applyFont="1" applyFill="1" applyBorder="1" applyAlignment="1">
      <alignment horizontal="center"/>
    </xf>
    <xf numFmtId="5" fontId="55" fillId="5" borderId="0" xfId="5" applyNumberFormat="1" applyFont="1" applyFill="1" applyBorder="1" applyAlignment="1">
      <alignment horizontal="center"/>
    </xf>
    <xf numFmtId="5" fontId="55" fillId="5" borderId="0" xfId="4" applyNumberFormat="1" applyFont="1" applyFill="1" applyBorder="1" applyAlignment="1">
      <alignment horizontal="center"/>
    </xf>
    <xf numFmtId="165" fontId="55" fillId="5" borderId="0" xfId="4" applyNumberFormat="1" applyFont="1" applyFill="1" applyBorder="1" applyAlignment="1">
      <alignment horizontal="center"/>
    </xf>
    <xf numFmtId="165" fontId="55" fillId="5" borderId="0" xfId="1" applyNumberFormat="1" applyFont="1" applyFill="1" applyBorder="1" applyAlignment="1">
      <alignment horizontal="center"/>
    </xf>
    <xf numFmtId="0" fontId="88" fillId="5" borderId="0" xfId="4" applyFont="1" applyFill="1" applyBorder="1" applyAlignment="1">
      <alignment horizontal="center"/>
    </xf>
    <xf numFmtId="5" fontId="55" fillId="5" borderId="0" xfId="6" applyNumberFormat="1" applyFont="1" applyFill="1" applyBorder="1" applyAlignment="1">
      <alignment horizontal="center"/>
    </xf>
    <xf numFmtId="165" fontId="55" fillId="5" borderId="0" xfId="5" applyNumberFormat="1" applyFont="1" applyFill="1" applyBorder="1" applyAlignment="1">
      <alignment horizontal="center"/>
    </xf>
    <xf numFmtId="4" fontId="55" fillId="5" borderId="0" xfId="0" applyNumberFormat="1" applyFont="1" applyFill="1"/>
    <xf numFmtId="5" fontId="55" fillId="5" borderId="0" xfId="1" applyNumberFormat="1" applyFont="1" applyFill="1" applyBorder="1" applyAlignment="1">
      <alignment horizontal="center"/>
    </xf>
    <xf numFmtId="5" fontId="55" fillId="5" borderId="0" xfId="0" applyNumberFormat="1" applyFont="1" applyFill="1" applyBorder="1" applyAlignment="1">
      <alignment horizontal="center"/>
    </xf>
    <xf numFmtId="0" fontId="88" fillId="5" borderId="0" xfId="4" applyFont="1" applyFill="1" applyBorder="1" applyAlignment="1">
      <alignment horizontal="left"/>
    </xf>
    <xf numFmtId="165" fontId="88" fillId="5" borderId="0" xfId="4" applyNumberFormat="1" applyFont="1" applyFill="1" applyBorder="1" applyAlignment="1">
      <alignment horizontal="center"/>
    </xf>
    <xf numFmtId="165" fontId="88" fillId="5" borderId="0" xfId="5" applyNumberFormat="1" applyFont="1" applyFill="1" applyBorder="1" applyAlignment="1">
      <alignment horizontal="center"/>
    </xf>
    <xf numFmtId="166" fontId="55" fillId="5" borderId="0" xfId="4" applyNumberFormat="1" applyFont="1" applyFill="1" applyBorder="1" applyAlignment="1">
      <alignment horizontal="center"/>
    </xf>
    <xf numFmtId="166" fontId="55" fillId="5" borderId="0" xfId="5" applyNumberFormat="1" applyFont="1" applyFill="1" applyBorder="1" applyAlignment="1">
      <alignment horizontal="center"/>
    </xf>
    <xf numFmtId="166" fontId="55" fillId="5" borderId="0" xfId="1" applyNumberFormat="1" applyFont="1" applyFill="1" applyBorder="1" applyAlignment="1">
      <alignment horizontal="center"/>
    </xf>
    <xf numFmtId="167" fontId="55" fillId="5" borderId="0" xfId="0" applyNumberFormat="1" applyFont="1" applyFill="1" applyBorder="1" applyAlignment="1">
      <alignment horizontal="center"/>
    </xf>
    <xf numFmtId="166" fontId="55" fillId="5" borderId="0" xfId="0" applyNumberFormat="1" applyFont="1" applyFill="1"/>
    <xf numFmtId="166" fontId="88" fillId="5" borderId="0" xfId="5" applyNumberFormat="1" applyFont="1" applyFill="1" applyBorder="1" applyAlignment="1">
      <alignment horizontal="center"/>
    </xf>
    <xf numFmtId="166" fontId="55" fillId="5" borderId="0" xfId="1" applyNumberFormat="1" applyFont="1" applyFill="1" applyBorder="1"/>
    <xf numFmtId="166" fontId="55" fillId="5" borderId="0" xfId="0" applyNumberFormat="1" applyFont="1" applyFill="1" applyBorder="1" applyAlignment="1">
      <alignment horizontal="center"/>
    </xf>
    <xf numFmtId="166" fontId="55" fillId="5" borderId="0" xfId="6" applyNumberFormat="1" applyFont="1" applyFill="1" applyBorder="1" applyAlignment="1">
      <alignment horizontal="center"/>
    </xf>
    <xf numFmtId="0" fontId="55" fillId="5" borderId="0" xfId="6" applyFont="1" applyFill="1" applyBorder="1" applyAlignment="1">
      <alignment horizontal="center"/>
    </xf>
    <xf numFmtId="166" fontId="55" fillId="5" borderId="0" xfId="0" applyNumberFormat="1" applyFont="1" applyFill="1" applyBorder="1"/>
    <xf numFmtId="165" fontId="55" fillId="5" borderId="0" xfId="1" applyNumberFormat="1" applyFont="1" applyFill="1" applyBorder="1"/>
    <xf numFmtId="0" fontId="55" fillId="5" borderId="0" xfId="6" applyFont="1" applyFill="1" applyBorder="1"/>
    <xf numFmtId="165" fontId="88" fillId="5" borderId="0" xfId="6" applyNumberFormat="1" applyFont="1" applyFill="1" applyBorder="1"/>
    <xf numFmtId="166" fontId="55" fillId="5" borderId="0" xfId="4" applyNumberFormat="1" applyFont="1" applyFill="1" applyBorder="1" applyAlignment="1">
      <alignment horizontal="left"/>
    </xf>
    <xf numFmtId="166" fontId="55" fillId="5" borderId="0" xfId="5" applyNumberFormat="1" applyFont="1" applyFill="1" applyBorder="1"/>
    <xf numFmtId="165" fontId="55" fillId="5" borderId="0" xfId="5" applyNumberFormat="1" applyFont="1" applyFill="1" applyBorder="1"/>
    <xf numFmtId="165" fontId="88" fillId="5" borderId="0" xfId="5" applyNumberFormat="1" applyFont="1" applyFill="1" applyBorder="1"/>
    <xf numFmtId="166" fontId="55" fillId="5" borderId="0" xfId="6" applyNumberFormat="1" applyFont="1" applyFill="1" applyBorder="1"/>
    <xf numFmtId="0" fontId="55" fillId="5" borderId="0" xfId="0" applyFont="1" applyFill="1" applyBorder="1" applyAlignment="1"/>
    <xf numFmtId="49" fontId="88" fillId="5" borderId="0" xfId="4" applyNumberFormat="1" applyFont="1" applyFill="1" applyBorder="1" applyAlignment="1">
      <alignment horizontal="center"/>
    </xf>
    <xf numFmtId="166" fontId="88" fillId="5" borderId="0" xfId="4" applyNumberFormat="1" applyFont="1" applyFill="1" applyBorder="1" applyAlignment="1">
      <alignment horizontal="center"/>
    </xf>
    <xf numFmtId="166" fontId="55" fillId="5" borderId="0" xfId="0" applyNumberFormat="1" applyFont="1" applyFill="1" applyAlignment="1">
      <alignment horizontal="center"/>
    </xf>
    <xf numFmtId="0" fontId="88" fillId="5" borderId="0" xfId="6" applyFont="1" applyFill="1" applyBorder="1"/>
    <xf numFmtId="165" fontId="88" fillId="5" borderId="0" xfId="0" applyNumberFormat="1" applyFont="1" applyFill="1" applyBorder="1"/>
    <xf numFmtId="10" fontId="35" fillId="0" borderId="0" xfId="0" applyNumberFormat="1" applyFont="1" applyFill="1" applyBorder="1" applyAlignment="1">
      <alignment horizontal="right" vertical="center"/>
    </xf>
    <xf numFmtId="10" fontId="42" fillId="0" borderId="0" xfId="0" applyNumberFormat="1" applyFont="1" applyFill="1" applyBorder="1" applyAlignment="1">
      <alignment horizontal="right" vertical="center"/>
    </xf>
    <xf numFmtId="10" fontId="84" fillId="17" borderId="0" xfId="0" applyNumberFormat="1" applyFont="1" applyFill="1" applyAlignment="1">
      <alignment horizontal="center"/>
    </xf>
    <xf numFmtId="166" fontId="23" fillId="5" borderId="0" xfId="0" applyNumberFormat="1" applyFont="1" applyFill="1"/>
    <xf numFmtId="3" fontId="23" fillId="0" borderId="0" xfId="0" applyNumberFormat="1" applyFont="1" applyFill="1"/>
    <xf numFmtId="0" fontId="119" fillId="5" borderId="0" xfId="0" applyFont="1" applyFill="1"/>
    <xf numFmtId="171" fontId="81" fillId="0" borderId="0" xfId="0" applyNumberFormat="1" applyFont="1" applyFill="1" applyBorder="1" applyAlignment="1">
      <alignment horizontal="left" vertical="center"/>
    </xf>
    <xf numFmtId="0" fontId="88" fillId="5" borderId="0" xfId="0" applyFont="1" applyFill="1" applyAlignment="1">
      <alignment horizontal="center"/>
    </xf>
    <xf numFmtId="0" fontId="42" fillId="0" borderId="0" xfId="0" applyFont="1" applyAlignment="1">
      <alignment horizontal="center" vertical="center"/>
    </xf>
    <xf numFmtId="0" fontId="42" fillId="5" borderId="0" xfId="0" applyFont="1" applyFill="1" applyBorder="1"/>
    <xf numFmtId="3" fontId="42" fillId="5" borderId="0" xfId="0" applyNumberFormat="1" applyFont="1" applyFill="1" applyAlignment="1">
      <alignment horizontal="left" vertical="center"/>
    </xf>
    <xf numFmtId="3" fontId="35" fillId="5" borderId="0" xfId="0" applyNumberFormat="1" applyFont="1" applyFill="1" applyAlignment="1">
      <alignment vertical="center"/>
    </xf>
    <xf numFmtId="1" fontId="35" fillId="5" borderId="0" xfId="0" applyNumberFormat="1" applyFont="1" applyFill="1" applyAlignment="1">
      <alignment horizontal="left" vertical="center"/>
    </xf>
    <xf numFmtId="0" fontId="55" fillId="5" borderId="0" xfId="0" applyFont="1" applyFill="1" applyAlignment="1">
      <alignment horizontal="center" wrapText="1"/>
    </xf>
    <xf numFmtId="0" fontId="88" fillId="5" borderId="0" xfId="0" applyFont="1" applyFill="1" applyAlignment="1">
      <alignment horizontal="center" wrapText="1"/>
    </xf>
    <xf numFmtId="0" fontId="88" fillId="5" borderId="0" xfId="0" applyFont="1" applyFill="1" applyAlignment="1">
      <alignment horizontal="left" wrapText="1"/>
    </xf>
    <xf numFmtId="1" fontId="55" fillId="5" borderId="0" xfId="0" applyNumberFormat="1" applyFont="1" applyFill="1" applyAlignment="1">
      <alignment horizontal="center" wrapText="1"/>
    </xf>
    <xf numFmtId="0" fontId="55" fillId="5" borderId="0" xfId="0" applyFont="1" applyFill="1" applyAlignment="1">
      <alignment horizontal="left" wrapText="1"/>
    </xf>
    <xf numFmtId="3" fontId="55" fillId="5" borderId="0" xfId="0" applyNumberFormat="1" applyFont="1" applyFill="1" applyAlignment="1">
      <alignment horizontal="center" wrapText="1"/>
    </xf>
    <xf numFmtId="0" fontId="88" fillId="5" borderId="0" xfId="0" applyFont="1" applyFill="1" applyAlignment="1">
      <alignment wrapText="1"/>
    </xf>
    <xf numFmtId="3" fontId="88" fillId="5" borderId="0" xfId="0" applyNumberFormat="1" applyFont="1" applyFill="1" applyAlignment="1">
      <alignment horizontal="center" wrapText="1"/>
    </xf>
    <xf numFmtId="3" fontId="88" fillId="5" borderId="0" xfId="0" applyNumberFormat="1" applyFont="1" applyFill="1" applyAlignment="1">
      <alignment horizontal="center"/>
    </xf>
    <xf numFmtId="0" fontId="55" fillId="5" borderId="0" xfId="0" applyFont="1" applyFill="1" applyAlignment="1">
      <alignment wrapText="1"/>
    </xf>
    <xf numFmtId="0" fontId="135" fillId="0" borderId="0" xfId="4" applyFont="1"/>
    <xf numFmtId="0" fontId="51" fillId="0" borderId="0" xfId="4" applyFont="1"/>
    <xf numFmtId="0" fontId="135" fillId="0" borderId="31" xfId="4" applyFont="1" applyBorder="1"/>
    <xf numFmtId="0" fontId="135" fillId="0" borderId="32" xfId="4" applyFont="1" applyBorder="1" applyAlignment="1">
      <alignment horizontal="center"/>
    </xf>
    <xf numFmtId="0" fontId="135" fillId="0" borderId="32" xfId="4" applyFont="1" applyFill="1" applyBorder="1" applyAlignment="1">
      <alignment horizontal="center"/>
    </xf>
    <xf numFmtId="0" fontId="135" fillId="0" borderId="33" xfId="4" applyFont="1" applyFill="1" applyBorder="1" applyAlignment="1">
      <alignment horizontal="center"/>
    </xf>
    <xf numFmtId="0" fontId="51" fillId="0" borderId="27" xfId="4" applyFont="1" applyBorder="1"/>
    <xf numFmtId="0" fontId="51" fillId="0" borderId="0" xfId="4" applyFont="1" applyBorder="1"/>
    <xf numFmtId="0" fontId="0" fillId="0" borderId="34" xfId="0" applyFont="1" applyBorder="1"/>
    <xf numFmtId="0" fontId="135" fillId="0" borderId="27" xfId="4" applyFont="1" applyBorder="1"/>
    <xf numFmtId="165" fontId="51" fillId="0" borderId="0" xfId="5" applyNumberFormat="1" applyFont="1" applyBorder="1"/>
    <xf numFmtId="3" fontId="51" fillId="0" borderId="0" xfId="5" applyNumberFormat="1" applyFont="1" applyBorder="1"/>
    <xf numFmtId="3" fontId="51" fillId="0" borderId="0" xfId="4" applyNumberFormat="1" applyFont="1" applyBorder="1"/>
    <xf numFmtId="3" fontId="0" fillId="0" borderId="0" xfId="1" applyNumberFormat="1" applyFont="1" applyBorder="1"/>
    <xf numFmtId="3" fontId="0" fillId="0" borderId="34" xfId="0" applyNumberFormat="1" applyFont="1" applyBorder="1"/>
    <xf numFmtId="3" fontId="0" fillId="5" borderId="34" xfId="0" applyNumberFormat="1" applyFont="1" applyFill="1" applyBorder="1"/>
    <xf numFmtId="0" fontId="135" fillId="0" borderId="35" xfId="4" applyFont="1" applyBorder="1"/>
    <xf numFmtId="3" fontId="135" fillId="0" borderId="30" xfId="4" applyNumberFormat="1" applyFont="1" applyBorder="1"/>
    <xf numFmtId="3" fontId="49" fillId="0" borderId="30" xfId="1" applyNumberFormat="1" applyFont="1" applyBorder="1"/>
    <xf numFmtId="0" fontId="135" fillId="0" borderId="31" xfId="6" applyFont="1" applyBorder="1"/>
    <xf numFmtId="0" fontId="135" fillId="0" borderId="32" xfId="6" applyFont="1" applyBorder="1" applyAlignment="1">
      <alignment horizontal="center"/>
    </xf>
    <xf numFmtId="0" fontId="135" fillId="0" borderId="32" xfId="6" applyFont="1" applyFill="1" applyBorder="1" applyAlignment="1">
      <alignment horizontal="center"/>
    </xf>
    <xf numFmtId="0" fontId="49" fillId="0" borderId="32" xfId="0" applyFont="1" applyBorder="1" applyAlignment="1">
      <alignment horizontal="center"/>
    </xf>
    <xf numFmtId="0" fontId="135" fillId="0" borderId="33" xfId="6" applyFont="1" applyFill="1" applyBorder="1" applyAlignment="1">
      <alignment horizontal="center"/>
    </xf>
    <xf numFmtId="0" fontId="135" fillId="0" borderId="27" xfId="6" applyFont="1" applyBorder="1"/>
    <xf numFmtId="0" fontId="51" fillId="0" borderId="0" xfId="6" applyFont="1" applyBorder="1"/>
    <xf numFmtId="0" fontId="51" fillId="0" borderId="27" xfId="6" applyFont="1" applyBorder="1"/>
    <xf numFmtId="3" fontId="51" fillId="0" borderId="0" xfId="6" applyNumberFormat="1" applyFont="1" applyBorder="1"/>
    <xf numFmtId="3" fontId="51" fillId="0" borderId="0" xfId="6" applyNumberFormat="1" applyFont="1" applyFill="1" applyBorder="1"/>
    <xf numFmtId="3" fontId="0" fillId="0" borderId="0" xfId="0" applyNumberFormat="1" applyFont="1" applyBorder="1"/>
    <xf numFmtId="3" fontId="135" fillId="0" borderId="0" xfId="5" applyNumberFormat="1" applyFont="1" applyBorder="1"/>
    <xf numFmtId="3" fontId="135" fillId="0" borderId="0" xfId="6" applyNumberFormat="1" applyFont="1" applyBorder="1"/>
    <xf numFmtId="3" fontId="49" fillId="0" borderId="0" xfId="1" applyNumberFormat="1" applyFont="1" applyBorder="1"/>
    <xf numFmtId="3" fontId="49" fillId="0" borderId="34" xfId="0" applyNumberFormat="1" applyFont="1" applyBorder="1"/>
    <xf numFmtId="3" fontId="135" fillId="0" borderId="0" xfId="6" applyNumberFormat="1" applyFont="1" applyFill="1" applyBorder="1"/>
    <xf numFmtId="3" fontId="135" fillId="0" borderId="34" xfId="5" applyNumberFormat="1" applyFont="1" applyFill="1" applyBorder="1"/>
    <xf numFmtId="0" fontId="135" fillId="0" borderId="35" xfId="6" applyFont="1" applyBorder="1"/>
    <xf numFmtId="3" fontId="135" fillId="0" borderId="30" xfId="5" applyNumberFormat="1" applyFont="1" applyBorder="1"/>
    <xf numFmtId="3" fontId="135" fillId="0" borderId="30" xfId="6" applyNumberFormat="1" applyFont="1" applyBorder="1"/>
    <xf numFmtId="165" fontId="88" fillId="5" borderId="0" xfId="1" applyNumberFormat="1" applyFont="1" applyFill="1" applyBorder="1"/>
    <xf numFmtId="166" fontId="55" fillId="5" borderId="0" xfId="4" applyNumberFormat="1" applyFont="1" applyFill="1" applyBorder="1"/>
    <xf numFmtId="166" fontId="88" fillId="5" borderId="0" xfId="6" applyNumberFormat="1" applyFont="1" applyFill="1" applyBorder="1" applyAlignment="1">
      <alignment horizontal="center"/>
    </xf>
    <xf numFmtId="165" fontId="55" fillId="5" borderId="0" xfId="6" applyNumberFormat="1" applyFont="1" applyFill="1" applyBorder="1"/>
    <xf numFmtId="0" fontId="78" fillId="5" borderId="0" xfId="6" applyFont="1" applyFill="1" applyBorder="1" applyAlignment="1">
      <alignment horizontal="left"/>
    </xf>
    <xf numFmtId="168" fontId="78" fillId="5" borderId="0" xfId="5" applyNumberFormat="1" applyFont="1" applyFill="1" applyBorder="1"/>
    <xf numFmtId="0" fontId="78" fillId="5" borderId="0" xfId="6" applyFont="1" applyFill="1" applyBorder="1"/>
    <xf numFmtId="168" fontId="78" fillId="5" borderId="0" xfId="0" applyNumberFormat="1" applyFont="1" applyFill="1"/>
    <xf numFmtId="168" fontId="32" fillId="5" borderId="0" xfId="0" applyNumberFormat="1" applyFont="1" applyFill="1"/>
    <xf numFmtId="0" fontId="0" fillId="5" borderId="0" xfId="0" applyFont="1" applyFill="1" applyProtection="1">
      <protection hidden="1"/>
    </xf>
    <xf numFmtId="0" fontId="126" fillId="5" borderId="0" xfId="0" applyFont="1" applyFill="1" applyBorder="1" applyAlignment="1" applyProtection="1">
      <alignment horizontal="center" vertical="top"/>
      <protection hidden="1"/>
    </xf>
    <xf numFmtId="0" fontId="32" fillId="5" borderId="0" xfId="0" applyFont="1" applyFill="1" applyProtection="1">
      <protection hidden="1"/>
    </xf>
    <xf numFmtId="0" fontId="19" fillId="15" borderId="0" xfId="0" applyFont="1" applyFill="1" applyAlignment="1">
      <alignment horizontal="right" vertical="top"/>
    </xf>
    <xf numFmtId="3" fontId="56" fillId="18" borderId="45" xfId="0" applyNumberFormat="1" applyFont="1" applyFill="1" applyBorder="1"/>
    <xf numFmtId="3" fontId="8" fillId="0" borderId="0" xfId="0" applyNumberFormat="1" applyFont="1"/>
    <xf numFmtId="3" fontId="56" fillId="0" borderId="45" xfId="0" applyNumberFormat="1" applyFont="1" applyFill="1" applyBorder="1"/>
    <xf numFmtId="165" fontId="42" fillId="5" borderId="0" xfId="1" applyNumberFormat="1" applyFont="1" applyFill="1" applyBorder="1" applyAlignment="1">
      <alignment horizontal="center"/>
    </xf>
    <xf numFmtId="0" fontId="116" fillId="5" borderId="0" xfId="4" applyFont="1" applyFill="1" applyBorder="1" applyAlignment="1">
      <alignment horizontal="left"/>
    </xf>
    <xf numFmtId="0" fontId="116" fillId="5" borderId="0" xfId="4" applyFont="1" applyFill="1" applyBorder="1" applyAlignment="1">
      <alignment horizontal="center"/>
    </xf>
    <xf numFmtId="166" fontId="42" fillId="5" borderId="0" xfId="1" applyNumberFormat="1" applyFont="1" applyFill="1" applyBorder="1" applyAlignment="1">
      <alignment horizontal="center"/>
    </xf>
    <xf numFmtId="167" fontId="42" fillId="5" borderId="0" xfId="0" applyNumberFormat="1" applyFont="1" applyFill="1" applyBorder="1" applyAlignment="1">
      <alignment horizontal="center"/>
    </xf>
    <xf numFmtId="0" fontId="116" fillId="5" borderId="0" xfId="0" applyFont="1" applyFill="1" applyBorder="1" applyAlignment="1">
      <alignment horizontal="right" vertical="center" wrapText="1"/>
    </xf>
    <xf numFmtId="0" fontId="116" fillId="5" borderId="0" xfId="0" applyFont="1" applyFill="1" applyBorder="1" applyAlignment="1">
      <alignment horizontal="left" vertical="center" wrapText="1"/>
    </xf>
    <xf numFmtId="4" fontId="42" fillId="5" borderId="0" xfId="0" applyNumberFormat="1" applyFont="1" applyFill="1"/>
    <xf numFmtId="165" fontId="116" fillId="5" borderId="0" xfId="5" applyNumberFormat="1" applyFont="1" applyFill="1" applyBorder="1"/>
    <xf numFmtId="165" fontId="116" fillId="5" borderId="0" xfId="0" applyNumberFormat="1" applyFont="1" applyFill="1" applyBorder="1"/>
    <xf numFmtId="165" fontId="88" fillId="5" borderId="0" xfId="5" applyNumberFormat="1" applyFont="1" applyFill="1" applyBorder="1" applyAlignment="1">
      <alignment horizontal="left"/>
    </xf>
    <xf numFmtId="165" fontId="116" fillId="5" borderId="0" xfId="5" applyNumberFormat="1" applyFont="1" applyFill="1" applyBorder="1" applyAlignment="1">
      <alignment horizontal="left"/>
    </xf>
    <xf numFmtId="166" fontId="42" fillId="5" borderId="0" xfId="4" applyNumberFormat="1" applyFont="1" applyFill="1" applyBorder="1" applyAlignment="1">
      <alignment horizontal="center" vertical="center"/>
    </xf>
    <xf numFmtId="166" fontId="85" fillId="5" borderId="0" xfId="6" applyNumberFormat="1" applyFont="1" applyFill="1" applyBorder="1" applyAlignment="1">
      <alignment horizontal="center" vertical="center" wrapText="1"/>
    </xf>
    <xf numFmtId="0" fontId="55" fillId="5" borderId="0" xfId="6" applyFont="1" applyFill="1" applyBorder="1" applyAlignment="1">
      <alignment vertical="center"/>
    </xf>
    <xf numFmtId="10" fontId="42" fillId="5" borderId="0" xfId="5" applyNumberFormat="1" applyFont="1" applyFill="1" applyBorder="1" applyAlignment="1">
      <alignment horizontal="center" vertical="center"/>
    </xf>
    <xf numFmtId="166" fontId="42" fillId="5" borderId="0" xfId="5" applyNumberFormat="1" applyFont="1" applyFill="1" applyBorder="1" applyAlignment="1">
      <alignment horizontal="left" vertical="center"/>
    </xf>
    <xf numFmtId="0" fontId="55" fillId="5" borderId="0" xfId="0" applyFont="1" applyFill="1" applyAlignment="1">
      <alignment vertical="center"/>
    </xf>
    <xf numFmtId="166" fontId="55" fillId="5" borderId="0" xfId="0" applyNumberFormat="1" applyFont="1" applyFill="1" applyAlignment="1">
      <alignment vertical="center"/>
    </xf>
    <xf numFmtId="0" fontId="55" fillId="5" borderId="0" xfId="0" applyFont="1" applyFill="1" applyBorder="1" applyAlignment="1">
      <alignment vertical="center"/>
    </xf>
    <xf numFmtId="166" fontId="80" fillId="5" borderId="0" xfId="1" applyNumberFormat="1" applyFont="1" applyFill="1" applyBorder="1" applyAlignment="1">
      <alignment vertical="center"/>
    </xf>
    <xf numFmtId="166" fontId="80" fillId="5" borderId="0" xfId="0" applyNumberFormat="1" applyFont="1" applyFill="1" applyAlignment="1">
      <alignment horizontal="left" vertical="center"/>
    </xf>
    <xf numFmtId="166" fontId="80" fillId="5" borderId="0" xfId="1" applyNumberFormat="1" applyFont="1" applyFill="1" applyBorder="1" applyAlignment="1"/>
    <xf numFmtId="166" fontId="80" fillId="5" borderId="0" xfId="0" applyNumberFormat="1" applyFont="1" applyFill="1" applyAlignment="1">
      <alignment horizontal="left"/>
    </xf>
    <xf numFmtId="0" fontId="49" fillId="0" borderId="32" xfId="0" applyFont="1" applyBorder="1" applyAlignment="1">
      <alignment horizontal="left" vertical="center" wrapText="1"/>
    </xf>
    <xf numFmtId="0" fontId="49" fillId="0" borderId="32" xfId="0" applyFont="1" applyFill="1" applyBorder="1" applyAlignment="1">
      <alignment horizontal="center" vertical="center"/>
    </xf>
    <xf numFmtId="0" fontId="49" fillId="0" borderId="32" xfId="0" applyFont="1" applyBorder="1" applyAlignment="1">
      <alignment horizontal="center" vertical="center"/>
    </xf>
    <xf numFmtId="0" fontId="49" fillId="0" borderId="32" xfId="0" applyFont="1" applyBorder="1" applyAlignment="1">
      <alignment vertical="center"/>
    </xf>
    <xf numFmtId="0" fontId="49" fillId="0" borderId="0" xfId="0" applyFont="1" applyBorder="1" applyAlignment="1"/>
    <xf numFmtId="0" fontId="49" fillId="0" borderId="30" xfId="0" applyFont="1" applyBorder="1" applyAlignment="1">
      <alignment horizontal="left" vertical="center" wrapText="1"/>
    </xf>
    <xf numFmtId="0" fontId="136" fillId="0" borderId="30" xfId="0" applyFont="1" applyFill="1" applyBorder="1" applyAlignment="1">
      <alignment horizontal="center" vertical="center" wrapText="1"/>
    </xf>
    <xf numFmtId="0" fontId="136" fillId="0" borderId="30" xfId="0" applyFont="1" applyBorder="1" applyAlignment="1">
      <alignment horizontal="center" vertical="center" wrapText="1"/>
    </xf>
    <xf numFmtId="0" fontId="136" fillId="0" borderId="0" xfId="0" applyFont="1" applyBorder="1" applyAlignment="1">
      <alignment horizontal="center" vertical="center" wrapText="1"/>
    </xf>
    <xf numFmtId="0" fontId="136" fillId="0" borderId="0" xfId="0" applyFont="1" applyBorder="1" applyAlignment="1">
      <alignment wrapText="1"/>
    </xf>
    <xf numFmtId="0" fontId="136" fillId="0" borderId="30" xfId="0" applyFont="1" applyBorder="1" applyAlignment="1">
      <alignment wrapText="1"/>
    </xf>
    <xf numFmtId="0" fontId="49" fillId="0" borderId="0" xfId="0" applyFont="1" applyAlignment="1">
      <alignment wrapText="1"/>
    </xf>
    <xf numFmtId="0" fontId="138" fillId="0" borderId="0" xfId="0" applyFont="1" applyAlignment="1">
      <alignment horizontal="left" vertical="center" wrapText="1"/>
    </xf>
    <xf numFmtId="43" fontId="0" fillId="0" borderId="0" xfId="1" applyNumberFormat="1" applyFont="1"/>
    <xf numFmtId="43" fontId="0" fillId="0" borderId="0" xfId="0" applyNumberFormat="1"/>
    <xf numFmtId="43" fontId="0" fillId="19" borderId="0" xfId="1" applyNumberFormat="1" applyFont="1" applyFill="1"/>
    <xf numFmtId="43" fontId="0" fillId="0" borderId="0" xfId="0" applyNumberFormat="1" applyFont="1" applyAlignment="1">
      <alignment horizontal="right" wrapText="1"/>
    </xf>
    <xf numFmtId="43" fontId="139" fillId="0" borderId="0" xfId="0" applyNumberFormat="1" applyFont="1" applyAlignment="1">
      <alignment horizontal="right" wrapText="1"/>
    </xf>
    <xf numFmtId="43" fontId="139" fillId="0" borderId="0" xfId="0" applyNumberFormat="1" applyFont="1" applyAlignment="1">
      <alignment wrapText="1"/>
    </xf>
    <xf numFmtId="4" fontId="139" fillId="0" borderId="0" xfId="0" applyNumberFormat="1" applyFont="1" applyAlignment="1">
      <alignment horizontal="right" wrapText="1"/>
    </xf>
    <xf numFmtId="10" fontId="0" fillId="0" borderId="0" xfId="8" applyNumberFormat="1" applyFont="1" applyFill="1"/>
    <xf numFmtId="10" fontId="0" fillId="0" borderId="0" xfId="8" applyNumberFormat="1" applyFont="1"/>
    <xf numFmtId="10" fontId="0" fillId="0" borderId="0" xfId="8" applyNumberFormat="1" applyFont="1" applyBorder="1"/>
    <xf numFmtId="10" fontId="0" fillId="19" borderId="0" xfId="8" applyNumberFormat="1" applyFont="1" applyFill="1"/>
    <xf numFmtId="10" fontId="0" fillId="19" borderId="0" xfId="8" applyNumberFormat="1" applyFont="1" applyFill="1" applyBorder="1"/>
    <xf numFmtId="10" fontId="0" fillId="0" borderId="0" xfId="0" applyNumberFormat="1" applyFont="1" applyAlignment="1">
      <alignment horizontal="right" wrapText="1"/>
    </xf>
    <xf numFmtId="10" fontId="139" fillId="0" borderId="0" xfId="0" applyNumberFormat="1" applyFont="1" applyAlignment="1">
      <alignment horizontal="right" wrapText="1"/>
    </xf>
    <xf numFmtId="10" fontId="139" fillId="0" borderId="0" xfId="0" applyNumberFormat="1" applyFont="1" applyAlignment="1">
      <alignment wrapText="1"/>
    </xf>
    <xf numFmtId="2" fontId="0" fillId="0" borderId="0" xfId="0" applyNumberFormat="1" applyFont="1" applyFill="1"/>
    <xf numFmtId="2" fontId="0" fillId="0" borderId="0" xfId="0" applyNumberFormat="1" applyFont="1"/>
    <xf numFmtId="2" fontId="0" fillId="0" borderId="0" xfId="0" applyNumberFormat="1" applyFont="1" applyBorder="1"/>
    <xf numFmtId="2" fontId="0" fillId="19" borderId="0" xfId="0" applyNumberFormat="1" applyFill="1"/>
    <xf numFmtId="181" fontId="51" fillId="19" borderId="0" xfId="0" applyNumberFormat="1" applyFont="1" applyFill="1" applyBorder="1" applyAlignment="1">
      <alignment wrapText="1"/>
    </xf>
    <xf numFmtId="181" fontId="51" fillId="5" borderId="0" xfId="0" applyNumberFormat="1" applyFont="1" applyFill="1" applyBorder="1" applyAlignment="1">
      <alignment wrapText="1"/>
    </xf>
    <xf numFmtId="181" fontId="51" fillId="5" borderId="0" xfId="0" applyNumberFormat="1" applyFont="1" applyFill="1"/>
    <xf numFmtId="0" fontId="139" fillId="0" borderId="0" xfId="0" applyFont="1" applyAlignment="1">
      <alignment horizontal="right" wrapText="1"/>
    </xf>
    <xf numFmtId="0" fontId="0" fillId="0" borderId="0" xfId="0" applyFont="1" applyAlignment="1">
      <alignment horizontal="right" wrapText="1"/>
    </xf>
    <xf numFmtId="1" fontId="0" fillId="0" borderId="0" xfId="0" applyNumberFormat="1" applyFont="1" applyFill="1"/>
    <xf numFmtId="1" fontId="0" fillId="0" borderId="0" xfId="0" applyNumberFormat="1" applyFont="1"/>
    <xf numFmtId="1" fontId="0" fillId="0" borderId="0" xfId="0" applyNumberFormat="1" applyFont="1" applyBorder="1"/>
    <xf numFmtId="182" fontId="0" fillId="19" borderId="0" xfId="0" applyNumberFormat="1" applyFill="1"/>
    <xf numFmtId="165" fontId="0" fillId="19" borderId="0" xfId="1" applyNumberFormat="1" applyFont="1" applyFill="1"/>
    <xf numFmtId="0" fontId="139" fillId="0" borderId="0" xfId="0" applyFont="1" applyAlignment="1">
      <alignment wrapText="1"/>
    </xf>
    <xf numFmtId="0" fontId="0" fillId="19" borderId="0" xfId="0" applyFont="1" applyFill="1" applyBorder="1"/>
    <xf numFmtId="0" fontId="0" fillId="19" borderId="0" xfId="0" applyFont="1" applyFill="1"/>
    <xf numFmtId="43" fontId="0" fillId="0" borderId="0" xfId="1" applyNumberFormat="1" applyFont="1" applyBorder="1"/>
    <xf numFmtId="43" fontId="0" fillId="19" borderId="0" xfId="0" applyNumberFormat="1" applyFill="1"/>
    <xf numFmtId="43" fontId="7" fillId="19" borderId="0" xfId="1" applyNumberFormat="1" applyFont="1" applyFill="1"/>
    <xf numFmtId="4" fontId="0" fillId="0" borderId="0" xfId="0" applyNumberFormat="1" applyFont="1" applyAlignment="1">
      <alignment horizontal="right" wrapText="1"/>
    </xf>
    <xf numFmtId="10" fontId="51" fillId="19" borderId="0" xfId="8" applyNumberFormat="1" applyFont="1" applyFill="1" applyBorder="1"/>
    <xf numFmtId="2" fontId="0" fillId="0" borderId="0" xfId="1" applyNumberFormat="1" applyFont="1"/>
    <xf numFmtId="2" fontId="0" fillId="0" borderId="0" xfId="0" applyNumberFormat="1"/>
    <xf numFmtId="2" fontId="51" fillId="19" borderId="0" xfId="0" applyNumberFormat="1" applyFont="1" applyFill="1" applyBorder="1" applyAlignment="1">
      <alignment wrapText="1"/>
    </xf>
    <xf numFmtId="2" fontId="0" fillId="0" borderId="0" xfId="0" applyNumberFormat="1" applyFont="1" applyAlignment="1">
      <alignment horizontal="right" wrapText="1"/>
    </xf>
    <xf numFmtId="183" fontId="0" fillId="0" borderId="0" xfId="0" applyNumberFormat="1" applyFont="1" applyFill="1"/>
    <xf numFmtId="43" fontId="0" fillId="19" borderId="0" xfId="0" applyNumberFormat="1" applyFont="1" applyFill="1"/>
    <xf numFmtId="183" fontId="0" fillId="19" borderId="0" xfId="0" applyNumberFormat="1" applyFont="1" applyFill="1"/>
    <xf numFmtId="184" fontId="0" fillId="0" borderId="0" xfId="8" applyNumberFormat="1" applyFont="1" applyFill="1"/>
    <xf numFmtId="184" fontId="0" fillId="19" borderId="0" xfId="8" applyNumberFormat="1" applyFont="1" applyFill="1"/>
    <xf numFmtId="3" fontId="51" fillId="0" borderId="0" xfId="0" applyNumberFormat="1" applyFont="1" applyFill="1" applyBorder="1"/>
    <xf numFmtId="3" fontId="0" fillId="0" borderId="0" xfId="0" applyNumberFormat="1" applyFont="1" applyAlignment="1">
      <alignment wrapText="1"/>
    </xf>
    <xf numFmtId="3" fontId="139" fillId="0" borderId="0" xfId="0" applyNumberFormat="1" applyFont="1" applyAlignment="1">
      <alignment wrapText="1"/>
    </xf>
    <xf numFmtId="3" fontId="139" fillId="0" borderId="0" xfId="0" applyNumberFormat="1" applyFont="1" applyAlignment="1">
      <alignment horizontal="right" wrapText="1"/>
    </xf>
    <xf numFmtId="0" fontId="0" fillId="0" borderId="0" xfId="0" applyAlignment="1">
      <alignment vertical="center" wrapText="1"/>
    </xf>
    <xf numFmtId="0" fontId="110" fillId="0" borderId="0" xfId="0" applyFont="1" applyFill="1" applyBorder="1" applyAlignment="1">
      <alignment horizontal="center" vertical="center" wrapText="1"/>
    </xf>
    <xf numFmtId="0" fontId="49" fillId="0" borderId="32" xfId="0" applyFont="1" applyFill="1" applyBorder="1" applyAlignment="1">
      <alignment vertical="center"/>
    </xf>
    <xf numFmtId="0" fontId="138" fillId="0" borderId="0" xfId="0" applyFont="1" applyAlignment="1">
      <alignment wrapText="1"/>
    </xf>
    <xf numFmtId="43" fontId="0" fillId="0" borderId="0" xfId="1" applyNumberFormat="1" applyFont="1" applyFill="1"/>
    <xf numFmtId="3" fontId="0" fillId="0" borderId="0" xfId="0" applyNumberFormat="1" applyFont="1" applyAlignment="1">
      <alignment horizontal="right" wrapText="1"/>
    </xf>
    <xf numFmtId="1" fontId="51" fillId="5" borderId="0" xfId="0" applyNumberFormat="1" applyFont="1" applyFill="1" applyBorder="1"/>
    <xf numFmtId="1" fontId="51" fillId="5" borderId="0" xfId="0" applyNumberFormat="1" applyFont="1" applyFill="1"/>
    <xf numFmtId="165" fontId="0" fillId="0" borderId="0" xfId="1" applyNumberFormat="1" applyFont="1" applyFill="1"/>
    <xf numFmtId="0" fontId="0" fillId="0" borderId="0" xfId="0" applyFont="1" applyBorder="1" applyAlignment="1">
      <alignment horizontal="center"/>
    </xf>
    <xf numFmtId="43" fontId="7" fillId="0" borderId="0" xfId="1" applyNumberFormat="1" applyFont="1" applyFill="1"/>
    <xf numFmtId="165" fontId="7" fillId="0" borderId="0" xfId="1" applyNumberFormat="1" applyFont="1" applyFill="1"/>
    <xf numFmtId="10" fontId="51" fillId="0" borderId="0" xfId="8" applyNumberFormat="1" applyFont="1" applyFill="1" applyBorder="1"/>
    <xf numFmtId="181" fontId="51" fillId="0" borderId="0" xfId="0" applyNumberFormat="1" applyFont="1" applyFill="1" applyBorder="1" applyAlignment="1">
      <alignment wrapText="1"/>
    </xf>
    <xf numFmtId="1" fontId="51" fillId="0" borderId="0" xfId="0" applyNumberFormat="1" applyFont="1" applyFill="1" applyBorder="1"/>
    <xf numFmtId="0" fontId="139" fillId="0" borderId="0" xfId="0" applyFont="1" applyBorder="1" applyAlignment="1">
      <alignment horizontal="right" wrapText="1"/>
    </xf>
    <xf numFmtId="181" fontId="51" fillId="0" borderId="0" xfId="0" applyNumberFormat="1" applyFont="1" applyFill="1" applyBorder="1"/>
    <xf numFmtId="0" fontId="139" fillId="0" borderId="0" xfId="0" quotePrefix="1" applyFont="1" applyAlignment="1">
      <alignment horizontal="right" wrapText="1"/>
    </xf>
    <xf numFmtId="3" fontId="51" fillId="0" borderId="0" xfId="0" applyNumberFormat="1" applyFont="1" applyFill="1" applyBorder="1" applyAlignment="1">
      <alignment wrapText="1"/>
    </xf>
    <xf numFmtId="165" fontId="0" fillId="0" borderId="0" xfId="1" applyNumberFormat="1" applyFont="1" applyBorder="1"/>
    <xf numFmtId="165" fontId="138" fillId="0" borderId="0" xfId="1" applyNumberFormat="1" applyFont="1" applyBorder="1"/>
    <xf numFmtId="165" fontId="0" fillId="0" borderId="0" xfId="0" applyNumberFormat="1" applyFont="1" applyBorder="1"/>
    <xf numFmtId="10" fontId="0" fillId="0" borderId="0" xfId="0" applyNumberFormat="1" applyFont="1" applyAlignment="1">
      <alignment wrapText="1"/>
    </xf>
    <xf numFmtId="0" fontId="0" fillId="0" borderId="0" xfId="0" applyFont="1" applyBorder="1" applyAlignment="1">
      <alignment wrapText="1"/>
    </xf>
    <xf numFmtId="0" fontId="139" fillId="0" borderId="0" xfId="0" applyFont="1" applyBorder="1" applyAlignment="1">
      <alignment wrapText="1"/>
    </xf>
    <xf numFmtId="3" fontId="51" fillId="0" borderId="0" xfId="0" applyNumberFormat="1" applyFont="1" applyFill="1" applyAlignment="1">
      <alignment wrapText="1"/>
    </xf>
    <xf numFmtId="3" fontId="0" fillId="0" borderId="0" xfId="0" applyNumberFormat="1" applyFont="1" applyFill="1" applyAlignment="1">
      <alignment horizontal="right" wrapText="1"/>
    </xf>
    <xf numFmtId="3" fontId="139" fillId="0" borderId="0" xfId="0" applyNumberFormat="1" applyFont="1" applyFill="1" applyAlignment="1">
      <alignment horizontal="right" wrapText="1"/>
    </xf>
    <xf numFmtId="1" fontId="51" fillId="0" borderId="0" xfId="0" applyNumberFormat="1" applyFont="1" applyFill="1"/>
    <xf numFmtId="165" fontId="0" fillId="0" borderId="0" xfId="1" applyNumberFormat="1" applyFont="1" applyAlignment="1">
      <alignment horizontal="center"/>
    </xf>
    <xf numFmtId="3" fontId="0" fillId="0" borderId="0" xfId="0" applyNumberFormat="1" applyFont="1" applyFill="1"/>
    <xf numFmtId="3" fontId="51" fillId="5" borderId="0" xfId="0" applyNumberFormat="1" applyFont="1" applyFill="1" applyBorder="1" applyAlignment="1">
      <alignment horizontal="right" vertical="center" wrapText="1"/>
    </xf>
    <xf numFmtId="3" fontId="0" fillId="5" borderId="0" xfId="0" applyNumberFormat="1" applyFont="1" applyFill="1" applyBorder="1" applyAlignment="1">
      <alignment horizontal="right" vertical="center"/>
    </xf>
    <xf numFmtId="165" fontId="0" fillId="0" borderId="0" xfId="1" applyNumberFormat="1" applyFont="1" applyBorder="1" applyAlignment="1">
      <alignment horizontal="right" vertical="center"/>
    </xf>
    <xf numFmtId="0" fontId="0" fillId="0" borderId="0" xfId="0" applyFont="1" applyBorder="1" applyAlignment="1">
      <alignment horizontal="right" vertical="center"/>
    </xf>
    <xf numFmtId="3" fontId="0" fillId="0" borderId="0" xfId="0" applyNumberFormat="1" applyFont="1" applyAlignment="1">
      <alignment horizontal="right" vertical="center" wrapText="1"/>
    </xf>
    <xf numFmtId="3" fontId="139" fillId="0" borderId="0" xfId="0" applyNumberFormat="1" applyFont="1" applyAlignment="1">
      <alignment horizontal="right" vertical="center" wrapText="1"/>
    </xf>
    <xf numFmtId="0" fontId="0" fillId="0" borderId="0" xfId="0" applyBorder="1" applyAlignment="1">
      <alignment wrapText="1"/>
    </xf>
    <xf numFmtId="0" fontId="0" fillId="0" borderId="0" xfId="0" applyFont="1" applyBorder="1" applyAlignment="1">
      <alignment horizontal="right" vertical="center" wrapText="1"/>
    </xf>
    <xf numFmtId="0" fontId="139" fillId="0" borderId="0" xfId="0" applyFont="1" applyBorder="1" applyAlignment="1">
      <alignment horizontal="right" vertical="center" wrapText="1"/>
    </xf>
    <xf numFmtId="0" fontId="0" fillId="0" borderId="46" xfId="0" applyFont="1" applyBorder="1"/>
    <xf numFmtId="0" fontId="0" fillId="0" borderId="46" xfId="0" applyFont="1" applyFill="1" applyBorder="1"/>
    <xf numFmtId="0" fontId="0" fillId="0" borderId="46" xfId="0" applyFont="1" applyBorder="1" applyAlignment="1">
      <alignment horizontal="center"/>
    </xf>
    <xf numFmtId="0" fontId="135" fillId="0" borderId="0" xfId="0" applyFont="1" applyFill="1"/>
    <xf numFmtId="0" fontId="49" fillId="0" borderId="0" xfId="0" applyFont="1" applyFill="1" applyBorder="1" applyAlignment="1">
      <alignment horizontal="right" vertical="center"/>
    </xf>
    <xf numFmtId="0" fontId="49" fillId="0" borderId="0" xfId="0" applyFont="1" applyBorder="1" applyAlignment="1">
      <alignment horizontal="right" vertical="center"/>
    </xf>
    <xf numFmtId="0" fontId="0" fillId="0" borderId="0" xfId="0" applyFont="1" applyAlignment="1">
      <alignment horizontal="right" vertical="center" wrapText="1"/>
    </xf>
    <xf numFmtId="165" fontId="0" fillId="0" borderId="0" xfId="1" applyNumberFormat="1" applyFont="1" applyAlignment="1">
      <alignment wrapText="1"/>
    </xf>
    <xf numFmtId="165" fontId="0" fillId="0" borderId="0" xfId="1" applyNumberFormat="1" applyFont="1" applyFill="1" applyBorder="1"/>
    <xf numFmtId="10" fontId="0" fillId="0" borderId="0" xfId="0" applyNumberFormat="1" applyFont="1" applyFill="1"/>
    <xf numFmtId="0" fontId="112" fillId="5" borderId="0" xfId="0" applyFont="1" applyFill="1"/>
    <xf numFmtId="0" fontId="0" fillId="0" borderId="0" xfId="0" applyFont="1" applyAlignment="1">
      <alignment horizontal="left" wrapText="1"/>
    </xf>
    <xf numFmtId="0" fontId="0" fillId="0" borderId="0" xfId="0" applyFont="1" applyBorder="1" applyAlignment="1">
      <alignment horizontal="center" vertical="center" wrapText="1"/>
    </xf>
    <xf numFmtId="0" fontId="138" fillId="0" borderId="47" xfId="0" applyFont="1" applyBorder="1" applyAlignment="1">
      <alignment horizontal="center" vertical="center" wrapText="1"/>
    </xf>
    <xf numFmtId="0" fontId="0" fillId="0" borderId="0" xfId="0" applyFont="1" applyBorder="1" applyAlignment="1">
      <alignment horizontal="left" vertical="center" wrapText="1"/>
    </xf>
    <xf numFmtId="10" fontId="0" fillId="0" borderId="0" xfId="8" applyNumberFormat="1" applyFont="1" applyBorder="1" applyAlignment="1">
      <alignment horizontal="center" vertical="center" wrapText="1"/>
    </xf>
    <xf numFmtId="10" fontId="51" fillId="0" borderId="0" xfId="8" applyNumberFormat="1" applyFont="1" applyFill="1" applyBorder="1" applyAlignment="1">
      <alignment horizontal="center" vertical="center" wrapText="1"/>
    </xf>
    <xf numFmtId="0" fontId="0" fillId="0" borderId="0" xfId="0" applyFont="1" applyBorder="1" applyAlignment="1">
      <alignment horizontal="left" wrapText="1"/>
    </xf>
    <xf numFmtId="10" fontId="0" fillId="0" borderId="0" xfId="0" applyNumberFormat="1" applyFont="1" applyBorder="1" applyAlignment="1">
      <alignment horizontal="center" vertical="center" wrapText="1"/>
    </xf>
    <xf numFmtId="0" fontId="0" fillId="0" borderId="0" xfId="0" quotePrefix="1" applyFont="1" applyBorder="1" applyAlignment="1">
      <alignment horizontal="center" vertical="center" wrapText="1"/>
    </xf>
    <xf numFmtId="10" fontId="0" fillId="0" borderId="0" xfId="0" applyNumberFormat="1" applyFont="1" applyFill="1" applyBorder="1" applyAlignment="1">
      <alignment horizontal="center" vertical="center" wrapText="1"/>
    </xf>
    <xf numFmtId="185" fontId="0" fillId="0" borderId="0" xfId="0" applyNumberFormat="1" applyFont="1" applyBorder="1" applyAlignment="1">
      <alignment horizontal="center" vertical="center" wrapText="1"/>
    </xf>
    <xf numFmtId="0" fontId="0" fillId="0" borderId="46" xfId="0" applyFont="1" applyBorder="1" applyAlignment="1">
      <alignment horizontal="left" wrapText="1"/>
    </xf>
    <xf numFmtId="10" fontId="0" fillId="0" borderId="46" xfId="8" applyNumberFormat="1" applyFont="1" applyBorder="1" applyAlignment="1">
      <alignment horizontal="center" vertical="center" wrapText="1"/>
    </xf>
    <xf numFmtId="10" fontId="0" fillId="0" borderId="46" xfId="0" applyNumberFormat="1" applyFont="1" applyBorder="1" applyAlignment="1">
      <alignment horizontal="center" vertical="center" wrapText="1"/>
    </xf>
    <xf numFmtId="10" fontId="0" fillId="20" borderId="0" xfId="0" applyNumberFormat="1" applyFont="1" applyFill="1" applyBorder="1" applyAlignment="1">
      <alignment horizontal="center" vertical="center" wrapText="1"/>
    </xf>
    <xf numFmtId="0" fontId="0" fillId="20" borderId="0" xfId="0" applyFont="1" applyFill="1" applyBorder="1" applyAlignment="1">
      <alignment wrapText="1"/>
    </xf>
    <xf numFmtId="10" fontId="0" fillId="0" borderId="0" xfId="0" applyNumberFormat="1" applyBorder="1" applyAlignment="1">
      <alignment horizontal="center" vertical="center" wrapText="1"/>
    </xf>
    <xf numFmtId="0" fontId="0" fillId="0" borderId="46" xfId="0" applyFont="1" applyBorder="1" applyAlignment="1">
      <alignment horizontal="center" vertical="center" wrapText="1"/>
    </xf>
    <xf numFmtId="186" fontId="0" fillId="0" borderId="46" xfId="0" applyNumberFormat="1" applyFont="1" applyBorder="1" applyAlignment="1">
      <alignment horizontal="center" vertical="center" wrapText="1"/>
    </xf>
    <xf numFmtId="10" fontId="0" fillId="0" borderId="46" xfId="0" applyNumberFormat="1" applyFont="1" applyFill="1" applyBorder="1" applyAlignment="1">
      <alignment horizontal="center" vertical="center" wrapText="1"/>
    </xf>
    <xf numFmtId="0" fontId="0" fillId="0" borderId="0" xfId="0" applyFont="1" applyAlignment="1">
      <alignment horizontal="center" vertical="center" wrapText="1"/>
    </xf>
    <xf numFmtId="10" fontId="0" fillId="0" borderId="0" xfId="8" applyNumberFormat="1" applyFont="1" applyAlignment="1">
      <alignment wrapText="1"/>
    </xf>
    <xf numFmtId="186" fontId="0" fillId="0" borderId="0" xfId="8" applyNumberFormat="1" applyFont="1" applyAlignment="1">
      <alignment wrapText="1"/>
    </xf>
    <xf numFmtId="10" fontId="0" fillId="0" borderId="46" xfId="0" applyNumberFormat="1" applyFont="1" applyBorder="1" applyAlignment="1">
      <alignment wrapText="1"/>
    </xf>
    <xf numFmtId="187" fontId="0" fillId="19" borderId="0" xfId="0" applyNumberFormat="1" applyFont="1" applyFill="1"/>
    <xf numFmtId="0" fontId="42" fillId="5" borderId="0" xfId="0" applyFont="1" applyFill="1" applyBorder="1" applyAlignment="1">
      <alignment horizontal="center" vertical="center" wrapText="1"/>
    </xf>
    <xf numFmtId="168" fontId="42" fillId="5" borderId="0" xfId="0" applyNumberFormat="1" applyFont="1" applyFill="1" applyBorder="1" applyAlignment="1">
      <alignment horizontal="center"/>
    </xf>
    <xf numFmtId="10" fontId="42" fillId="5" borderId="0" xfId="0" applyNumberFormat="1" applyFont="1" applyFill="1" applyBorder="1" applyAlignment="1">
      <alignment horizontal="center"/>
    </xf>
    <xf numFmtId="10" fontId="42" fillId="5" borderId="0" xfId="0" applyNumberFormat="1" applyFont="1" applyFill="1" applyBorder="1" applyAlignment="1" applyProtection="1">
      <alignment horizontal="center"/>
      <protection hidden="1"/>
    </xf>
    <xf numFmtId="10" fontId="42" fillId="5" borderId="0" xfId="0" applyNumberFormat="1" applyFont="1" applyFill="1"/>
    <xf numFmtId="0" fontId="49" fillId="0" borderId="47" xfId="0" applyFont="1" applyBorder="1" applyAlignment="1">
      <alignment horizontal="center" vertical="center" wrapText="1"/>
    </xf>
    <xf numFmtId="0" fontId="49" fillId="0" borderId="47" xfId="0" applyFont="1" applyBorder="1" applyAlignment="1">
      <alignment horizontal="center" wrapText="1"/>
    </xf>
    <xf numFmtId="0" fontId="51" fillId="0" borderId="0" xfId="0" applyFont="1" applyBorder="1"/>
    <xf numFmtId="0" fontId="35" fillId="0" borderId="0" xfId="0" applyFont="1" applyBorder="1" applyAlignment="1">
      <alignment horizontal="left" vertical="center" wrapText="1"/>
    </xf>
    <xf numFmtId="0" fontId="35" fillId="5" borderId="0" xfId="0" applyFont="1" applyFill="1" applyProtection="1">
      <protection hidden="1"/>
    </xf>
    <xf numFmtId="0" fontId="35" fillId="5" borderId="0" xfId="0" applyFont="1" applyFill="1" applyBorder="1" applyAlignment="1">
      <alignment horizontal="center" wrapText="1"/>
    </xf>
    <xf numFmtId="10" fontId="35" fillId="5" borderId="0" xfId="0" applyNumberFormat="1" applyFont="1" applyFill="1" applyBorder="1" applyAlignment="1">
      <alignment horizontal="center" wrapText="1"/>
    </xf>
    <xf numFmtId="0" fontId="42" fillId="5" borderId="0" xfId="0" applyFont="1" applyFill="1" applyBorder="1" applyAlignment="1">
      <alignment horizontal="center"/>
    </xf>
    <xf numFmtId="10" fontId="35" fillId="5" borderId="0" xfId="0" applyNumberFormat="1" applyFont="1" applyFill="1" applyBorder="1" applyAlignment="1">
      <alignment horizontal="center" vertical="center" wrapText="1"/>
    </xf>
    <xf numFmtId="10" fontId="35" fillId="5" borderId="0" xfId="0" applyNumberFormat="1" applyFont="1" applyFill="1" applyBorder="1" applyAlignment="1">
      <alignment horizontal="center" vertical="center"/>
    </xf>
    <xf numFmtId="0" fontId="81" fillId="0" borderId="0" xfId="0" applyFont="1" applyBorder="1" applyAlignment="1">
      <alignment horizontal="left" vertical="center" wrapText="1"/>
    </xf>
    <xf numFmtId="10" fontId="35" fillId="5" borderId="0" xfId="0" applyNumberFormat="1" applyFont="1" applyFill="1" applyBorder="1" applyAlignment="1">
      <alignment horizontal="left" vertical="center" wrapText="1"/>
    </xf>
    <xf numFmtId="0" fontId="35" fillId="0" borderId="0" xfId="0" applyFont="1" applyAlignment="1">
      <alignment horizontal="center"/>
    </xf>
    <xf numFmtId="0" fontId="0" fillId="0" borderId="0" xfId="0" applyAlignment="1">
      <alignment horizontal="left" wrapText="1"/>
    </xf>
    <xf numFmtId="0" fontId="81" fillId="5" borderId="0" xfId="0" applyFont="1" applyFill="1" applyBorder="1"/>
    <xf numFmtId="0" fontId="81" fillId="5" borderId="0" xfId="0" applyFont="1" applyFill="1" applyBorder="1" applyAlignment="1">
      <alignment horizontal="center" wrapText="1"/>
    </xf>
    <xf numFmtId="10" fontId="81" fillId="5" borderId="0" xfId="0" applyNumberFormat="1" applyFont="1" applyFill="1" applyBorder="1" applyAlignment="1">
      <alignment horizontal="center" wrapText="1"/>
    </xf>
    <xf numFmtId="0" fontId="116" fillId="5" borderId="0" xfId="0" applyFont="1" applyFill="1" applyBorder="1" applyAlignment="1">
      <alignment horizontal="center"/>
    </xf>
    <xf numFmtId="10" fontId="42" fillId="5" borderId="0" xfId="0" quotePrefix="1" applyNumberFormat="1" applyFont="1" applyFill="1" applyBorder="1" applyAlignment="1">
      <alignment horizontal="center" vertical="center" wrapText="1"/>
    </xf>
    <xf numFmtId="10" fontId="42" fillId="5" borderId="0" xfId="0" applyNumberFormat="1" applyFont="1" applyFill="1" applyBorder="1" applyAlignment="1">
      <alignment horizontal="center" vertical="center" wrapText="1"/>
    </xf>
    <xf numFmtId="10" fontId="42" fillId="5" borderId="0" xfId="0" applyNumberFormat="1" applyFont="1" applyFill="1" applyBorder="1" applyAlignment="1">
      <alignment horizontal="right" vertical="center"/>
    </xf>
    <xf numFmtId="10" fontId="42" fillId="5" borderId="0" xfId="0" applyNumberFormat="1" applyFont="1" applyFill="1" applyAlignment="1">
      <alignment horizontal="left" vertical="center"/>
    </xf>
    <xf numFmtId="10" fontId="55" fillId="5" borderId="0" xfId="0" applyNumberFormat="1" applyFont="1" applyFill="1" applyAlignment="1">
      <alignment horizontal="left" vertical="center"/>
    </xf>
    <xf numFmtId="0" fontId="83" fillId="5" borderId="0" xfId="0" applyFont="1" applyFill="1" applyAlignment="1">
      <alignment horizontal="center" wrapText="1"/>
    </xf>
    <xf numFmtId="0" fontId="83" fillId="0" borderId="0" xfId="0" applyFont="1" applyAlignment="1">
      <alignment wrapText="1"/>
    </xf>
    <xf numFmtId="10" fontId="84" fillId="5" borderId="0" xfId="0" applyNumberFormat="1" applyFont="1" applyFill="1" applyAlignment="1">
      <alignment horizontal="center"/>
    </xf>
    <xf numFmtId="0" fontId="55" fillId="5" borderId="0" xfId="0" applyFont="1" applyFill="1" applyAlignment="1">
      <alignment horizontal="right" vertical="center"/>
    </xf>
    <xf numFmtId="0" fontId="51" fillId="5" borderId="0" xfId="0" applyFont="1" applyFill="1" applyBorder="1" applyAlignment="1">
      <alignment horizontal="center"/>
    </xf>
    <xf numFmtId="0" fontId="51" fillId="0" borderId="0" xfId="0" applyFont="1" applyBorder="1" applyAlignment="1">
      <alignment horizontal="center" vertical="center" wrapText="1"/>
    </xf>
    <xf numFmtId="0" fontId="55" fillId="5" borderId="0" xfId="0" applyFont="1" applyFill="1" applyBorder="1" applyAlignment="1">
      <alignment horizontal="left" vertical="center" wrapText="1"/>
    </xf>
    <xf numFmtId="9" fontId="32" fillId="5" borderId="0" xfId="0" applyNumberFormat="1" applyFont="1" applyFill="1" applyBorder="1"/>
    <xf numFmtId="10" fontId="32" fillId="5" borderId="0" xfId="0" applyNumberFormat="1" applyFont="1" applyFill="1" applyBorder="1"/>
    <xf numFmtId="9" fontId="32" fillId="5" borderId="0" xfId="0" applyNumberFormat="1" applyFont="1" applyFill="1"/>
    <xf numFmtId="10" fontId="32" fillId="5" borderId="0" xfId="0" applyNumberFormat="1" applyFont="1" applyFill="1"/>
    <xf numFmtId="10" fontId="52" fillId="0" borderId="0" xfId="0" applyNumberFormat="1" applyFont="1" applyAlignment="1">
      <alignment horizontal="left"/>
    </xf>
    <xf numFmtId="2" fontId="35" fillId="0" borderId="0" xfId="0" applyNumberFormat="1" applyFont="1" applyAlignment="1">
      <alignment horizontal="center"/>
    </xf>
    <xf numFmtId="0" fontId="49" fillId="0" borderId="47" xfId="0" applyFont="1" applyBorder="1" applyAlignment="1">
      <alignment vertical="center" wrapText="1"/>
    </xf>
    <xf numFmtId="0" fontId="49" fillId="0" borderId="47" xfId="0" applyFont="1" applyFill="1" applyBorder="1" applyAlignment="1">
      <alignment horizontal="center" vertical="center"/>
    </xf>
    <xf numFmtId="0" fontId="49" fillId="0" borderId="47" xfId="0" applyFont="1" applyBorder="1" applyAlignment="1">
      <alignment horizontal="center" vertical="center"/>
    </xf>
    <xf numFmtId="0" fontId="49" fillId="0" borderId="47" xfId="0" applyFont="1" applyFill="1" applyBorder="1" applyAlignment="1">
      <alignment vertical="center"/>
    </xf>
    <xf numFmtId="0" fontId="49" fillId="0" borderId="47" xfId="0" applyFont="1" applyBorder="1" applyAlignment="1">
      <alignment vertical="center"/>
    </xf>
    <xf numFmtId="43" fontId="137" fillId="0" borderId="0" xfId="1" applyNumberFormat="1" applyFont="1"/>
    <xf numFmtId="43" fontId="137" fillId="0" borderId="0" xfId="1" applyNumberFormat="1" applyFont="1" applyFill="1"/>
    <xf numFmtId="10" fontId="137" fillId="0" borderId="0" xfId="8" applyNumberFormat="1" applyFont="1"/>
    <xf numFmtId="10" fontId="137" fillId="0" borderId="0" xfId="8" applyNumberFormat="1" applyFont="1" applyBorder="1"/>
    <xf numFmtId="2" fontId="137" fillId="0" borderId="0" xfId="0" applyNumberFormat="1" applyFont="1"/>
    <xf numFmtId="181" fontId="137" fillId="5" borderId="0" xfId="0" applyNumberFormat="1" applyFont="1" applyFill="1" applyBorder="1" applyAlignment="1">
      <alignment wrapText="1"/>
    </xf>
    <xf numFmtId="1" fontId="137" fillId="0" borderId="0" xfId="0" applyNumberFormat="1" applyFont="1"/>
    <xf numFmtId="165" fontId="137" fillId="0" borderId="0" xfId="1" applyNumberFormat="1" applyFont="1" applyFill="1"/>
    <xf numFmtId="0" fontId="137" fillId="0" borderId="0" xfId="0" applyFont="1"/>
    <xf numFmtId="43" fontId="137" fillId="0" borderId="0" xfId="0" applyNumberFormat="1" applyFont="1"/>
    <xf numFmtId="10" fontId="137" fillId="0" borderId="0" xfId="0" applyNumberFormat="1" applyFont="1"/>
    <xf numFmtId="10" fontId="137" fillId="0" borderId="0" xfId="8" applyNumberFormat="1" applyFont="1" applyFill="1" applyBorder="1"/>
    <xf numFmtId="181" fontId="137" fillId="0" borderId="0" xfId="0" applyNumberFormat="1" applyFont="1" applyFill="1" applyBorder="1" applyAlignment="1">
      <alignment wrapText="1"/>
    </xf>
    <xf numFmtId="164" fontId="0" fillId="0" borderId="0" xfId="0" applyNumberFormat="1"/>
    <xf numFmtId="9" fontId="0" fillId="0" borderId="0" xfId="8" applyFont="1"/>
    <xf numFmtId="4" fontId="51" fillId="0" borderId="0" xfId="0" applyNumberFormat="1" applyFont="1" applyFill="1" applyBorder="1"/>
    <xf numFmtId="0" fontId="35" fillId="0" borderId="0" xfId="0" quotePrefix="1" applyFont="1"/>
    <xf numFmtId="10" fontId="35" fillId="0" borderId="0" xfId="0" quotePrefix="1" applyNumberFormat="1" applyFont="1" applyAlignment="1">
      <alignment horizontal="center"/>
    </xf>
    <xf numFmtId="2" fontId="35" fillId="0" borderId="0" xfId="0" quotePrefix="1" applyNumberFormat="1" applyFont="1" applyAlignment="1">
      <alignment horizontal="center"/>
    </xf>
    <xf numFmtId="1" fontId="35" fillId="0" borderId="0" xfId="0" quotePrefix="1" applyNumberFormat="1" applyFont="1" applyAlignment="1">
      <alignment horizontal="center"/>
    </xf>
    <xf numFmtId="0" fontId="48" fillId="5" borderId="0" xfId="0" applyFont="1" applyFill="1" applyBorder="1"/>
    <xf numFmtId="0" fontId="137" fillId="5" borderId="0" xfId="0" applyFont="1" applyFill="1"/>
    <xf numFmtId="0" fontId="10" fillId="5" borderId="0" xfId="0" applyFont="1" applyFill="1" applyBorder="1"/>
    <xf numFmtId="0" fontId="115" fillId="5" borderId="0" xfId="0" applyFont="1" applyFill="1"/>
    <xf numFmtId="166" fontId="115" fillId="5" borderId="0" xfId="5" applyNumberFormat="1" applyFont="1" applyFill="1" applyBorder="1"/>
    <xf numFmtId="165" fontId="142" fillId="5" borderId="0" xfId="5" applyNumberFormat="1" applyFont="1" applyFill="1" applyBorder="1"/>
    <xf numFmtId="0" fontId="115" fillId="5" borderId="0" xfId="0" applyFont="1" applyFill="1" applyBorder="1"/>
    <xf numFmtId="0" fontId="49" fillId="5" borderId="0" xfId="0" applyFont="1" applyFill="1" applyBorder="1" applyAlignment="1">
      <alignment vertical="center"/>
    </xf>
    <xf numFmtId="0" fontId="48" fillId="5" borderId="0" xfId="0" applyFont="1" applyFill="1" applyBorder="1" applyAlignment="1">
      <alignment horizontal="center" vertical="center"/>
    </xf>
    <xf numFmtId="0" fontId="48" fillId="5" borderId="0" xfId="0" applyFont="1" applyFill="1" applyBorder="1" applyAlignment="1">
      <alignment vertical="center"/>
    </xf>
    <xf numFmtId="10" fontId="55" fillId="5" borderId="0" xfId="0" applyNumberFormat="1" applyFont="1" applyFill="1"/>
    <xf numFmtId="49" fontId="81" fillId="0" borderId="0" xfId="0" applyNumberFormat="1" applyFont="1" applyAlignment="1">
      <alignment horizontal="center" wrapText="1"/>
    </xf>
    <xf numFmtId="0" fontId="81" fillId="0" borderId="0" xfId="0" applyFont="1" applyAlignment="1">
      <alignment horizontal="center" vertical="center"/>
    </xf>
    <xf numFmtId="0" fontId="88" fillId="5" borderId="0" xfId="0" applyFont="1" applyFill="1" applyAlignment="1"/>
    <xf numFmtId="0" fontId="35" fillId="6" borderId="0" xfId="0" applyFont="1" applyFill="1" applyAlignment="1"/>
    <xf numFmtId="0" fontId="35" fillId="0" borderId="0" xfId="0" applyFont="1" applyAlignment="1">
      <alignment horizontal="center"/>
    </xf>
    <xf numFmtId="0" fontId="55" fillId="5" borderId="0" xfId="0" applyFont="1" applyFill="1" applyBorder="1" applyAlignment="1">
      <alignment horizontal="center"/>
    </xf>
    <xf numFmtId="0" fontId="35" fillId="0" borderId="0" xfId="0" applyFont="1" applyAlignment="1"/>
    <xf numFmtId="0" fontId="81" fillId="0" borderId="0" xfId="0" applyFont="1" applyAlignment="1">
      <alignment horizontal="center" vertical="center"/>
    </xf>
    <xf numFmtId="0" fontId="35" fillId="0" borderId="0" xfId="0" applyFont="1" applyAlignment="1">
      <alignment horizontal="left" vertical="center"/>
    </xf>
    <xf numFmtId="0" fontId="35" fillId="0" borderId="0" xfId="0" applyFont="1" applyAlignment="1">
      <alignment horizontal="center" vertical="center"/>
    </xf>
    <xf numFmtId="0" fontId="55" fillId="5" borderId="0" xfId="0" applyFont="1" applyFill="1" applyBorder="1" applyAlignment="1">
      <alignment horizontal="center"/>
    </xf>
    <xf numFmtId="0" fontId="55" fillId="5" borderId="0" xfId="0" applyFont="1" applyFill="1" applyBorder="1" applyAlignment="1">
      <alignment horizontal="left"/>
    </xf>
    <xf numFmtId="10" fontId="42" fillId="5" borderId="0" xfId="0" applyNumberFormat="1" applyFont="1" applyFill="1" applyBorder="1"/>
    <xf numFmtId="2" fontId="42" fillId="5" borderId="0" xfId="0" applyNumberFormat="1" applyFont="1" applyFill="1" applyBorder="1"/>
    <xf numFmtId="0" fontId="122" fillId="5" borderId="0" xfId="0" applyFont="1" applyFill="1" applyBorder="1"/>
    <xf numFmtId="0" fontId="32" fillId="5" borderId="0" xfId="0" applyFont="1" applyFill="1" applyBorder="1" applyAlignment="1">
      <alignment vertical="center"/>
    </xf>
    <xf numFmtId="0" fontId="143" fillId="5" borderId="0" xfId="0" applyFont="1" applyFill="1" applyBorder="1" applyAlignment="1">
      <alignment horizontal="center" vertical="center"/>
    </xf>
    <xf numFmtId="0" fontId="143" fillId="5" borderId="0" xfId="0" applyFont="1" applyFill="1" applyBorder="1" applyAlignment="1">
      <alignment horizontal="center" vertical="center" wrapText="1"/>
    </xf>
    <xf numFmtId="0" fontId="144" fillId="5" borderId="0" xfId="0" applyFont="1" applyFill="1" applyBorder="1" applyAlignment="1">
      <alignment horizontal="center" vertical="center" wrapText="1"/>
    </xf>
    <xf numFmtId="10" fontId="144" fillId="5" borderId="0" xfId="0" applyNumberFormat="1" applyFont="1" applyFill="1" applyBorder="1" applyAlignment="1">
      <alignment horizontal="center" vertical="center"/>
    </xf>
    <xf numFmtId="165" fontId="55" fillId="5" borderId="0" xfId="0" applyNumberFormat="1" applyFont="1" applyFill="1" applyBorder="1"/>
    <xf numFmtId="10" fontId="55" fillId="5" borderId="0" xfId="0" applyNumberFormat="1" applyFont="1" applyFill="1" applyBorder="1"/>
    <xf numFmtId="0" fontId="51" fillId="5" borderId="0" xfId="0" applyFont="1" applyFill="1" applyBorder="1" applyAlignment="1">
      <alignment horizontal="center" vertical="center"/>
    </xf>
    <xf numFmtId="168" fontId="42" fillId="5" borderId="0" xfId="0" applyNumberFormat="1" applyFont="1" applyFill="1" applyAlignment="1">
      <alignment horizontal="center"/>
    </xf>
    <xf numFmtId="10" fontId="42" fillId="5" borderId="0" xfId="0" applyNumberFormat="1" applyFont="1" applyFill="1" applyAlignment="1">
      <alignment horizontal="center"/>
    </xf>
    <xf numFmtId="0" fontId="135" fillId="5" borderId="0" xfId="0" applyFont="1" applyFill="1" applyBorder="1" applyAlignment="1">
      <alignment vertical="center"/>
    </xf>
    <xf numFmtId="181" fontId="35" fillId="0" borderId="0" xfId="0" applyNumberFormat="1" applyFont="1" applyAlignment="1">
      <alignment horizontal="center"/>
    </xf>
    <xf numFmtId="181" fontId="35" fillId="0" borderId="0" xfId="0" quotePrefix="1" applyNumberFormat="1" applyFont="1" applyAlignment="1">
      <alignment horizontal="center"/>
    </xf>
    <xf numFmtId="10" fontId="55" fillId="5" borderId="0" xfId="0" applyNumberFormat="1" applyFont="1" applyFill="1" applyAlignment="1">
      <alignment horizontal="center"/>
    </xf>
    <xf numFmtId="0" fontId="83" fillId="0" borderId="0" xfId="0" applyFont="1" applyAlignment="1">
      <alignment horizontal="center" wrapText="1"/>
    </xf>
    <xf numFmtId="2" fontId="52" fillId="0" borderId="0" xfId="0" applyNumberFormat="1" applyFont="1" applyAlignment="1">
      <alignment horizontal="right"/>
    </xf>
    <xf numFmtId="10" fontId="52" fillId="0" borderId="0" xfId="0" applyNumberFormat="1" applyFont="1" applyAlignment="1">
      <alignment horizontal="right"/>
    </xf>
    <xf numFmtId="1" fontId="52" fillId="0" borderId="0" xfId="0" quotePrefix="1" applyNumberFormat="1" applyFont="1" applyAlignment="1">
      <alignment horizontal="right"/>
    </xf>
    <xf numFmtId="0" fontId="60" fillId="0" borderId="0" xfId="0" applyFont="1" applyAlignment="1">
      <alignment horizontal="right" wrapText="1"/>
    </xf>
    <xf numFmtId="0" fontId="60" fillId="0" borderId="0" xfId="0" applyFont="1" applyAlignment="1">
      <alignment horizontal="left" wrapText="1"/>
    </xf>
    <xf numFmtId="0" fontId="42" fillId="5" borderId="0" xfId="0" applyFont="1" applyFill="1" applyAlignment="1">
      <alignment horizontal="center" vertical="center"/>
    </xf>
    <xf numFmtId="0" fontId="80" fillId="0" borderId="0" xfId="0" applyFont="1" applyAlignment="1">
      <alignment horizontal="center" vertical="center"/>
    </xf>
    <xf numFmtId="0" fontId="51" fillId="0" borderId="0" xfId="0" applyFont="1" applyAlignment="1">
      <alignment horizontal="center" vertical="center"/>
    </xf>
    <xf numFmtId="0" fontId="51" fillId="5" borderId="0" xfId="0" applyFont="1" applyFill="1" applyAlignment="1">
      <alignment horizontal="center" vertical="center"/>
    </xf>
    <xf numFmtId="0" fontId="42" fillId="5" borderId="0" xfId="0" applyFont="1" applyFill="1" applyAlignment="1">
      <alignment horizontal="left" vertical="center"/>
    </xf>
    <xf numFmtId="0" fontId="51" fillId="5" borderId="0" xfId="0" applyFont="1" applyFill="1" applyAlignment="1">
      <alignment horizontal="left"/>
    </xf>
    <xf numFmtId="4" fontId="42" fillId="5" borderId="0" xfId="0" applyNumberFormat="1" applyFont="1" applyFill="1" applyAlignment="1">
      <alignment horizontal="center"/>
    </xf>
    <xf numFmtId="0" fontId="116" fillId="5" borderId="0" xfId="0" applyFont="1" applyFill="1" applyAlignment="1">
      <alignment horizontal="left" vertical="center"/>
    </xf>
    <xf numFmtId="3" fontId="80" fillId="5" borderId="0" xfId="0" applyNumberFormat="1" applyFont="1" applyFill="1" applyAlignment="1">
      <alignment horizontal="center" vertical="center"/>
    </xf>
    <xf numFmtId="3" fontId="145" fillId="0" borderId="0" xfId="0" applyNumberFormat="1" applyFont="1" applyAlignment="1">
      <alignment wrapText="1"/>
    </xf>
    <xf numFmtId="3" fontId="146" fillId="0" borderId="0" xfId="0" applyNumberFormat="1" applyFont="1" applyAlignment="1">
      <alignment horizontal="center" vertical="top"/>
    </xf>
    <xf numFmtId="3" fontId="80" fillId="0" borderId="0" xfId="0" applyNumberFormat="1" applyFont="1" applyAlignment="1">
      <alignment horizontal="right" vertical="center"/>
    </xf>
    <xf numFmtId="3" fontId="80" fillId="5" borderId="0" xfId="0" applyNumberFormat="1" applyFont="1" applyFill="1" applyAlignment="1">
      <alignment horizontal="right" vertical="center"/>
    </xf>
    <xf numFmtId="0" fontId="42" fillId="5" borderId="0" xfId="44" applyFont="1" applyFill="1"/>
    <xf numFmtId="0" fontId="147" fillId="5" borderId="0" xfId="0" applyFont="1" applyFill="1" applyBorder="1" applyAlignment="1">
      <alignment horizontal="right" vertical="center"/>
    </xf>
    <xf numFmtId="3" fontId="147" fillId="5" borderId="0" xfId="0" applyNumberFormat="1" applyFont="1" applyFill="1" applyAlignment="1">
      <alignment horizontal="right" vertical="center"/>
    </xf>
    <xf numFmtId="0" fontId="93" fillId="5" borderId="0" xfId="0" applyFont="1" applyFill="1" applyAlignment="1">
      <alignment horizontal="center" vertical="center" wrapText="1"/>
    </xf>
    <xf numFmtId="3" fontId="80" fillId="5" borderId="0" xfId="0" applyNumberFormat="1" applyFont="1" applyFill="1" applyAlignment="1">
      <alignment horizontal="center" vertical="center" wrapText="1"/>
    </xf>
    <xf numFmtId="3" fontId="53" fillId="0" borderId="0" xfId="0" applyNumberFormat="1" applyFont="1" applyAlignment="1">
      <alignment horizontal="right" vertical="center"/>
    </xf>
    <xf numFmtId="0" fontId="48" fillId="5" borderId="0" xfId="0" applyFont="1" applyFill="1"/>
    <xf numFmtId="168" fontId="42" fillId="5" borderId="0" xfId="0" applyNumberFormat="1" applyFont="1" applyFill="1" applyBorder="1" applyAlignment="1">
      <alignment horizontal="left" vertical="center"/>
    </xf>
    <xf numFmtId="3" fontId="35" fillId="5" borderId="0" xfId="0" applyNumberFormat="1" applyFont="1" applyFill="1" applyAlignment="1">
      <alignment horizontal="center" wrapText="1"/>
    </xf>
    <xf numFmtId="3" fontId="55" fillId="5" borderId="0" xfId="0" applyNumberFormat="1" applyFont="1" applyFill="1" applyAlignment="1">
      <alignment horizontal="left"/>
    </xf>
    <xf numFmtId="3" fontId="55" fillId="5" borderId="0" xfId="0" applyNumberFormat="1" applyFont="1" applyFill="1" applyAlignment="1"/>
    <xf numFmtId="3" fontId="32" fillId="5" borderId="0" xfId="0" applyNumberFormat="1" applyFont="1" applyFill="1"/>
    <xf numFmtId="3" fontId="55" fillId="5" borderId="0" xfId="0" applyNumberFormat="1" applyFont="1" applyFill="1" applyAlignment="1">
      <alignment horizontal="right"/>
    </xf>
    <xf numFmtId="3" fontId="90" fillId="0" borderId="0" xfId="0" applyNumberFormat="1" applyFont="1" applyAlignment="1">
      <alignment horizontal="center" vertical="top"/>
    </xf>
    <xf numFmtId="3" fontId="53" fillId="0" borderId="0" xfId="0" applyNumberFormat="1" applyFont="1" applyAlignment="1">
      <alignment wrapText="1"/>
    </xf>
    <xf numFmtId="0" fontId="125" fillId="0" borderId="0" xfId="0" applyFont="1" applyAlignment="1">
      <alignment horizontal="center" vertical="center"/>
    </xf>
    <xf numFmtId="0" fontId="125" fillId="5" borderId="0" xfId="0" applyFont="1" applyFill="1"/>
    <xf numFmtId="0" fontId="35" fillId="0" borderId="0" xfId="0" applyFont="1" applyAlignment="1">
      <alignment horizontal="left" vertical="center" wrapText="1"/>
    </xf>
    <xf numFmtId="3" fontId="53" fillId="0" borderId="0" xfId="0" applyNumberFormat="1" applyFont="1" applyAlignment="1">
      <alignment horizontal="center" vertical="center"/>
    </xf>
    <xf numFmtId="0" fontId="55" fillId="0" borderId="0" xfId="0" applyFont="1" applyAlignment="1">
      <alignment wrapText="1"/>
    </xf>
    <xf numFmtId="3" fontId="146" fillId="0" borderId="0" xfId="0" applyNumberFormat="1" applyFont="1" applyAlignment="1">
      <alignment horizontal="center" vertical="center"/>
    </xf>
    <xf numFmtId="3" fontId="146" fillId="0" borderId="10" xfId="0" applyNumberFormat="1" applyFont="1" applyBorder="1" applyAlignment="1">
      <alignment vertical="center"/>
    </xf>
    <xf numFmtId="10" fontId="32" fillId="5" borderId="0" xfId="8" applyNumberFormat="1" applyFont="1" applyFill="1" applyBorder="1" applyAlignment="1">
      <alignment horizontal="center" vertical="center" wrapText="1"/>
    </xf>
    <xf numFmtId="0" fontId="32" fillId="5" borderId="0" xfId="0" applyFont="1" applyFill="1" applyBorder="1" applyAlignment="1">
      <alignment horizontal="left" wrapText="1"/>
    </xf>
    <xf numFmtId="0" fontId="32" fillId="5" borderId="0" xfId="0" applyFont="1" applyFill="1" applyBorder="1" applyAlignment="1">
      <alignment wrapText="1"/>
    </xf>
    <xf numFmtId="0" fontId="48" fillId="5" borderId="0" xfId="0" applyFont="1" applyFill="1" applyBorder="1" applyAlignment="1">
      <alignment horizontal="left" vertical="center" wrapText="1"/>
    </xf>
    <xf numFmtId="0" fontId="32" fillId="5" borderId="0" xfId="0" applyFont="1" applyFill="1" applyBorder="1" applyAlignment="1">
      <alignment horizontal="center" vertical="center" wrapText="1"/>
    </xf>
    <xf numFmtId="0" fontId="149" fillId="5" borderId="0" xfId="0" applyFont="1" applyFill="1" applyBorder="1" applyAlignment="1">
      <alignment horizontal="center" vertical="center" wrapText="1"/>
    </xf>
    <xf numFmtId="0" fontId="32" fillId="5" borderId="0" xfId="0" applyFont="1" applyFill="1" applyBorder="1" applyAlignment="1">
      <alignment horizontal="left" vertical="center" wrapText="1"/>
    </xf>
    <xf numFmtId="10" fontId="32" fillId="5" borderId="0" xfId="0" applyNumberFormat="1" applyFont="1" applyFill="1" applyBorder="1" applyAlignment="1">
      <alignment horizontal="center" vertical="center" wrapText="1"/>
    </xf>
    <xf numFmtId="0" fontId="32" fillId="5" borderId="0" xfId="0" quotePrefix="1" applyFont="1" applyFill="1" applyBorder="1" applyAlignment="1">
      <alignment horizontal="center" vertical="center" wrapText="1"/>
    </xf>
    <xf numFmtId="185" fontId="32" fillId="5" borderId="0" xfId="0" applyNumberFormat="1" applyFont="1" applyFill="1" applyBorder="1" applyAlignment="1">
      <alignment horizontal="center" vertical="center" wrapText="1"/>
    </xf>
    <xf numFmtId="186" fontId="32" fillId="5" borderId="0" xfId="8" applyNumberFormat="1" applyFont="1" applyFill="1" applyBorder="1" applyAlignment="1">
      <alignment wrapText="1"/>
    </xf>
    <xf numFmtId="186" fontId="32" fillId="5" borderId="0" xfId="0" applyNumberFormat="1" applyFont="1" applyFill="1" applyBorder="1" applyAlignment="1">
      <alignment horizontal="center" vertical="center" wrapText="1"/>
    </xf>
    <xf numFmtId="0" fontId="48" fillId="5" borderId="0" xfId="0" applyFont="1" applyFill="1" applyBorder="1" applyAlignment="1">
      <alignment wrapText="1"/>
    </xf>
    <xf numFmtId="0" fontId="48" fillId="5" borderId="0" xfId="0" applyFont="1" applyFill="1" applyBorder="1" applyAlignment="1">
      <alignment vertical="center" wrapText="1"/>
    </xf>
    <xf numFmtId="10" fontId="32" fillId="5" borderId="0" xfId="0" applyNumberFormat="1" applyFont="1" applyFill="1" applyBorder="1" applyAlignment="1">
      <alignment wrapText="1"/>
    </xf>
    <xf numFmtId="10" fontId="32" fillId="5" borderId="0" xfId="8" applyNumberFormat="1" applyFont="1" applyFill="1" applyBorder="1" applyAlignment="1">
      <alignment wrapText="1"/>
    </xf>
    <xf numFmtId="10" fontId="48" fillId="5" borderId="0" xfId="0" applyNumberFormat="1" applyFont="1" applyFill="1" applyBorder="1" applyAlignment="1">
      <alignment horizontal="center" vertical="center" wrapText="1"/>
    </xf>
    <xf numFmtId="0" fontId="48" fillId="5" borderId="0" xfId="0" applyFont="1" applyFill="1" applyBorder="1" applyAlignment="1">
      <alignment horizontal="left" wrapText="1"/>
    </xf>
    <xf numFmtId="10" fontId="48" fillId="5" borderId="0" xfId="0" applyNumberFormat="1" applyFont="1" applyFill="1" applyBorder="1" applyAlignment="1">
      <alignment wrapText="1"/>
    </xf>
    <xf numFmtId="0" fontId="88" fillId="5" borderId="0" xfId="0" applyFont="1" applyFill="1" applyBorder="1" applyAlignment="1">
      <alignment horizontal="left" vertical="center" wrapText="1"/>
    </xf>
    <xf numFmtId="10" fontId="48" fillId="5" borderId="0" xfId="8" applyNumberFormat="1" applyFont="1" applyFill="1" applyBorder="1" applyAlignment="1">
      <alignment horizontal="center" vertical="center" wrapText="1"/>
    </xf>
    <xf numFmtId="0" fontId="122" fillId="5" borderId="0" xfId="0" applyFont="1" applyFill="1" applyBorder="1" applyAlignment="1" applyProtection="1">
      <alignment horizontal="center" vertical="top"/>
      <protection hidden="1"/>
    </xf>
    <xf numFmtId="0" fontId="51" fillId="5" borderId="0" xfId="0" applyFont="1" applyFill="1" applyProtection="1">
      <protection hidden="1"/>
    </xf>
    <xf numFmtId="0" fontId="51" fillId="5" borderId="0" xfId="0" applyFont="1" applyFill="1" applyAlignment="1">
      <alignment horizontal="center"/>
    </xf>
    <xf numFmtId="0" fontId="135" fillId="5" borderId="0" xfId="0" applyFont="1" applyFill="1" applyAlignment="1">
      <alignment horizontal="center" wrapText="1"/>
    </xf>
    <xf numFmtId="0" fontId="89" fillId="5" borderId="0" xfId="0" applyFont="1" applyFill="1" applyAlignment="1">
      <alignment horizontal="center" wrapText="1"/>
    </xf>
    <xf numFmtId="0" fontId="150" fillId="5" borderId="0" xfId="0" applyFont="1" applyFill="1" applyBorder="1"/>
    <xf numFmtId="10" fontId="85" fillId="5" borderId="0" xfId="0" applyNumberFormat="1" applyFont="1" applyFill="1" applyBorder="1" applyAlignment="1">
      <alignment horizontal="right" vertical="center"/>
    </xf>
    <xf numFmtId="3" fontId="55" fillId="0" borderId="0" xfId="0" applyNumberFormat="1" applyFont="1" applyBorder="1" applyAlignment="1">
      <alignment horizontal="left"/>
    </xf>
    <xf numFmtId="168" fontId="55" fillId="0" borderId="0" xfId="0" applyNumberFormat="1" applyFont="1" applyFill="1" applyBorder="1" applyAlignment="1">
      <alignment horizontal="left"/>
    </xf>
    <xf numFmtId="3" fontId="116" fillId="5" borderId="0" xfId="0" applyNumberFormat="1" applyFont="1" applyFill="1" applyBorder="1" applyAlignment="1">
      <alignment horizontal="center"/>
    </xf>
    <xf numFmtId="3" fontId="42" fillId="5" borderId="0" xfId="0" applyNumberFormat="1" applyFont="1" applyFill="1" applyBorder="1" applyAlignment="1">
      <alignment horizontal="left" vertical="center"/>
    </xf>
    <xf numFmtId="0" fontId="151" fillId="0" borderId="0" xfId="0" applyFont="1"/>
    <xf numFmtId="0" fontId="81" fillId="0" borderId="0" xfId="0" applyFont="1" applyAlignment="1">
      <alignment horizontal="center" vertical="center"/>
    </xf>
    <xf numFmtId="0" fontId="81" fillId="5" borderId="0" xfId="0" applyFont="1" applyFill="1" applyAlignment="1">
      <alignment horizontal="center" vertical="center" wrapText="1"/>
    </xf>
    <xf numFmtId="0" fontId="152" fillId="0" borderId="0" xfId="0" applyFont="1"/>
    <xf numFmtId="0" fontId="153" fillId="5" borderId="0" xfId="0" applyFont="1" applyFill="1" applyAlignment="1">
      <alignment horizontal="center" vertical="center"/>
    </xf>
    <xf numFmtId="0" fontId="115" fillId="5" borderId="0" xfId="0" applyFont="1" applyFill="1" applyAlignment="1"/>
    <xf numFmtId="0" fontId="152" fillId="5" borderId="0" xfId="0" applyFont="1" applyFill="1"/>
    <xf numFmtId="0" fontId="142" fillId="5" borderId="0" xfId="0" applyFont="1" applyFill="1"/>
    <xf numFmtId="0" fontId="115" fillId="5" borderId="0" xfId="0" applyFont="1" applyFill="1" applyAlignment="1">
      <alignment horizontal="center"/>
    </xf>
    <xf numFmtId="0" fontId="142" fillId="5" borderId="0" xfId="0" applyFont="1" applyFill="1" applyAlignment="1">
      <alignment horizontal="center"/>
    </xf>
    <xf numFmtId="0" fontId="110" fillId="5" borderId="0" xfId="0" applyFont="1" applyFill="1"/>
    <xf numFmtId="168" fontId="115" fillId="5" borderId="0" xfId="0" applyNumberFormat="1" applyFont="1" applyFill="1" applyAlignment="1">
      <alignment horizontal="center"/>
    </xf>
    <xf numFmtId="168" fontId="115" fillId="5" borderId="0" xfId="0" applyNumberFormat="1" applyFont="1" applyFill="1" applyAlignment="1">
      <alignment horizontal="left"/>
    </xf>
    <xf numFmtId="0" fontId="142" fillId="5" borderId="0" xfId="0" applyFont="1" applyFill="1" applyAlignment="1"/>
    <xf numFmtId="0" fontId="110" fillId="5" borderId="0" xfId="0" applyFont="1" applyFill="1" applyBorder="1"/>
    <xf numFmtId="0" fontId="35" fillId="6" borderId="0" xfId="0" applyFont="1" applyFill="1" applyAlignment="1"/>
    <xf numFmtId="0" fontId="55" fillId="5" borderId="0" xfId="0" applyFont="1" applyFill="1" applyBorder="1" applyAlignment="1">
      <alignment horizontal="center"/>
    </xf>
    <xf numFmtId="0" fontId="55" fillId="5" borderId="0" xfId="0" applyFont="1" applyFill="1" applyBorder="1" applyAlignment="1">
      <alignment horizontal="left"/>
    </xf>
    <xf numFmtId="0" fontId="55" fillId="5" borderId="0" xfId="0" applyFont="1" applyFill="1" applyBorder="1" applyAlignment="1"/>
    <xf numFmtId="0" fontId="33" fillId="0" borderId="0" xfId="7" applyAlignment="1" applyProtection="1"/>
    <xf numFmtId="0" fontId="35" fillId="0" borderId="0" xfId="0" applyFont="1" applyAlignment="1"/>
    <xf numFmtId="3" fontId="42" fillId="5" borderId="0" xfId="0" applyNumberFormat="1" applyFont="1" applyFill="1" applyAlignment="1">
      <alignment horizontal="center"/>
    </xf>
    <xf numFmtId="0" fontId="42" fillId="5" borderId="0" xfId="0" applyFont="1" applyFill="1" applyAlignment="1">
      <alignment horizontal="center"/>
    </xf>
    <xf numFmtId="0" fontId="52" fillId="0" borderId="0" xfId="0" applyFont="1" applyAlignment="1">
      <alignment horizontal="center" vertical="center"/>
    </xf>
    <xf numFmtId="0" fontId="154" fillId="0" borderId="0" xfId="0" applyFont="1" applyFill="1" applyBorder="1" applyAlignment="1">
      <alignment horizontal="center" vertical="center" wrapText="1"/>
    </xf>
    <xf numFmtId="0" fontId="154" fillId="0" borderId="0" xfId="0" applyFont="1" applyFill="1" applyBorder="1" applyAlignment="1">
      <alignment horizontal="center" wrapText="1"/>
    </xf>
    <xf numFmtId="0" fontId="81" fillId="0" borderId="0" xfId="0" applyFont="1" applyAlignment="1">
      <alignment horizontal="left" wrapText="1"/>
    </xf>
    <xf numFmtId="2" fontId="81" fillId="0" borderId="0" xfId="0" applyNumberFormat="1" applyFont="1" applyAlignment="1">
      <alignment horizontal="right" wrapText="1"/>
    </xf>
    <xf numFmtId="0" fontId="81" fillId="0" borderId="0" xfId="0" applyFont="1" applyAlignment="1">
      <alignment horizontal="right" wrapText="1"/>
    </xf>
    <xf numFmtId="0" fontId="142" fillId="0" borderId="0" xfId="0" applyFont="1"/>
    <xf numFmtId="0" fontId="83" fillId="5" borderId="0" xfId="0" applyFont="1" applyFill="1" applyBorder="1" applyAlignment="1">
      <alignment horizontal="center"/>
    </xf>
    <xf numFmtId="49" fontId="83" fillId="5" borderId="0" xfId="0" applyNumberFormat="1" applyFont="1" applyFill="1" applyBorder="1" applyAlignment="1">
      <alignment horizontal="center" wrapText="1"/>
    </xf>
    <xf numFmtId="0" fontId="83" fillId="5" borderId="0" xfId="0" applyFont="1" applyFill="1" applyBorder="1" applyAlignment="1">
      <alignment horizontal="center" vertical="center" wrapText="1"/>
    </xf>
    <xf numFmtId="0" fontId="83" fillId="5" borderId="0" xfId="0" applyFont="1" applyFill="1" applyBorder="1" applyAlignment="1">
      <alignment vertical="center"/>
    </xf>
    <xf numFmtId="3" fontId="52" fillId="0" borderId="0" xfId="0" applyNumberFormat="1" applyFont="1" applyBorder="1" applyAlignment="1">
      <alignment horizontal="right"/>
    </xf>
    <xf numFmtId="3" fontId="52" fillId="0" borderId="0" xfId="0" applyNumberFormat="1" applyFont="1" applyAlignment="1">
      <alignment horizontal="left"/>
    </xf>
    <xf numFmtId="171" fontId="142" fillId="0" borderId="0" xfId="0" applyNumberFormat="1" applyFont="1" applyFill="1" applyBorder="1" applyAlignment="1">
      <alignment horizontal="left" vertical="center"/>
    </xf>
    <xf numFmtId="168" fontId="142" fillId="0" borderId="0" xfId="0" applyNumberFormat="1" applyFont="1" applyFill="1" applyBorder="1" applyAlignment="1">
      <alignment horizontal="left" vertical="center"/>
    </xf>
    <xf numFmtId="166" fontId="85" fillId="5" borderId="0" xfId="6" applyNumberFormat="1" applyFont="1" applyFill="1" applyBorder="1" applyAlignment="1">
      <alignment horizontal="left" vertical="center" wrapText="1"/>
    </xf>
    <xf numFmtId="0" fontId="142" fillId="5" borderId="0" xfId="6" applyFont="1" applyFill="1" applyBorder="1" applyAlignment="1">
      <alignment horizontal="left" vertical="center"/>
    </xf>
    <xf numFmtId="0" fontId="142" fillId="5" borderId="0" xfId="0" applyFont="1" applyFill="1" applyAlignment="1">
      <alignment horizontal="left" vertical="center"/>
    </xf>
    <xf numFmtId="181" fontId="81" fillId="0" borderId="0" xfId="8" applyNumberFormat="1" applyFont="1"/>
    <xf numFmtId="181" fontId="35" fillId="0" borderId="0" xfId="8" applyNumberFormat="1" applyFont="1"/>
    <xf numFmtId="181" fontId="35" fillId="5" borderId="0" xfId="8" applyNumberFormat="1" applyFont="1" applyFill="1" applyAlignment="1">
      <alignment horizontal="center"/>
    </xf>
    <xf numFmtId="10" fontId="35" fillId="0" borderId="0" xfId="8" applyNumberFormat="1" applyFont="1" applyAlignment="1">
      <alignment horizontal="center"/>
    </xf>
    <xf numFmtId="0" fontId="83" fillId="0" borderId="0" xfId="0" applyFont="1" applyAlignment="1">
      <alignment horizontal="center" vertical="center" wrapText="1"/>
    </xf>
    <xf numFmtId="0" fontId="137" fillId="0" borderId="0" xfId="0" applyFont="1" applyAlignment="1">
      <alignment horizontal="left" vertical="center"/>
    </xf>
    <xf numFmtId="2" fontId="60" fillId="0" borderId="0" xfId="0" applyNumberFormat="1" applyFont="1" applyAlignment="1">
      <alignment horizontal="center" vertical="center"/>
    </xf>
    <xf numFmtId="0" fontId="81" fillId="0" borderId="0" xfId="0" applyFont="1" applyAlignment="1">
      <alignment horizontal="left" vertical="center" wrapText="1"/>
    </xf>
    <xf numFmtId="0" fontId="83" fillId="5" borderId="0" xfId="0" applyFont="1" applyFill="1" applyAlignment="1">
      <alignment horizontal="center" vertical="center" wrapText="1"/>
    </xf>
    <xf numFmtId="0" fontId="83" fillId="0" borderId="0" xfId="0" applyFont="1" applyAlignment="1">
      <alignment horizontal="center" vertical="center"/>
    </xf>
    <xf numFmtId="10" fontId="85" fillId="5" borderId="0" xfId="0" applyNumberFormat="1" applyFont="1" applyFill="1" applyAlignment="1">
      <alignment horizontal="center" vertical="center"/>
    </xf>
    <xf numFmtId="0" fontId="26" fillId="0" borderId="0" xfId="0" applyFont="1" applyAlignment="1">
      <alignment vertical="center" wrapText="1"/>
    </xf>
    <xf numFmtId="0" fontId="28" fillId="0" borderId="0" xfId="0" applyFont="1"/>
    <xf numFmtId="0" fontId="124" fillId="0" borderId="0" xfId="7" applyFont="1" applyAlignment="1" applyProtection="1"/>
    <xf numFmtId="0" fontId="33" fillId="0" borderId="0" xfId="7" applyAlignment="1" applyProtection="1"/>
    <xf numFmtId="0" fontId="52" fillId="0" borderId="0" xfId="0" applyFont="1" applyAlignment="1">
      <alignment horizontal="center" vertical="center"/>
    </xf>
    <xf numFmtId="0" fontId="81" fillId="0" borderId="0" xfId="0" applyFont="1" applyAlignment="1">
      <alignment horizontal="center" vertical="center"/>
    </xf>
    <xf numFmtId="0" fontId="42" fillId="5" borderId="0" xfId="6" applyFont="1" applyFill="1" applyBorder="1" applyAlignment="1">
      <alignment horizontal="left" vertical="center" wrapText="1"/>
    </xf>
    <xf numFmtId="0" fontId="116" fillId="5" borderId="0" xfId="6" applyFont="1" applyFill="1" applyBorder="1" applyAlignment="1">
      <alignment horizontal="left" vertical="center" wrapText="1"/>
    </xf>
    <xf numFmtId="0" fontId="85" fillId="5" borderId="0" xfId="0" applyFont="1" applyFill="1" applyAlignment="1">
      <alignment horizontal="left" vertical="center" wrapText="1"/>
    </xf>
    <xf numFmtId="10" fontId="85" fillId="5" borderId="0" xfId="0" applyNumberFormat="1" applyFont="1" applyFill="1" applyAlignment="1">
      <alignment horizontal="center" vertical="center" wrapText="1"/>
    </xf>
    <xf numFmtId="10" fontId="84" fillId="5" borderId="0" xfId="0" applyNumberFormat="1" applyFont="1" applyFill="1" applyAlignment="1">
      <alignment horizontal="center" vertical="center" wrapText="1"/>
    </xf>
    <xf numFmtId="0" fontId="0" fillId="0" borderId="0" xfId="0" applyFont="1" applyAlignment="1">
      <alignment vertical="center"/>
    </xf>
    <xf numFmtId="10" fontId="35" fillId="0" borderId="0" xfId="0" applyNumberFormat="1" applyFont="1" applyAlignment="1">
      <alignment horizontal="center" vertical="center" wrapText="1"/>
    </xf>
    <xf numFmtId="10" fontId="148" fillId="0" borderId="0" xfId="0" applyNumberFormat="1" applyFont="1" applyAlignment="1">
      <alignment horizontal="center" vertical="center" wrapText="1"/>
    </xf>
    <xf numFmtId="0" fontId="35" fillId="0" borderId="15" xfId="0" applyFont="1" applyBorder="1" applyAlignment="1">
      <alignment vertical="center" wrapText="1"/>
    </xf>
    <xf numFmtId="10" fontId="35" fillId="0" borderId="15" xfId="0" applyNumberFormat="1" applyFont="1" applyBorder="1" applyAlignment="1">
      <alignment horizontal="center" vertical="center" wrapText="1"/>
    </xf>
    <xf numFmtId="0" fontId="51" fillId="0" borderId="0" xfId="0" applyFont="1" applyAlignment="1">
      <alignment vertical="center"/>
    </xf>
    <xf numFmtId="0" fontId="51" fillId="5" borderId="0" xfId="0" applyFont="1" applyFill="1" applyAlignment="1">
      <alignment vertical="center"/>
    </xf>
    <xf numFmtId="0" fontId="137" fillId="5" borderId="0" xfId="0" applyFont="1" applyFill="1" applyAlignment="1">
      <alignment vertical="center"/>
    </xf>
    <xf numFmtId="0" fontId="51" fillId="5" borderId="0" xfId="0" applyFont="1" applyFill="1" applyAlignment="1">
      <alignment vertical="center" wrapText="1"/>
    </xf>
    <xf numFmtId="0" fontId="32" fillId="5" borderId="0" xfId="0" applyFont="1" applyFill="1" applyAlignment="1">
      <alignment vertical="center"/>
    </xf>
    <xf numFmtId="10" fontId="49" fillId="5" borderId="0" xfId="0" applyNumberFormat="1" applyFont="1" applyFill="1" applyBorder="1" applyAlignment="1">
      <alignment horizontal="center" vertical="center" wrapText="1"/>
    </xf>
    <xf numFmtId="10" fontId="0" fillId="5" borderId="0" xfId="0" applyNumberFormat="1" applyFont="1" applyFill="1" applyBorder="1" applyAlignment="1">
      <alignment horizontal="center" vertical="center" wrapText="1"/>
    </xf>
    <xf numFmtId="10" fontId="0" fillId="5" borderId="0" xfId="8" applyNumberFormat="1" applyFont="1" applyFill="1" applyBorder="1" applyAlignment="1">
      <alignment horizontal="center" vertical="center" wrapText="1"/>
    </xf>
    <xf numFmtId="10" fontId="0" fillId="5" borderId="0" xfId="0" applyNumberFormat="1" applyFont="1" applyFill="1" applyBorder="1"/>
    <xf numFmtId="10" fontId="84" fillId="5" borderId="0" xfId="0" applyNumberFormat="1" applyFont="1" applyFill="1" applyBorder="1" applyAlignment="1">
      <alignment horizontal="right" vertical="center"/>
    </xf>
    <xf numFmtId="10" fontId="55" fillId="5" borderId="0" xfId="0" applyNumberFormat="1" applyFont="1" applyFill="1" applyBorder="1" applyAlignment="1">
      <alignment horizontal="center" wrapText="1"/>
    </xf>
    <xf numFmtId="2" fontId="52" fillId="0" borderId="0" xfId="0" applyNumberFormat="1" applyFont="1" applyAlignment="1">
      <alignment horizontal="left" vertical="center"/>
    </xf>
    <xf numFmtId="10" fontId="52" fillId="0" borderId="0" xfId="0" applyNumberFormat="1" applyFont="1" applyAlignment="1">
      <alignment horizontal="left" vertical="center"/>
    </xf>
    <xf numFmtId="1" fontId="52" fillId="0" borderId="0" xfId="0" quotePrefix="1" applyNumberFormat="1" applyFont="1" applyAlignment="1">
      <alignment horizontal="right" vertical="center"/>
    </xf>
    <xf numFmtId="1" fontId="52" fillId="0" borderId="0" xfId="0" applyNumberFormat="1" applyFont="1" applyAlignment="1">
      <alignment horizontal="left"/>
    </xf>
    <xf numFmtId="181" fontId="52" fillId="0" borderId="0" xfId="0" applyNumberFormat="1" applyFont="1" applyAlignment="1">
      <alignment horizontal="left"/>
    </xf>
    <xf numFmtId="0" fontId="52" fillId="0" borderId="0" xfId="0" applyFont="1" applyAlignment="1">
      <alignment horizontal="center" vertical="center"/>
    </xf>
    <xf numFmtId="0" fontId="81" fillId="0" borderId="15" xfId="0" applyFont="1" applyBorder="1" applyAlignment="1">
      <alignment vertical="center" wrapText="1"/>
    </xf>
    <xf numFmtId="0" fontId="48" fillId="5" borderId="0" xfId="0" applyFont="1" applyFill="1" applyBorder="1" applyAlignment="1">
      <alignment horizontal="center" vertical="center" wrapText="1"/>
    </xf>
    <xf numFmtId="0" fontId="48" fillId="5" borderId="0" xfId="0" applyFont="1" applyFill="1" applyBorder="1" applyAlignment="1">
      <alignment horizontal="center" wrapText="1"/>
    </xf>
    <xf numFmtId="0" fontId="81" fillId="0" borderId="0" xfId="0" applyFont="1" applyBorder="1" applyAlignment="1">
      <alignment horizontal="left" vertical="center" wrapText="1"/>
    </xf>
    <xf numFmtId="0" fontId="35" fillId="0" borderId="0" xfId="0" applyFont="1" applyAlignment="1">
      <alignment horizontal="center" vertical="center"/>
    </xf>
    <xf numFmtId="3" fontId="42" fillId="5" borderId="0" xfId="0" applyNumberFormat="1" applyFont="1" applyFill="1" applyAlignment="1">
      <alignment horizontal="center"/>
    </xf>
    <xf numFmtId="0" fontId="83" fillId="5" borderId="0" xfId="0" applyFont="1" applyFill="1" applyAlignment="1">
      <alignment horizontal="center" vertical="center" wrapText="1"/>
    </xf>
    <xf numFmtId="0" fontId="42" fillId="5" borderId="0" xfId="0" applyFont="1" applyFill="1" applyAlignment="1">
      <alignment horizontal="center"/>
    </xf>
    <xf numFmtId="0" fontId="81" fillId="0" borderId="0" xfId="0" applyFont="1" applyAlignment="1">
      <alignment horizontal="center" vertical="center"/>
    </xf>
    <xf numFmtId="0" fontId="35" fillId="6" borderId="0" xfId="0" applyFont="1" applyFill="1" applyAlignment="1"/>
    <xf numFmtId="2" fontId="35" fillId="0" borderId="0" xfId="0" applyNumberFormat="1" applyFont="1" applyAlignment="1">
      <alignment horizontal="center" vertical="center"/>
    </xf>
    <xf numFmtId="0" fontId="35" fillId="0" borderId="0" xfId="0" applyFont="1" applyAlignment="1">
      <alignment horizontal="center"/>
    </xf>
    <xf numFmtId="0" fontId="55" fillId="5" borderId="0" xfId="0" applyFont="1" applyFill="1" applyBorder="1" applyAlignment="1">
      <alignment horizontal="center"/>
    </xf>
    <xf numFmtId="0" fontId="55" fillId="5" borderId="0" xfId="0" applyFont="1" applyFill="1" applyBorder="1" applyAlignment="1">
      <alignment horizontal="left"/>
    </xf>
    <xf numFmtId="0" fontId="55" fillId="5" borderId="0" xfId="0" applyFont="1" applyFill="1" applyBorder="1" applyAlignment="1"/>
    <xf numFmtId="0" fontId="81" fillId="0" borderId="0" xfId="0" applyFont="1" applyFill="1" applyBorder="1" applyAlignment="1">
      <alignment horizontal="center" vertical="center"/>
    </xf>
    <xf numFmtId="171" fontId="35" fillId="0" borderId="0" xfId="0" applyNumberFormat="1" applyFont="1" applyFill="1" applyBorder="1" applyAlignment="1">
      <alignment horizontal="left" vertical="center"/>
    </xf>
    <xf numFmtId="0" fontId="35" fillId="0" borderId="0" xfId="0" applyFont="1" applyAlignment="1">
      <alignment horizontal="left" vertical="center"/>
    </xf>
    <xf numFmtId="166" fontId="42" fillId="5" borderId="0" xfId="0" applyNumberFormat="1" applyFont="1" applyFill="1" applyBorder="1" applyAlignment="1">
      <alignment horizontal="center" vertical="center"/>
    </xf>
    <xf numFmtId="0" fontId="35" fillId="0" borderId="0" xfId="0" applyFont="1" applyAlignment="1"/>
    <xf numFmtId="0" fontId="156" fillId="0" borderId="0" xfId="7" applyFont="1" applyAlignment="1" applyProtection="1"/>
    <xf numFmtId="0" fontId="157" fillId="0" borderId="0" xfId="0" applyFont="1"/>
    <xf numFmtId="0" fontId="155" fillId="0" borderId="0" xfId="0" applyFont="1"/>
    <xf numFmtId="0" fontId="124" fillId="0" borderId="0" xfId="7" applyFont="1" applyAlignment="1" applyProtection="1">
      <alignment horizontal="left"/>
    </xf>
    <xf numFmtId="0" fontId="26" fillId="0" borderId="0" xfId="0" applyFont="1" applyAlignment="1">
      <alignment vertical="center"/>
    </xf>
    <xf numFmtId="188" fontId="42" fillId="5" borderId="0" xfId="5" applyNumberFormat="1" applyFont="1" applyFill="1" applyBorder="1" applyAlignment="1">
      <alignment horizontal="center" vertical="center"/>
    </xf>
    <xf numFmtId="166" fontId="42" fillId="5" borderId="0" xfId="6" applyNumberFormat="1" applyFont="1" applyFill="1" applyBorder="1" applyAlignment="1">
      <alignment vertical="center" wrapText="1"/>
    </xf>
    <xf numFmtId="0" fontId="142" fillId="5" borderId="0" xfId="6" applyFont="1" applyFill="1" applyBorder="1"/>
    <xf numFmtId="165" fontId="115" fillId="5" borderId="0" xfId="5" applyNumberFormat="1" applyFont="1" applyFill="1" applyBorder="1" applyAlignment="1">
      <alignment horizontal="center"/>
    </xf>
    <xf numFmtId="0" fontId="115" fillId="5" borderId="0" xfId="4" applyFont="1" applyFill="1" applyBorder="1" applyAlignment="1">
      <alignment horizontal="center"/>
    </xf>
    <xf numFmtId="165" fontId="115" fillId="5" borderId="0" xfId="1" applyNumberFormat="1" applyFont="1" applyFill="1" applyBorder="1" applyAlignment="1">
      <alignment horizontal="center"/>
    </xf>
    <xf numFmtId="166" fontId="115" fillId="5" borderId="0" xfId="4" applyNumberFormat="1" applyFont="1" applyFill="1" applyBorder="1" applyAlignment="1">
      <alignment horizontal="center"/>
    </xf>
    <xf numFmtId="49" fontId="142" fillId="5" borderId="0" xfId="4" applyNumberFormat="1" applyFont="1" applyFill="1" applyBorder="1" applyAlignment="1">
      <alignment horizontal="center"/>
    </xf>
    <xf numFmtId="166" fontId="142" fillId="5" borderId="0" xfId="4" applyNumberFormat="1" applyFont="1" applyFill="1" applyBorder="1" applyAlignment="1">
      <alignment horizontal="center"/>
    </xf>
    <xf numFmtId="0" fontId="115" fillId="5" borderId="0" xfId="0" applyFont="1" applyFill="1" applyBorder="1" applyAlignment="1">
      <alignment horizontal="left"/>
    </xf>
    <xf numFmtId="0" fontId="115" fillId="5" borderId="0" xfId="0" applyFont="1" applyFill="1" applyBorder="1" applyAlignment="1"/>
    <xf numFmtId="166" fontId="115" fillId="5" borderId="0" xfId="0" applyNumberFormat="1" applyFont="1" applyFill="1" applyAlignment="1">
      <alignment horizontal="center"/>
    </xf>
    <xf numFmtId="166" fontId="115" fillId="5" borderId="0" xfId="4" applyNumberFormat="1" applyFont="1" applyFill="1" applyBorder="1" applyAlignment="1">
      <alignment horizontal="left"/>
    </xf>
    <xf numFmtId="166" fontId="115" fillId="5" borderId="0" xfId="0" applyNumberFormat="1" applyFont="1" applyFill="1" applyBorder="1"/>
    <xf numFmtId="166" fontId="115" fillId="5" borderId="0" xfId="0" applyNumberFormat="1" applyFont="1" applyFill="1"/>
    <xf numFmtId="166" fontId="115" fillId="5" borderId="0" xfId="5" applyNumberFormat="1" applyFont="1" applyFill="1" applyBorder="1" applyAlignment="1">
      <alignment horizontal="center"/>
    </xf>
    <xf numFmtId="166" fontId="115" fillId="5" borderId="0" xfId="6" applyNumberFormat="1" applyFont="1" applyFill="1" applyBorder="1" applyAlignment="1">
      <alignment horizontal="center"/>
    </xf>
    <xf numFmtId="166" fontId="115" fillId="5" borderId="0" xfId="1" applyNumberFormat="1" applyFont="1" applyFill="1" applyBorder="1" applyAlignment="1">
      <alignment horizontal="center"/>
    </xf>
    <xf numFmtId="167" fontId="115" fillId="5" borderId="0" xfId="0" applyNumberFormat="1" applyFont="1" applyFill="1" applyBorder="1" applyAlignment="1">
      <alignment horizontal="center"/>
    </xf>
    <xf numFmtId="166" fontId="115" fillId="5" borderId="0" xfId="4" applyNumberFormat="1" applyFont="1" applyFill="1" applyBorder="1"/>
    <xf numFmtId="166" fontId="142" fillId="5" borderId="0" xfId="5" applyNumberFormat="1" applyFont="1" applyFill="1" applyBorder="1" applyAlignment="1">
      <alignment horizontal="center"/>
    </xf>
    <xf numFmtId="166" fontId="142" fillId="5" borderId="0" xfId="6" applyNumberFormat="1" applyFont="1" applyFill="1" applyBorder="1" applyAlignment="1">
      <alignment horizontal="center"/>
    </xf>
    <xf numFmtId="166" fontId="115" fillId="5" borderId="0" xfId="6" applyNumberFormat="1" applyFont="1" applyFill="1" applyBorder="1"/>
    <xf numFmtId="166" fontId="115" fillId="5" borderId="0" xfId="1" applyNumberFormat="1" applyFont="1" applyFill="1" applyBorder="1"/>
    <xf numFmtId="166" fontId="115" fillId="5" borderId="0" xfId="0" applyNumberFormat="1" applyFont="1" applyFill="1" applyBorder="1" applyAlignment="1">
      <alignment horizontal="center"/>
    </xf>
    <xf numFmtId="0" fontId="115" fillId="5" borderId="0" xfId="6" applyFont="1" applyFill="1" applyBorder="1"/>
    <xf numFmtId="165" fontId="115" fillId="5" borderId="0" xfId="1" applyNumberFormat="1" applyFont="1" applyFill="1" applyBorder="1"/>
    <xf numFmtId="165" fontId="115" fillId="5" borderId="0" xfId="6" applyNumberFormat="1" applyFont="1" applyFill="1" applyBorder="1"/>
    <xf numFmtId="165" fontId="115" fillId="5" borderId="0" xfId="5" applyNumberFormat="1" applyFont="1" applyFill="1" applyBorder="1"/>
    <xf numFmtId="165" fontId="142" fillId="5" borderId="0" xfId="6" applyNumberFormat="1" applyFont="1" applyFill="1" applyBorder="1"/>
    <xf numFmtId="165" fontId="142" fillId="5" borderId="0" xfId="1" applyNumberFormat="1" applyFont="1" applyFill="1" applyBorder="1"/>
    <xf numFmtId="165" fontId="142" fillId="5" borderId="0" xfId="0" applyNumberFormat="1" applyFont="1" applyFill="1" applyBorder="1"/>
    <xf numFmtId="5" fontId="115" fillId="5" borderId="0" xfId="5" applyNumberFormat="1" applyFont="1" applyFill="1" applyBorder="1" applyAlignment="1">
      <alignment horizontal="center"/>
    </xf>
    <xf numFmtId="5" fontId="115" fillId="5" borderId="0" xfId="4" applyNumberFormat="1" applyFont="1" applyFill="1" applyBorder="1" applyAlignment="1">
      <alignment horizontal="center"/>
    </xf>
    <xf numFmtId="5" fontId="115" fillId="5" borderId="0" xfId="6" applyNumberFormat="1" applyFont="1" applyFill="1" applyBorder="1" applyAlignment="1">
      <alignment horizontal="center"/>
    </xf>
    <xf numFmtId="5" fontId="115" fillId="5" borderId="0" xfId="1" applyNumberFormat="1" applyFont="1" applyFill="1" applyBorder="1" applyAlignment="1">
      <alignment horizontal="center"/>
    </xf>
    <xf numFmtId="5" fontId="115" fillId="5" borderId="0" xfId="0" applyNumberFormat="1" applyFont="1" applyFill="1" applyBorder="1" applyAlignment="1">
      <alignment horizontal="center"/>
    </xf>
    <xf numFmtId="0" fontId="0" fillId="0" borderId="0" xfId="0"/>
    <xf numFmtId="0" fontId="35" fillId="4" borderId="0" xfId="0" applyFont="1" applyFill="1" applyBorder="1"/>
    <xf numFmtId="0" fontId="32" fillId="5" borderId="0" xfId="0" applyFont="1" applyFill="1" applyAlignment="1"/>
    <xf numFmtId="0" fontId="48" fillId="5" borderId="0" xfId="0" applyFont="1" applyFill="1" applyBorder="1" applyAlignment="1">
      <alignment horizontal="center" wrapText="1"/>
    </xf>
    <xf numFmtId="0" fontId="48" fillId="5" borderId="0" xfId="0" applyFont="1" applyFill="1" applyBorder="1" applyAlignment="1">
      <alignment horizontal="center" vertical="center" wrapText="1"/>
    </xf>
    <xf numFmtId="166" fontId="42" fillId="5" borderId="0" xfId="0" applyNumberFormat="1" applyFont="1" applyFill="1" applyBorder="1" applyAlignment="1">
      <alignment horizontal="center" vertical="center"/>
    </xf>
    <xf numFmtId="0" fontId="35" fillId="5" borderId="0" xfId="0" applyFont="1" applyFill="1" applyAlignment="1">
      <alignment wrapText="1"/>
    </xf>
    <xf numFmtId="0" fontId="84" fillId="0" borderId="0" xfId="0" applyFont="1" applyAlignment="1">
      <alignment wrapText="1"/>
    </xf>
    <xf numFmtId="10" fontId="35" fillId="5" borderId="0" xfId="0" applyNumberFormat="1" applyFont="1" applyFill="1" applyAlignment="1">
      <alignment horizontal="center" vertical="center" wrapText="1"/>
    </xf>
    <xf numFmtId="10" fontId="42" fillId="5" borderId="0" xfId="0" applyNumberFormat="1" applyFont="1" applyFill="1" applyBorder="1" applyAlignment="1">
      <alignment horizontal="right" vertical="center" wrapText="1"/>
    </xf>
    <xf numFmtId="0" fontId="55" fillId="5" borderId="0" xfId="0" applyFont="1" applyFill="1" applyAlignment="1">
      <alignment horizontal="right" vertical="center" wrapText="1"/>
    </xf>
    <xf numFmtId="0" fontId="32" fillId="5" borderId="0" xfId="0" applyFont="1" applyFill="1" applyAlignment="1">
      <alignment wrapText="1"/>
    </xf>
    <xf numFmtId="0" fontId="0" fillId="5" borderId="0" xfId="0" applyFont="1" applyFill="1" applyAlignment="1">
      <alignment wrapText="1"/>
    </xf>
    <xf numFmtId="0" fontId="0" fillId="5" borderId="0" xfId="0" applyFill="1" applyAlignment="1">
      <alignment wrapText="1"/>
    </xf>
    <xf numFmtId="0" fontId="51" fillId="5" borderId="0" xfId="0" applyFont="1" applyFill="1" applyAlignment="1">
      <alignment wrapText="1"/>
    </xf>
    <xf numFmtId="0" fontId="51" fillId="5" borderId="0" xfId="0" applyFont="1" applyFill="1" applyAlignment="1">
      <alignment horizontal="center" wrapText="1"/>
    </xf>
    <xf numFmtId="0" fontId="115" fillId="0" borderId="0" xfId="0" applyFont="1" applyBorder="1" applyAlignment="1">
      <alignment horizontal="left" vertical="center" wrapText="1"/>
    </xf>
    <xf numFmtId="10" fontId="115" fillId="5" borderId="0" xfId="0" applyNumberFormat="1" applyFont="1" applyFill="1" applyBorder="1" applyAlignment="1">
      <alignment horizontal="center" vertical="center"/>
    </xf>
    <xf numFmtId="10" fontId="115" fillId="5" borderId="0" xfId="0" applyNumberFormat="1" applyFont="1" applyFill="1" applyBorder="1" applyAlignment="1">
      <alignment horizontal="left" vertical="center" wrapText="1"/>
    </xf>
    <xf numFmtId="10" fontId="115" fillId="5" borderId="0" xfId="0" quotePrefix="1" applyNumberFormat="1" applyFont="1" applyFill="1" applyBorder="1" applyAlignment="1">
      <alignment horizontal="center" vertical="center" wrapText="1"/>
    </xf>
    <xf numFmtId="10" fontId="170" fillId="5" borderId="0" xfId="0" applyNumberFormat="1" applyFont="1" applyFill="1" applyBorder="1" applyAlignment="1">
      <alignment horizontal="right" vertical="center"/>
    </xf>
    <xf numFmtId="0" fontId="115" fillId="5" borderId="0" xfId="0" applyFont="1" applyFill="1" applyAlignment="1">
      <alignment wrapText="1"/>
    </xf>
    <xf numFmtId="0" fontId="171" fillId="0" borderId="0" xfId="0" applyFont="1" applyAlignment="1">
      <alignment horizontal="left"/>
    </xf>
    <xf numFmtId="3" fontId="153" fillId="0" borderId="0" xfId="0" applyNumberFormat="1" applyFont="1" applyAlignment="1">
      <alignment horizontal="left"/>
    </xf>
    <xf numFmtId="10" fontId="115" fillId="5" borderId="0" xfId="0" applyNumberFormat="1" applyFont="1" applyFill="1" applyBorder="1" applyAlignment="1">
      <alignment horizontal="center" vertical="center" wrapText="1"/>
    </xf>
    <xf numFmtId="0" fontId="142" fillId="0" borderId="0" xfId="0" applyFont="1" applyBorder="1" applyAlignment="1">
      <alignment horizontal="left" vertical="center" wrapText="1"/>
    </xf>
    <xf numFmtId="10" fontId="115" fillId="5" borderId="0" xfId="0" applyNumberFormat="1" applyFont="1" applyFill="1" applyAlignment="1">
      <alignment horizontal="center" vertical="center" wrapText="1"/>
    </xf>
    <xf numFmtId="3" fontId="115" fillId="5" borderId="0" xfId="0" quotePrefix="1" applyNumberFormat="1" applyFont="1" applyFill="1" applyBorder="1" applyAlignment="1">
      <alignment horizontal="center" vertical="center" wrapText="1"/>
    </xf>
    <xf numFmtId="3" fontId="115" fillId="5" borderId="0" xfId="0" applyNumberFormat="1" applyFont="1" applyFill="1" applyBorder="1" applyAlignment="1">
      <alignment horizontal="center" vertical="center" wrapText="1"/>
    </xf>
    <xf numFmtId="3" fontId="42" fillId="5" borderId="0" xfId="0" applyNumberFormat="1" applyFont="1" applyFill="1" applyBorder="1" applyAlignment="1">
      <alignment horizontal="center" vertical="center" wrapText="1"/>
    </xf>
    <xf numFmtId="3" fontId="170" fillId="5" borderId="0" xfId="0" applyNumberFormat="1" applyFont="1" applyFill="1" applyBorder="1" applyAlignment="1">
      <alignment horizontal="center" vertical="center" wrapText="1"/>
    </xf>
    <xf numFmtId="3" fontId="84" fillId="0" borderId="0" xfId="0" applyNumberFormat="1" applyFont="1" applyAlignment="1">
      <alignment horizontal="center" vertical="center" wrapText="1"/>
    </xf>
    <xf numFmtId="3" fontId="0" fillId="0" borderId="0" xfId="0" applyNumberFormat="1" applyAlignment="1">
      <alignment horizontal="center" vertical="center" wrapText="1"/>
    </xf>
    <xf numFmtId="3" fontId="142" fillId="0" borderId="0" xfId="0" applyNumberFormat="1" applyFont="1" applyBorder="1" applyAlignment="1">
      <alignment horizontal="center" vertical="center" wrapText="1"/>
    </xf>
    <xf numFmtId="10" fontId="142" fillId="5" borderId="0" xfId="0" quotePrefix="1" applyNumberFormat="1" applyFont="1" applyFill="1" applyBorder="1" applyAlignment="1">
      <alignment horizontal="center" vertical="center" wrapText="1"/>
    </xf>
    <xf numFmtId="10" fontId="172" fillId="5" borderId="0" xfId="0" applyNumberFormat="1" applyFont="1" applyFill="1" applyBorder="1" applyAlignment="1">
      <alignment horizontal="center" vertical="center" wrapText="1"/>
    </xf>
    <xf numFmtId="0" fontId="171" fillId="0" borderId="0" xfId="0" applyFont="1" applyAlignment="1">
      <alignment horizontal="center"/>
    </xf>
    <xf numFmtId="0" fontId="47" fillId="5" borderId="0" xfId="0" applyFont="1" applyFill="1" applyBorder="1"/>
    <xf numFmtId="0" fontId="47" fillId="5" borderId="0" xfId="0" applyFont="1" applyFill="1"/>
    <xf numFmtId="0" fontId="52" fillId="0" borderId="0" xfId="0" applyFont="1" applyAlignment="1">
      <alignment vertical="center"/>
    </xf>
    <xf numFmtId="186" fontId="52" fillId="0" borderId="0" xfId="0" applyNumberFormat="1" applyFont="1" applyAlignment="1">
      <alignment horizontal="left" vertical="center"/>
    </xf>
    <xf numFmtId="186" fontId="52" fillId="0" borderId="0" xfId="0" applyNumberFormat="1" applyFont="1" applyAlignment="1">
      <alignment horizontal="center"/>
    </xf>
    <xf numFmtId="181" fontId="52" fillId="0" borderId="0" xfId="0" applyNumberFormat="1" applyFont="1" applyAlignment="1">
      <alignment vertical="center"/>
    </xf>
    <xf numFmtId="1" fontId="81" fillId="0" borderId="0" xfId="0" applyNumberFormat="1" applyFont="1" applyAlignment="1">
      <alignment horizontal="center"/>
    </xf>
    <xf numFmtId="2" fontId="35" fillId="0" borderId="0" xfId="0" quotePrefix="1" applyNumberFormat="1" applyFont="1" applyAlignment="1">
      <alignment horizontal="center" vertical="center"/>
    </xf>
    <xf numFmtId="10" fontId="35" fillId="0" borderId="0" xfId="0" quotePrefix="1" applyNumberFormat="1" applyFont="1" applyAlignment="1">
      <alignment horizontal="center" vertical="center"/>
    </xf>
    <xf numFmtId="181" fontId="35" fillId="0" borderId="0" xfId="0" quotePrefix="1" applyNumberFormat="1" applyFont="1" applyAlignment="1">
      <alignment horizontal="center" vertical="center"/>
    </xf>
    <xf numFmtId="1" fontId="35" fillId="0" borderId="0" xfId="0" applyNumberFormat="1" applyFont="1" applyAlignment="1">
      <alignment horizontal="center" vertical="center"/>
    </xf>
    <xf numFmtId="0" fontId="116" fillId="5" borderId="0" xfId="0" applyFont="1" applyFill="1" applyBorder="1" applyAlignment="1">
      <alignment horizontal="center" vertical="center"/>
    </xf>
    <xf numFmtId="0" fontId="81" fillId="0" borderId="0" xfId="0" applyFont="1" applyAlignment="1">
      <alignment vertical="center"/>
    </xf>
    <xf numFmtId="0" fontId="89" fillId="5" borderId="0" xfId="0" applyFont="1" applyFill="1" applyBorder="1" applyAlignment="1">
      <alignment horizontal="center" vertical="center" wrapText="1"/>
    </xf>
    <xf numFmtId="0" fontId="89" fillId="5" borderId="0" xfId="0" applyFont="1" applyFill="1" applyBorder="1" applyAlignment="1">
      <alignment horizontal="center" vertical="center"/>
    </xf>
    <xf numFmtId="1" fontId="52" fillId="0" borderId="0" xfId="0" applyNumberFormat="1" applyFont="1" applyAlignment="1">
      <alignment horizontal="center" vertical="center"/>
    </xf>
    <xf numFmtId="181" fontId="111" fillId="0" borderId="0" xfId="8" applyNumberFormat="1" applyFont="1"/>
    <xf numFmtId="181" fontId="111" fillId="5" borderId="0" xfId="8" applyNumberFormat="1" applyFont="1" applyFill="1" applyAlignment="1">
      <alignment horizontal="center"/>
    </xf>
    <xf numFmtId="0" fontId="111" fillId="5" borderId="0" xfId="0" applyFont="1" applyFill="1" applyAlignment="1">
      <alignment horizontal="center"/>
    </xf>
    <xf numFmtId="0" fontId="111" fillId="5" borderId="0" xfId="0" applyFont="1" applyFill="1"/>
    <xf numFmtId="0" fontId="111" fillId="5" borderId="0" xfId="0" applyFont="1" applyFill="1" applyBorder="1"/>
    <xf numFmtId="0" fontId="173" fillId="5" borderId="0" xfId="0" applyFont="1" applyFill="1" applyBorder="1" applyAlignment="1">
      <alignment vertical="center"/>
    </xf>
    <xf numFmtId="0" fontId="111" fillId="5" borderId="0" xfId="0" applyFont="1" applyFill="1" applyBorder="1" applyAlignment="1">
      <alignment horizontal="center"/>
    </xf>
    <xf numFmtId="0" fontId="83" fillId="0" borderId="0" xfId="0" applyFont="1" applyAlignment="1">
      <alignment vertical="center" wrapText="1"/>
    </xf>
    <xf numFmtId="2" fontId="52" fillId="0" borderId="0" xfId="0" applyNumberFormat="1" applyFont="1" applyAlignment="1">
      <alignment horizontal="right" vertical="center"/>
    </xf>
    <xf numFmtId="10" fontId="52" fillId="0" borderId="0" xfId="0" applyNumberFormat="1" applyFont="1" applyAlignment="1">
      <alignment horizontal="right" vertical="center"/>
    </xf>
    <xf numFmtId="181" fontId="35" fillId="0" borderId="0" xfId="0" applyNumberFormat="1" applyFont="1" applyAlignment="1">
      <alignment horizontal="center" vertical="center"/>
    </xf>
    <xf numFmtId="1" fontId="35" fillId="0" borderId="0" xfId="0" quotePrefix="1" applyNumberFormat="1" applyFont="1" applyAlignment="1">
      <alignment horizontal="center" vertical="center"/>
    </xf>
    <xf numFmtId="0" fontId="55" fillId="0" borderId="0" xfId="0" applyFont="1" applyAlignment="1">
      <alignment vertical="center"/>
    </xf>
    <xf numFmtId="3" fontId="35" fillId="0" borderId="0" xfId="0" quotePrefix="1" applyNumberFormat="1" applyFont="1" applyAlignment="1">
      <alignment horizontal="center" vertical="center"/>
    </xf>
    <xf numFmtId="49" fontId="81" fillId="0" borderId="0" xfId="0" applyNumberFormat="1" applyFont="1" applyAlignment="1">
      <alignment horizontal="center"/>
    </xf>
    <xf numFmtId="49" fontId="35" fillId="0" borderId="0" xfId="0" applyNumberFormat="1" applyFont="1" applyAlignment="1">
      <alignment horizontal="center" wrapText="1"/>
    </xf>
    <xf numFmtId="49" fontId="35" fillId="0" borderId="0" xfId="0" applyNumberFormat="1" applyFont="1" applyAlignment="1">
      <alignment horizontal="center"/>
    </xf>
    <xf numFmtId="0" fontId="35" fillId="0" borderId="0" xfId="0" applyFont="1" applyAlignment="1">
      <alignment horizontal="center" wrapText="1"/>
    </xf>
    <xf numFmtId="10" fontId="174" fillId="0" borderId="0" xfId="0" applyNumberFormat="1" applyFont="1" applyAlignment="1">
      <alignment horizontal="center"/>
    </xf>
    <xf numFmtId="3" fontId="35" fillId="0" borderId="0" xfId="8" applyNumberFormat="1" applyFont="1" applyAlignment="1">
      <alignment horizontal="center"/>
    </xf>
    <xf numFmtId="0" fontId="81" fillId="0" borderId="0" xfId="0" applyFont="1" applyAlignment="1">
      <alignment horizontal="left" vertical="top"/>
    </xf>
    <xf numFmtId="3" fontId="52" fillId="0" borderId="0" xfId="0" applyNumberFormat="1" applyFont="1" applyAlignment="1">
      <alignment horizontal="right"/>
    </xf>
    <xf numFmtId="0" fontId="116" fillId="0" borderId="0" xfId="0" applyFont="1" applyAlignment="1">
      <alignment horizontal="left" vertical="top"/>
    </xf>
    <xf numFmtId="1" fontId="55" fillId="0" borderId="0" xfId="0" applyNumberFormat="1" applyFont="1" applyAlignment="1">
      <alignment horizontal="center"/>
    </xf>
    <xf numFmtId="10" fontId="55" fillId="0" borderId="0" xfId="8" applyNumberFormat="1" applyFont="1" applyAlignment="1">
      <alignment horizontal="center"/>
    </xf>
    <xf numFmtId="181" fontId="55" fillId="5" borderId="0" xfId="8" applyNumberFormat="1" applyFont="1" applyFill="1" applyAlignment="1">
      <alignment horizontal="center"/>
    </xf>
    <xf numFmtId="3" fontId="32" fillId="0" borderId="0" xfId="0" applyNumberFormat="1" applyFont="1"/>
    <xf numFmtId="0" fontId="42" fillId="5" borderId="0" xfId="0" applyFont="1" applyFill="1" applyProtection="1">
      <protection hidden="1"/>
    </xf>
    <xf numFmtId="3" fontId="51" fillId="0" borderId="0" xfId="0" applyNumberFormat="1" applyFont="1"/>
    <xf numFmtId="0" fontId="174" fillId="5" borderId="0" xfId="0" applyFont="1" applyFill="1"/>
    <xf numFmtId="0" fontId="174" fillId="5" borderId="0" xfId="0" applyFont="1" applyFill="1" applyAlignment="1">
      <alignment horizontal="center"/>
    </xf>
    <xf numFmtId="3" fontId="174" fillId="5" borderId="0" xfId="0" applyNumberFormat="1" applyFont="1" applyFill="1" applyAlignment="1">
      <alignment horizontal="center"/>
    </xf>
    <xf numFmtId="168" fontId="174" fillId="5" borderId="0" xfId="0" applyNumberFormat="1" applyFont="1" applyFill="1" applyAlignment="1">
      <alignment horizontal="center"/>
    </xf>
    <xf numFmtId="10" fontId="174" fillId="5" borderId="0" xfId="0" applyNumberFormat="1" applyFont="1" applyFill="1" applyAlignment="1">
      <alignment horizontal="center"/>
    </xf>
    <xf numFmtId="0" fontId="175" fillId="5" borderId="0" xfId="0" applyFont="1" applyFill="1"/>
    <xf numFmtId="0" fontId="175" fillId="0" borderId="0" xfId="0" applyFont="1"/>
    <xf numFmtId="1" fontId="42" fillId="0" borderId="0" xfId="0" applyNumberFormat="1" applyFont="1" applyAlignment="1">
      <alignment horizontal="center"/>
    </xf>
    <xf numFmtId="10" fontId="42" fillId="0" borderId="0" xfId="8" applyNumberFormat="1" applyFont="1" applyAlignment="1">
      <alignment horizontal="center"/>
    </xf>
    <xf numFmtId="181" fontId="42" fillId="5" borderId="0" xfId="8" applyNumberFormat="1" applyFont="1" applyFill="1" applyAlignment="1">
      <alignment horizontal="center"/>
    </xf>
    <xf numFmtId="0" fontId="125" fillId="5" borderId="0" xfId="0" applyFont="1" applyFill="1" applyAlignment="1">
      <alignment horizontal="center"/>
    </xf>
    <xf numFmtId="3" fontId="125" fillId="5" borderId="0" xfId="0" applyNumberFormat="1" applyFont="1" applyFill="1" applyAlignment="1">
      <alignment horizontal="center"/>
    </xf>
    <xf numFmtId="168" fontId="125" fillId="5" borderId="0" xfId="0" applyNumberFormat="1" applyFont="1" applyFill="1" applyAlignment="1">
      <alignment horizontal="center"/>
    </xf>
    <xf numFmtId="10" fontId="125" fillId="5" borderId="0" xfId="0" applyNumberFormat="1" applyFont="1" applyFill="1" applyAlignment="1">
      <alignment horizontal="center"/>
    </xf>
    <xf numFmtId="3" fontId="35" fillId="5" borderId="0" xfId="0" applyNumberFormat="1" applyFont="1" applyFill="1"/>
    <xf numFmtId="1" fontId="174" fillId="0" borderId="0" xfId="0" applyNumberFormat="1" applyFont="1" applyAlignment="1">
      <alignment horizontal="center"/>
    </xf>
    <xf numFmtId="10" fontId="174" fillId="0" borderId="0" xfId="8" applyNumberFormat="1" applyFont="1" applyAlignment="1">
      <alignment horizontal="center"/>
    </xf>
    <xf numFmtId="181" fontId="174" fillId="5" borderId="0" xfId="8" applyNumberFormat="1" applyFont="1" applyFill="1" applyAlignment="1">
      <alignment horizontal="center"/>
    </xf>
    <xf numFmtId="3" fontId="35" fillId="0" borderId="0" xfId="0" applyNumberFormat="1" applyFont="1" applyAlignment="1">
      <alignment horizontal="center" wrapText="1"/>
    </xf>
    <xf numFmtId="3" fontId="42" fillId="0" borderId="0" xfId="8" applyNumberFormat="1" applyFont="1" applyAlignment="1">
      <alignment horizontal="center"/>
    </xf>
    <xf numFmtId="10" fontId="115" fillId="0" borderId="0" xfId="0" applyNumberFormat="1" applyFont="1" applyAlignment="1">
      <alignment horizontal="center"/>
    </xf>
    <xf numFmtId="166" fontId="35" fillId="0" borderId="0" xfId="0" applyNumberFormat="1" applyFont="1" applyFill="1" applyBorder="1" applyAlignment="1">
      <alignment horizontal="center"/>
    </xf>
    <xf numFmtId="166" fontId="83" fillId="0" borderId="0" xfId="0" applyNumberFormat="1" applyFont="1" applyAlignment="1">
      <alignment wrapText="1"/>
    </xf>
    <xf numFmtId="166" fontId="0" fillId="0" borderId="0" xfId="0" applyNumberFormat="1" applyFont="1" applyFill="1"/>
    <xf numFmtId="166" fontId="0" fillId="0" borderId="0" xfId="0" applyNumberFormat="1" applyFont="1"/>
    <xf numFmtId="166" fontId="35" fillId="5" borderId="0" xfId="0" applyNumberFormat="1" applyFont="1" applyFill="1" applyBorder="1" applyAlignment="1">
      <alignment horizontal="center"/>
    </xf>
    <xf numFmtId="184" fontId="35" fillId="0" borderId="0" xfId="0" applyNumberFormat="1" applyFont="1" applyBorder="1" applyAlignment="1">
      <alignment horizontal="center"/>
    </xf>
    <xf numFmtId="184" fontId="0" fillId="0" borderId="0" xfId="0" applyNumberFormat="1" applyFont="1"/>
    <xf numFmtId="184" fontId="35" fillId="0" borderId="0" xfId="0" applyNumberFormat="1" applyFont="1" applyBorder="1" applyAlignment="1">
      <alignment horizontal="left"/>
    </xf>
    <xf numFmtId="0" fontId="116" fillId="5" borderId="0" xfId="6" applyFont="1" applyFill="1" applyBorder="1" applyAlignment="1">
      <alignment wrapText="1"/>
    </xf>
    <xf numFmtId="0" fontId="116" fillId="5" borderId="0" xfId="0" applyFont="1" applyFill="1" applyAlignment="1">
      <alignment vertical="center" wrapText="1"/>
    </xf>
    <xf numFmtId="4" fontId="51" fillId="5" borderId="0" xfId="0" applyNumberFormat="1" applyFont="1" applyFill="1"/>
    <xf numFmtId="0" fontId="116" fillId="5" borderId="0" xfId="0" applyFont="1" applyFill="1" applyBorder="1" applyAlignment="1">
      <alignment horizontal="left"/>
    </xf>
    <xf numFmtId="0" fontId="116" fillId="5" borderId="0" xfId="0" applyFont="1" applyFill="1" applyBorder="1"/>
    <xf numFmtId="168" fontId="42" fillId="5" borderId="0" xfId="0" applyNumberFormat="1" applyFont="1" applyFill="1" applyBorder="1" applyAlignment="1">
      <alignment horizontal="left"/>
    </xf>
    <xf numFmtId="0" fontId="42" fillId="5" borderId="0" xfId="0" applyFont="1" applyFill="1" applyBorder="1" applyAlignment="1">
      <alignment horizontal="left"/>
    </xf>
    <xf numFmtId="168" fontId="42" fillId="5" borderId="0" xfId="1" applyNumberFormat="1" applyFont="1" applyFill="1" applyBorder="1" applyAlignment="1">
      <alignment horizontal="left"/>
    </xf>
    <xf numFmtId="0" fontId="42" fillId="5" borderId="0" xfId="0" applyFont="1" applyFill="1" applyBorder="1" applyAlignment="1">
      <alignment vertical="center" wrapText="1"/>
    </xf>
    <xf numFmtId="0" fontId="116" fillId="5" borderId="0" xfId="0" applyFont="1" applyFill="1" applyBorder="1" applyAlignment="1">
      <alignment wrapText="1"/>
    </xf>
    <xf numFmtId="3" fontId="51" fillId="5" borderId="0" xfId="0" applyNumberFormat="1" applyFont="1" applyFill="1" applyAlignment="1">
      <alignment horizontal="center" wrapText="1"/>
    </xf>
    <xf numFmtId="3" fontId="51" fillId="5" borderId="0" xfId="0" applyNumberFormat="1" applyFont="1" applyFill="1" applyAlignment="1">
      <alignment horizontal="center"/>
    </xf>
    <xf numFmtId="3" fontId="51" fillId="5" borderId="0" xfId="0" applyNumberFormat="1" applyFont="1" applyFill="1" applyBorder="1" applyAlignment="1">
      <alignment horizontal="center" vertical="center"/>
    </xf>
    <xf numFmtId="3" fontId="51" fillId="5" borderId="0" xfId="0" applyNumberFormat="1" applyFont="1" applyFill="1" applyBorder="1" applyAlignment="1">
      <alignment horizontal="center"/>
    </xf>
    <xf numFmtId="3" fontId="35" fillId="5" borderId="0" xfId="0" applyNumberFormat="1" applyFont="1" applyFill="1" applyBorder="1" applyAlignment="1">
      <alignment horizontal="center" vertical="center" wrapText="1"/>
    </xf>
    <xf numFmtId="10" fontId="51" fillId="5" borderId="0" xfId="8" applyNumberFormat="1" applyFont="1" applyFill="1" applyBorder="1" applyAlignment="1">
      <alignment horizontal="center" vertical="center" wrapText="1"/>
    </xf>
    <xf numFmtId="0" fontId="51" fillId="5" borderId="0" xfId="0" applyFont="1" applyFill="1" applyBorder="1" applyAlignment="1">
      <alignment horizontal="center" vertical="center" wrapText="1"/>
    </xf>
    <xf numFmtId="10" fontId="51" fillId="5" borderId="0" xfId="0" applyNumberFormat="1" applyFont="1" applyFill="1" applyBorder="1" applyAlignment="1">
      <alignment horizontal="center" vertical="center" wrapText="1"/>
    </xf>
    <xf numFmtId="3" fontId="51" fillId="0" borderId="0" xfId="0" applyNumberFormat="1" applyFont="1" applyBorder="1"/>
    <xf numFmtId="3" fontId="42" fillId="5" borderId="0" xfId="0" quotePrefix="1" applyNumberFormat="1" applyFont="1" applyFill="1" applyBorder="1" applyAlignment="1">
      <alignment horizontal="center" vertical="center" wrapText="1"/>
    </xf>
    <xf numFmtId="3" fontId="85" fillId="5" borderId="0" xfId="0" applyNumberFormat="1" applyFont="1" applyFill="1" applyBorder="1" applyAlignment="1">
      <alignment horizontal="right" vertical="center"/>
    </xf>
    <xf numFmtId="3" fontId="81" fillId="0" borderId="0" xfId="0" applyNumberFormat="1" applyFont="1" applyAlignment="1">
      <alignment horizontal="center"/>
    </xf>
    <xf numFmtId="0" fontId="84" fillId="0" borderId="0" xfId="0" applyFont="1" applyAlignment="1">
      <alignment vertical="center"/>
    </xf>
    <xf numFmtId="0" fontId="84" fillId="0" borderId="0" xfId="0" applyFont="1" applyAlignment="1">
      <alignment horizontal="center" vertical="center"/>
    </xf>
    <xf numFmtId="10" fontId="176" fillId="5" borderId="0" xfId="0" applyNumberFormat="1" applyFont="1" applyFill="1" applyAlignment="1">
      <alignment horizontal="center" vertical="center"/>
    </xf>
    <xf numFmtId="0" fontId="83" fillId="0" borderId="0" xfId="0" applyFont="1" applyAlignment="1">
      <alignment horizontal="right" wrapText="1"/>
    </xf>
    <xf numFmtId="0" fontId="174" fillId="5" borderId="0" xfId="0" applyFont="1" applyFill="1" applyAlignment="1">
      <alignment horizontal="center" vertical="center"/>
    </xf>
    <xf numFmtId="3" fontId="35" fillId="0" borderId="0" xfId="0" applyNumberFormat="1" applyFont="1" applyBorder="1" applyAlignment="1">
      <alignment horizontal="left" vertical="center" wrapText="1"/>
    </xf>
    <xf numFmtId="0" fontId="42" fillId="5" borderId="0" xfId="0" applyFont="1" applyFill="1" applyBorder="1" applyAlignment="1">
      <alignment horizontal="center" shrinkToFit="1"/>
    </xf>
    <xf numFmtId="0" fontId="42" fillId="5" borderId="0" xfId="0" applyFont="1" applyFill="1" applyBorder="1" applyAlignment="1">
      <alignment shrinkToFit="1"/>
    </xf>
    <xf numFmtId="3" fontId="42" fillId="5" borderId="0" xfId="0" applyNumberFormat="1" applyFont="1" applyFill="1" applyBorder="1" applyAlignment="1"/>
    <xf numFmtId="2" fontId="42" fillId="5" borderId="0" xfId="0" applyNumberFormat="1" applyFont="1" applyFill="1" applyBorder="1" applyAlignment="1">
      <alignment horizontal="right" wrapText="1"/>
    </xf>
    <xf numFmtId="2" fontId="42" fillId="5" borderId="0" xfId="0" applyNumberFormat="1" applyFont="1" applyFill="1" applyBorder="1" applyAlignment="1">
      <alignment horizontal="center" wrapText="1"/>
    </xf>
    <xf numFmtId="3" fontId="42" fillId="5" borderId="0" xfId="0" applyNumberFormat="1" applyFont="1" applyFill="1" applyBorder="1" applyAlignment="1">
      <alignment horizontal="center"/>
    </xf>
    <xf numFmtId="4" fontId="42" fillId="5" borderId="0" xfId="0" applyNumberFormat="1" applyFont="1" applyFill="1" applyBorder="1" applyAlignment="1">
      <alignment horizontal="right"/>
    </xf>
    <xf numFmtId="4" fontId="42" fillId="5" borderId="0" xfId="0" applyNumberFormat="1" applyFont="1" applyFill="1" applyBorder="1" applyAlignment="1">
      <alignment horizontal="center"/>
    </xf>
    <xf numFmtId="0" fontId="89" fillId="5" borderId="0" xfId="0" applyFont="1" applyFill="1" applyBorder="1" applyAlignment="1">
      <alignment horizontal="left" vertical="center" wrapText="1"/>
    </xf>
    <xf numFmtId="0" fontId="81" fillId="0" borderId="0" xfId="0" applyFont="1" applyBorder="1" applyAlignment="1">
      <alignment horizontal="center" vertical="center" wrapText="1"/>
    </xf>
    <xf numFmtId="3" fontId="35" fillId="0" borderId="0" xfId="0" applyNumberFormat="1" applyFont="1" applyBorder="1" applyAlignment="1">
      <alignment horizontal="center" vertical="center" wrapText="1"/>
    </xf>
    <xf numFmtId="166" fontId="55" fillId="5" borderId="0" xfId="0" applyNumberFormat="1" applyFont="1" applyFill="1" applyBorder="1" applyAlignment="1">
      <alignment horizontal="center" wrapText="1" shrinkToFit="1"/>
    </xf>
    <xf numFmtId="0" fontId="55" fillId="5" borderId="0" xfId="0" applyFont="1" applyFill="1" applyBorder="1" applyAlignment="1">
      <alignment horizontal="center" wrapText="1" shrinkToFit="1"/>
    </xf>
    <xf numFmtId="0" fontId="116" fillId="0" borderId="0" xfId="0" applyFont="1" applyAlignment="1">
      <alignment horizontal="center" vertical="center"/>
    </xf>
    <xf numFmtId="2" fontId="125" fillId="0" borderId="0" xfId="0" applyNumberFormat="1" applyFont="1" applyAlignment="1">
      <alignment horizontal="center"/>
    </xf>
    <xf numFmtId="0" fontId="131" fillId="5" borderId="0" xfId="0" applyFont="1" applyFill="1"/>
    <xf numFmtId="0" fontId="116" fillId="5" borderId="0" xfId="0" applyFont="1" applyFill="1" applyAlignment="1">
      <alignment horizontal="center" vertical="center" wrapText="1"/>
    </xf>
    <xf numFmtId="10" fontId="42" fillId="5" borderId="0" xfId="0" applyNumberFormat="1" applyFont="1" applyFill="1" applyAlignment="1">
      <alignment horizontal="left"/>
    </xf>
    <xf numFmtId="10" fontId="42" fillId="5" borderId="0" xfId="0" applyNumberFormat="1" applyFont="1" applyFill="1" applyAlignment="1">
      <alignment horizontal="center" vertical="center"/>
    </xf>
    <xf numFmtId="186" fontId="80" fillId="5" borderId="0" xfId="0" applyNumberFormat="1" applyFont="1" applyFill="1" applyAlignment="1">
      <alignment horizontal="right" vertical="center"/>
    </xf>
    <xf numFmtId="168" fontId="35" fillId="5" borderId="0" xfId="0" applyNumberFormat="1" applyFont="1" applyFill="1" applyBorder="1" applyAlignment="1">
      <alignment horizontal="left" vertical="center"/>
    </xf>
    <xf numFmtId="3" fontId="35" fillId="5" borderId="0" xfId="0" applyNumberFormat="1" applyFont="1" applyFill="1" applyAlignment="1">
      <alignment horizontal="right"/>
    </xf>
    <xf numFmtId="3" fontId="35" fillId="5" borderId="0" xfId="0" applyNumberFormat="1" applyFont="1" applyFill="1" applyAlignment="1">
      <alignment horizontal="left"/>
    </xf>
    <xf numFmtId="3" fontId="35" fillId="5" borderId="0" xfId="0" applyNumberFormat="1" applyFont="1" applyFill="1" applyAlignment="1">
      <alignment horizontal="right" vertical="center"/>
    </xf>
    <xf numFmtId="166" fontId="42" fillId="5" borderId="0" xfId="0" applyNumberFormat="1" applyFont="1" applyFill="1" applyBorder="1" applyAlignment="1">
      <alignment horizontal="center"/>
    </xf>
    <xf numFmtId="0" fontId="42" fillId="5" borderId="0" xfId="0" applyFont="1" applyFill="1" applyBorder="1" applyAlignment="1">
      <alignment horizontal="center" wrapText="1" shrinkToFit="1"/>
    </xf>
    <xf numFmtId="166" fontId="0" fillId="5" borderId="0" xfId="0" applyNumberFormat="1" applyFont="1" applyFill="1"/>
    <xf numFmtId="165" fontId="35" fillId="0" borderId="0" xfId="1" applyNumberFormat="1" applyFont="1"/>
    <xf numFmtId="166" fontId="35" fillId="0" borderId="0" xfId="0" applyNumberFormat="1" applyFont="1"/>
    <xf numFmtId="190" fontId="35" fillId="0" borderId="0" xfId="0" applyNumberFormat="1" applyFont="1"/>
    <xf numFmtId="189" fontId="35" fillId="0" borderId="0" xfId="0" applyNumberFormat="1" applyFont="1"/>
    <xf numFmtId="166" fontId="32" fillId="5" borderId="0" xfId="0" applyNumberFormat="1" applyFont="1" applyFill="1"/>
    <xf numFmtId="3" fontId="51" fillId="5" borderId="0" xfId="0" applyNumberFormat="1" applyFont="1" applyFill="1" applyAlignment="1">
      <alignment horizontal="center" vertical="center"/>
    </xf>
    <xf numFmtId="3" fontId="52" fillId="5" borderId="0" xfId="0" applyNumberFormat="1" applyFont="1" applyFill="1" applyAlignment="1">
      <alignment horizontal="left" vertical="center"/>
    </xf>
    <xf numFmtId="166" fontId="116" fillId="5" borderId="0" xfId="0" applyNumberFormat="1" applyFont="1" applyFill="1" applyBorder="1" applyAlignment="1">
      <alignment horizontal="center" vertical="center"/>
    </xf>
    <xf numFmtId="165" fontId="116" fillId="5" borderId="0" xfId="1" applyNumberFormat="1" applyFont="1" applyFill="1" applyBorder="1" applyAlignment="1">
      <alignment vertical="center"/>
    </xf>
    <xf numFmtId="0" fontId="35" fillId="0" borderId="0" xfId="0" applyFont="1" applyBorder="1" applyAlignment="1">
      <alignment vertical="center"/>
    </xf>
    <xf numFmtId="166" fontId="55" fillId="5" borderId="0" xfId="0" applyNumberFormat="1" applyFont="1" applyFill="1" applyBorder="1" applyAlignment="1">
      <alignment horizontal="center" vertical="center"/>
    </xf>
    <xf numFmtId="166" fontId="55" fillId="5" borderId="0" xfId="0" applyNumberFormat="1" applyFont="1" applyFill="1" applyBorder="1" applyAlignment="1">
      <alignment vertical="center"/>
    </xf>
    <xf numFmtId="0" fontId="88" fillId="5" borderId="0" xfId="0" applyFont="1" applyFill="1" applyBorder="1" applyAlignment="1">
      <alignment horizontal="left" vertical="center" wrapText="1" shrinkToFit="1"/>
    </xf>
    <xf numFmtId="191" fontId="55" fillId="5" borderId="0" xfId="1" applyNumberFormat="1" applyFont="1" applyFill="1" applyBorder="1" applyAlignment="1">
      <alignment horizontal="left" vertical="center" shrinkToFit="1"/>
    </xf>
    <xf numFmtId="3" fontId="32" fillId="5" borderId="0" xfId="0" applyNumberFormat="1" applyFont="1" applyFill="1" applyBorder="1"/>
    <xf numFmtId="0" fontId="53" fillId="5" borderId="0" xfId="0" applyFont="1" applyFill="1" applyBorder="1" applyAlignment="1">
      <alignment horizontal="center" wrapText="1"/>
    </xf>
    <xf numFmtId="0" fontId="127" fillId="5" borderId="0" xfId="0" applyFont="1" applyFill="1" applyBorder="1" applyAlignment="1">
      <alignment horizontal="center" wrapText="1"/>
    </xf>
    <xf numFmtId="1" fontId="32" fillId="5" borderId="0" xfId="0" applyNumberFormat="1" applyFont="1" applyFill="1" applyBorder="1"/>
    <xf numFmtId="0" fontId="53" fillId="5" borderId="0" xfId="0" applyFont="1" applyFill="1" applyBorder="1" applyAlignment="1">
      <alignment horizontal="center"/>
    </xf>
    <xf numFmtId="1" fontId="53" fillId="5" borderId="0" xfId="0" applyNumberFormat="1" applyFont="1" applyFill="1" applyBorder="1" applyAlignment="1">
      <alignment horizontal="center"/>
    </xf>
    <xf numFmtId="0" fontId="36" fillId="5" borderId="0" xfId="0" applyFont="1" applyFill="1" applyBorder="1"/>
    <xf numFmtId="6" fontId="32" fillId="5" borderId="0" xfId="0" applyNumberFormat="1" applyFont="1" applyFill="1" applyBorder="1"/>
    <xf numFmtId="4" fontId="48" fillId="5" borderId="0" xfId="0" applyNumberFormat="1" applyFont="1" applyFill="1" applyBorder="1" applyAlignment="1">
      <alignment horizontal="center" wrapText="1"/>
    </xf>
    <xf numFmtId="166" fontId="35" fillId="0" borderId="0" xfId="0" applyNumberFormat="1" applyFont="1" applyAlignment="1">
      <alignment horizontal="left"/>
    </xf>
    <xf numFmtId="189" fontId="35" fillId="0" borderId="0" xfId="0" applyNumberFormat="1" applyFont="1" applyAlignment="1">
      <alignment horizontal="left"/>
    </xf>
    <xf numFmtId="0" fontId="48" fillId="5" borderId="0" xfId="0" applyFont="1" applyFill="1" applyAlignment="1">
      <alignment horizontal="center" wrapText="1"/>
    </xf>
    <xf numFmtId="0" fontId="177" fillId="5" borderId="0" xfId="0" applyFont="1" applyFill="1" applyAlignment="1">
      <alignment horizontal="center" wrapText="1"/>
    </xf>
    <xf numFmtId="0" fontId="90" fillId="5" borderId="0" xfId="0" applyFont="1" applyFill="1" applyAlignment="1">
      <alignment horizontal="left" vertical="center" wrapText="1"/>
    </xf>
    <xf numFmtId="10" fontId="90" fillId="5" borderId="0" xfId="0" applyNumberFormat="1" applyFont="1" applyFill="1" applyAlignment="1">
      <alignment horizontal="center" vertical="center"/>
    </xf>
    <xf numFmtId="10" fontId="90" fillId="5" borderId="0" xfId="0" applyNumberFormat="1" applyFont="1" applyFill="1" applyAlignment="1">
      <alignment horizontal="center" vertical="center" wrapText="1"/>
    </xf>
    <xf numFmtId="193" fontId="90" fillId="5" borderId="0" xfId="0" applyNumberFormat="1" applyFont="1" applyFill="1" applyAlignment="1">
      <alignment horizontal="center" vertical="center"/>
    </xf>
    <xf numFmtId="0" fontId="84" fillId="0" borderId="0" xfId="0" applyFont="1" applyFill="1"/>
    <xf numFmtId="0" fontId="83" fillId="0" borderId="0" xfId="0" applyFont="1" applyFill="1"/>
    <xf numFmtId="0" fontId="179" fillId="52" borderId="9" xfId="0" applyFont="1" applyFill="1" applyBorder="1"/>
    <xf numFmtId="0" fontId="179" fillId="52" borderId="11" xfId="0" applyFont="1" applyFill="1" applyBorder="1"/>
    <xf numFmtId="0" fontId="178" fillId="0" borderId="0" xfId="0" applyFont="1"/>
    <xf numFmtId="0" fontId="0" fillId="0" borderId="0" xfId="0"/>
    <xf numFmtId="0" fontId="155" fillId="0" borderId="0" xfId="0" applyFont="1" applyAlignment="1">
      <alignment horizontal="right"/>
    </xf>
    <xf numFmtId="0" fontId="178" fillId="0" borderId="0" xfId="0" applyFont="1" applyAlignment="1">
      <alignment horizontal="center"/>
    </xf>
    <xf numFmtId="0" fontId="85" fillId="52" borderId="12" xfId="0" applyFont="1" applyFill="1" applyBorder="1"/>
    <xf numFmtId="0" fontId="85" fillId="52" borderId="13" xfId="0" applyFont="1" applyFill="1" applyBorder="1"/>
    <xf numFmtId="0" fontId="85" fillId="52" borderId="14" xfId="0" applyFont="1" applyFill="1" applyBorder="1"/>
    <xf numFmtId="0" fontId="85" fillId="52" borderId="16" xfId="0" applyFont="1" applyFill="1" applyBorder="1"/>
    <xf numFmtId="0" fontId="84" fillId="52" borderId="12" xfId="0" applyFont="1" applyFill="1" applyBorder="1" applyAlignment="1">
      <alignment vertical="center" wrapText="1"/>
    </xf>
    <xf numFmtId="0" fontId="180" fillId="52" borderId="14" xfId="0" applyFont="1" applyFill="1" applyBorder="1" applyAlignment="1">
      <alignment vertical="center" wrapText="1"/>
    </xf>
    <xf numFmtId="0" fontId="178" fillId="4" borderId="9" xfId="0" applyFont="1" applyFill="1" applyBorder="1"/>
    <xf numFmtId="0" fontId="0" fillId="4" borderId="11" xfId="0" applyFill="1" applyBorder="1"/>
    <xf numFmtId="0" fontId="84" fillId="4" borderId="12" xfId="0" applyFont="1" applyFill="1" applyBorder="1"/>
    <xf numFmtId="0" fontId="84" fillId="4" borderId="13" xfId="0" applyFont="1" applyFill="1" applyBorder="1"/>
    <xf numFmtId="0" fontId="84" fillId="4" borderId="14" xfId="0" applyFont="1" applyFill="1" applyBorder="1"/>
    <xf numFmtId="0" fontId="84" fillId="4" borderId="16" xfId="0" applyFont="1" applyFill="1" applyBorder="1"/>
    <xf numFmtId="0" fontId="178" fillId="4" borderId="9" xfId="0" applyFont="1" applyFill="1" applyBorder="1" applyAlignment="1">
      <alignment horizontal="left" vertical="center"/>
    </xf>
    <xf numFmtId="0" fontId="84" fillId="4" borderId="10" xfId="0" applyFont="1" applyFill="1" applyBorder="1"/>
    <xf numFmtId="0" fontId="84" fillId="4" borderId="11" xfId="0" applyFont="1" applyFill="1" applyBorder="1"/>
    <xf numFmtId="0" fontId="84" fillId="4" borderId="0" xfId="0" applyFont="1" applyFill="1" applyBorder="1"/>
    <xf numFmtId="0" fontId="84" fillId="4" borderId="15" xfId="0" applyFont="1" applyFill="1" applyBorder="1"/>
    <xf numFmtId="0" fontId="64" fillId="0" borderId="0" xfId="0" applyFont="1" applyAlignment="1">
      <alignment horizontal="center"/>
    </xf>
    <xf numFmtId="0" fontId="32" fillId="5" borderId="0" xfId="0" applyFont="1" applyFill="1" applyAlignment="1">
      <alignment horizontal="center"/>
    </xf>
    <xf numFmtId="0" fontId="81" fillId="0" borderId="0" xfId="0" applyNumberFormat="1" applyFont="1" applyAlignment="1">
      <alignment horizontal="center"/>
    </xf>
    <xf numFmtId="2" fontId="81" fillId="0" borderId="0" xfId="0" applyNumberFormat="1" applyFont="1" applyAlignment="1">
      <alignment horizontal="center"/>
    </xf>
    <xf numFmtId="0" fontId="89" fillId="0" borderId="0" xfId="0" applyFont="1" applyAlignment="1">
      <alignment wrapText="1"/>
    </xf>
    <xf numFmtId="10" fontId="85" fillId="5" borderId="0" xfId="0" applyNumberFormat="1" applyFont="1" applyFill="1" applyAlignment="1">
      <alignment horizontal="center"/>
    </xf>
    <xf numFmtId="169" fontId="32" fillId="5" borderId="0" xfId="0" applyNumberFormat="1" applyFont="1" applyFill="1" applyBorder="1" applyAlignment="1">
      <alignment wrapText="1"/>
    </xf>
    <xf numFmtId="192" fontId="32" fillId="5" borderId="0" xfId="8" applyNumberFormat="1" applyFont="1" applyFill="1" applyAlignment="1">
      <alignment horizontal="center" vertical="center"/>
    </xf>
    <xf numFmtId="10" fontId="52" fillId="0" borderId="0" xfId="8" applyNumberFormat="1" applyFont="1" applyAlignment="1">
      <alignment horizontal="right" vertical="center"/>
    </xf>
    <xf numFmtId="10" fontId="52" fillId="0" borderId="0" xfId="8" applyNumberFormat="1" applyFont="1" applyAlignment="1">
      <alignment horizontal="left" vertical="center"/>
    </xf>
    <xf numFmtId="0" fontId="175" fillId="5" borderId="0" xfId="0" applyFont="1" applyFill="1" applyBorder="1"/>
    <xf numFmtId="171" fontId="35" fillId="0" borderId="0" xfId="0" applyNumberFormat="1" applyFont="1" applyAlignment="1">
      <alignment horizontal="center" vertical="center"/>
    </xf>
    <xf numFmtId="3" fontId="42" fillId="0" borderId="0" xfId="0" applyNumberFormat="1" applyFont="1" applyAlignment="1">
      <alignment horizontal="right"/>
    </xf>
    <xf numFmtId="10" fontId="42" fillId="0" borderId="0" xfId="0" applyNumberFormat="1" applyFont="1" applyAlignment="1">
      <alignment horizontal="center"/>
    </xf>
    <xf numFmtId="181" fontId="42" fillId="0" borderId="0" xfId="0" applyNumberFormat="1" applyFont="1" applyAlignment="1">
      <alignment horizontal="center"/>
    </xf>
    <xf numFmtId="1" fontId="116" fillId="0" borderId="0" xfId="0" applyNumberFormat="1" applyFont="1" applyAlignment="1">
      <alignment horizontal="center"/>
    </xf>
    <xf numFmtId="3" fontId="42" fillId="5" borderId="0" xfId="1" applyNumberFormat="1" applyFont="1" applyFill="1" applyBorder="1" applyAlignment="1">
      <alignment horizontal="center" vertical="center"/>
    </xf>
    <xf numFmtId="3" fontId="42" fillId="5" borderId="0" xfId="0" applyNumberFormat="1" applyFont="1" applyFill="1" applyBorder="1" applyAlignment="1">
      <alignment horizontal="center" vertical="center"/>
    </xf>
    <xf numFmtId="166" fontId="116" fillId="5" borderId="0" xfId="1" applyNumberFormat="1" applyFont="1" applyFill="1" applyBorder="1" applyAlignment="1">
      <alignment horizontal="left" vertical="center"/>
    </xf>
    <xf numFmtId="166" fontId="42" fillId="5" borderId="0" xfId="1" applyNumberFormat="1" applyFont="1" applyFill="1" applyBorder="1" applyAlignment="1">
      <alignment horizontal="left" vertical="center"/>
    </xf>
    <xf numFmtId="171" fontId="52" fillId="0" borderId="0" xfId="0" applyNumberFormat="1" applyFont="1" applyAlignment="1">
      <alignment horizontal="left"/>
    </xf>
    <xf numFmtId="171" fontId="52" fillId="0" borderId="0" xfId="0" applyNumberFormat="1" applyFont="1" applyAlignment="1">
      <alignment horizontal="left" vertical="top"/>
    </xf>
    <xf numFmtId="0" fontId="0" fillId="0" borderId="0" xfId="0" applyFont="1" applyAlignment="1">
      <alignment vertical="top"/>
    </xf>
    <xf numFmtId="10" fontId="35" fillId="0" borderId="0" xfId="0" quotePrefix="1" applyNumberFormat="1" applyFont="1" applyAlignment="1">
      <alignment horizontal="left" vertical="center"/>
    </xf>
    <xf numFmtId="10" fontId="55" fillId="5" borderId="0" xfId="0" applyNumberFormat="1" applyFont="1" applyFill="1" applyBorder="1" applyAlignment="1">
      <alignment horizontal="center" vertical="center" wrapText="1"/>
    </xf>
    <xf numFmtId="10" fontId="55" fillId="5" borderId="0" xfId="0" applyNumberFormat="1" applyFont="1" applyFill="1" applyBorder="1" applyAlignment="1">
      <alignment horizontal="left" vertical="center" wrapText="1"/>
    </xf>
    <xf numFmtId="10" fontId="55" fillId="5" borderId="0" xfId="0" quotePrefix="1" applyNumberFormat="1" applyFont="1" applyFill="1" applyBorder="1" applyAlignment="1">
      <alignment horizontal="center" vertical="center" wrapText="1"/>
    </xf>
    <xf numFmtId="10" fontId="90" fillId="5" borderId="0" xfId="0" applyNumberFormat="1" applyFont="1" applyFill="1" applyBorder="1" applyAlignment="1">
      <alignment horizontal="right" vertical="center"/>
    </xf>
    <xf numFmtId="10" fontId="55" fillId="5" borderId="0" xfId="0" applyNumberFormat="1" applyFont="1" applyFill="1" applyBorder="1" applyAlignment="1">
      <alignment horizontal="center" vertical="center"/>
    </xf>
    <xf numFmtId="10" fontId="88" fillId="5" borderId="0" xfId="0" quotePrefix="1" applyNumberFormat="1" applyFont="1" applyFill="1" applyBorder="1" applyAlignment="1">
      <alignment horizontal="center" vertical="center" wrapText="1"/>
    </xf>
    <xf numFmtId="10" fontId="177" fillId="5" borderId="0" xfId="0" applyNumberFormat="1" applyFont="1" applyFill="1" applyBorder="1" applyAlignment="1">
      <alignment horizontal="center" vertical="center" wrapText="1"/>
    </xf>
    <xf numFmtId="3" fontId="55" fillId="5" borderId="0" xfId="0" quotePrefix="1" applyNumberFormat="1" applyFont="1" applyFill="1" applyBorder="1" applyAlignment="1">
      <alignment horizontal="center" vertical="center" wrapText="1"/>
    </xf>
    <xf numFmtId="3" fontId="90" fillId="5" borderId="0" xfId="0" applyNumberFormat="1" applyFont="1" applyFill="1" applyBorder="1" applyAlignment="1">
      <alignment horizontal="center" vertical="center" wrapText="1"/>
    </xf>
    <xf numFmtId="3" fontId="55" fillId="5" borderId="0" xfId="0" applyNumberFormat="1" applyFont="1" applyFill="1" applyBorder="1" applyAlignment="1">
      <alignment horizontal="center" vertical="center" wrapText="1"/>
    </xf>
    <xf numFmtId="10" fontId="55" fillId="5" borderId="0" xfId="0" applyNumberFormat="1" applyFont="1" applyFill="1" applyAlignment="1">
      <alignment horizontal="center" vertical="center" wrapText="1"/>
    </xf>
    <xf numFmtId="10" fontId="88" fillId="5" borderId="0" xfId="0" applyNumberFormat="1" applyFont="1" applyFill="1" applyAlignment="1">
      <alignment horizontal="center" vertical="center" wrapText="1"/>
    </xf>
    <xf numFmtId="10" fontId="55" fillId="5" borderId="0" xfId="0" applyNumberFormat="1" applyFont="1" applyFill="1" applyBorder="1" applyAlignment="1">
      <alignment horizontal="right" vertical="center" wrapText="1"/>
    </xf>
    <xf numFmtId="3" fontId="55" fillId="5" borderId="0" xfId="0" applyNumberFormat="1" applyFont="1" applyFill="1" applyAlignment="1">
      <alignment vertical="center" wrapText="1"/>
    </xf>
    <xf numFmtId="10" fontId="90" fillId="5" borderId="0" xfId="0" applyNumberFormat="1" applyFont="1" applyFill="1" applyAlignment="1">
      <alignment horizontal="center"/>
    </xf>
    <xf numFmtId="3" fontId="32" fillId="5" borderId="0" xfId="0" applyNumberFormat="1" applyFont="1" applyFill="1" applyAlignment="1">
      <alignment vertical="center" wrapText="1"/>
    </xf>
    <xf numFmtId="3" fontId="90" fillId="5" borderId="0" xfId="0" applyNumberFormat="1" applyFont="1" applyFill="1" applyAlignment="1">
      <alignment horizontal="center" vertical="center" wrapText="1"/>
    </xf>
    <xf numFmtId="3" fontId="90" fillId="5" borderId="0" xfId="0" applyNumberFormat="1" applyFont="1" applyFill="1" applyAlignment="1">
      <alignment horizontal="center" vertical="center"/>
    </xf>
    <xf numFmtId="0" fontId="32" fillId="5" borderId="0" xfId="0" applyFont="1" applyFill="1" applyAlignment="1">
      <alignment vertical="center" wrapText="1"/>
    </xf>
    <xf numFmtId="0" fontId="177" fillId="5" borderId="0" xfId="0" applyFont="1" applyFill="1"/>
    <xf numFmtId="0" fontId="127" fillId="5" borderId="0" xfId="0" applyFont="1" applyFill="1" applyAlignment="1">
      <alignment horizontal="left"/>
    </xf>
    <xf numFmtId="0" fontId="90" fillId="5" borderId="0" xfId="0" applyFont="1" applyFill="1" applyAlignment="1">
      <alignment wrapText="1"/>
    </xf>
    <xf numFmtId="0" fontId="127" fillId="5" borderId="0" xfId="0" applyFont="1" applyFill="1" applyAlignment="1">
      <alignment horizontal="center"/>
    </xf>
    <xf numFmtId="3" fontId="32" fillId="5" borderId="0" xfId="0" applyNumberFormat="1" applyFont="1" applyFill="1" applyAlignment="1">
      <alignment horizontal="center" vertical="center" wrapText="1"/>
    </xf>
    <xf numFmtId="3" fontId="88" fillId="5" borderId="0" xfId="0" applyNumberFormat="1" applyFont="1" applyFill="1" applyBorder="1" applyAlignment="1">
      <alignment horizontal="center" vertical="center" wrapText="1"/>
    </xf>
    <xf numFmtId="0" fontId="177" fillId="5" borderId="0" xfId="0" applyFont="1" applyFill="1" applyAlignment="1">
      <alignment wrapText="1"/>
    </xf>
    <xf numFmtId="0" fontId="88" fillId="5" borderId="15" xfId="0" applyFont="1" applyFill="1" applyBorder="1" applyAlignment="1">
      <alignment vertical="center" wrapText="1"/>
    </xf>
    <xf numFmtId="0" fontId="55" fillId="5" borderId="0" xfId="0" applyFont="1" applyFill="1" applyAlignment="1">
      <alignment vertical="center" wrapText="1"/>
    </xf>
    <xf numFmtId="0" fontId="55" fillId="5" borderId="15" xfId="0" applyFont="1" applyFill="1" applyBorder="1" applyAlignment="1">
      <alignment vertical="center" wrapText="1"/>
    </xf>
    <xf numFmtId="10" fontId="55" fillId="5" borderId="15" xfId="0" applyNumberFormat="1" applyFont="1" applyFill="1" applyBorder="1" applyAlignment="1">
      <alignment horizontal="center" vertical="center" wrapText="1"/>
    </xf>
    <xf numFmtId="165" fontId="52" fillId="0" borderId="0" xfId="1" applyNumberFormat="1" applyFont="1" applyAlignment="1">
      <alignment horizontal="right" vertical="center"/>
    </xf>
    <xf numFmtId="0" fontId="127" fillId="53" borderId="0" xfId="0" applyFont="1" applyFill="1" applyAlignment="1">
      <alignment horizontal="left"/>
    </xf>
    <xf numFmtId="0" fontId="88" fillId="53" borderId="0" xfId="0" applyFont="1" applyFill="1" applyBorder="1" applyAlignment="1">
      <alignment horizontal="left" vertical="center" wrapText="1"/>
    </xf>
    <xf numFmtId="3" fontId="88" fillId="53" borderId="0" xfId="0" applyNumberFormat="1" applyFont="1" applyFill="1" applyBorder="1" applyAlignment="1">
      <alignment vertical="center" wrapText="1"/>
    </xf>
    <xf numFmtId="3" fontId="55" fillId="53" borderId="0" xfId="0" applyNumberFormat="1" applyFont="1" applyFill="1" applyAlignment="1">
      <alignment vertical="center" wrapText="1"/>
    </xf>
    <xf numFmtId="3" fontId="32" fillId="53" borderId="0" xfId="0" applyNumberFormat="1" applyFont="1" applyFill="1" applyAlignment="1">
      <alignment vertical="center" wrapText="1"/>
    </xf>
    <xf numFmtId="0" fontId="32" fillId="53" borderId="0" xfId="0" applyFont="1" applyFill="1" applyAlignment="1">
      <alignment wrapText="1"/>
    </xf>
    <xf numFmtId="0" fontId="48" fillId="53" borderId="0" xfId="0" applyFont="1" applyFill="1" applyAlignment="1">
      <alignment horizontal="center" wrapText="1"/>
    </xf>
    <xf numFmtId="3" fontId="90" fillId="53" borderId="0" xfId="0" applyNumberFormat="1" applyFont="1" applyFill="1" applyAlignment="1">
      <alignment horizontal="left" vertical="center" wrapText="1"/>
    </xf>
    <xf numFmtId="0" fontId="90" fillId="53" borderId="0" xfId="0" applyFont="1" applyFill="1" applyAlignment="1">
      <alignment horizontal="left" vertical="center" wrapText="1"/>
    </xf>
    <xf numFmtId="0" fontId="32" fillId="53" borderId="0" xfId="0" applyFont="1" applyFill="1" applyAlignment="1">
      <alignment vertical="center"/>
    </xf>
    <xf numFmtId="0" fontId="48" fillId="53" borderId="0" xfId="0" applyFont="1" applyFill="1" applyAlignment="1">
      <alignment vertical="center"/>
    </xf>
    <xf numFmtId="0" fontId="32" fillId="53" borderId="0" xfId="0" applyFont="1" applyFill="1" applyBorder="1" applyAlignment="1">
      <alignment horizontal="left" wrapText="1"/>
    </xf>
    <xf numFmtId="0" fontId="48" fillId="53" borderId="0" xfId="0" applyFont="1" applyFill="1" applyBorder="1" applyAlignment="1">
      <alignment horizontal="left" vertical="center" wrapText="1"/>
    </xf>
    <xf numFmtId="0" fontId="32" fillId="53" borderId="0" xfId="0" applyFont="1" applyFill="1" applyBorder="1" applyAlignment="1">
      <alignment horizontal="center" vertical="center" wrapText="1"/>
    </xf>
    <xf numFmtId="0" fontId="32" fillId="53" borderId="0" xfId="0" applyFont="1" applyFill="1" applyBorder="1" applyAlignment="1">
      <alignment horizontal="left" vertical="center" wrapText="1"/>
    </xf>
    <xf numFmtId="3" fontId="84" fillId="0" borderId="0" xfId="0" applyNumberFormat="1" applyFont="1" applyAlignment="1">
      <alignment horizontal="left" vertical="center"/>
    </xf>
    <xf numFmtId="10" fontId="51" fillId="5" borderId="0" xfId="8" applyNumberFormat="1" applyFont="1" applyFill="1" applyAlignment="1">
      <alignment horizontal="center" vertical="center"/>
    </xf>
    <xf numFmtId="10" fontId="51" fillId="5" borderId="0" xfId="8" quotePrefix="1" applyNumberFormat="1" applyFont="1" applyFill="1" applyBorder="1" applyAlignment="1">
      <alignment horizontal="center" vertical="center" wrapText="1"/>
    </xf>
    <xf numFmtId="0" fontId="81" fillId="0" borderId="0" xfId="0" applyFont="1" applyAlignment="1">
      <alignment horizontal="center" vertical="center"/>
    </xf>
    <xf numFmtId="0" fontId="55" fillId="5" borderId="0" xfId="0" applyFont="1" applyFill="1" applyBorder="1" applyAlignment="1">
      <alignment horizontal="center"/>
    </xf>
    <xf numFmtId="166" fontId="42" fillId="5" borderId="0" xfId="0" applyNumberFormat="1" applyFont="1" applyFill="1" applyBorder="1" applyAlignment="1">
      <alignment horizontal="center" vertical="center"/>
    </xf>
    <xf numFmtId="0" fontId="81" fillId="0" borderId="0" xfId="0" applyFont="1" applyAlignment="1">
      <alignment wrapText="1" shrinkToFit="1"/>
    </xf>
    <xf numFmtId="0" fontId="130" fillId="0" borderId="0" xfId="7" applyFont="1" applyAlignment="1" applyProtection="1"/>
    <xf numFmtId="10" fontId="35" fillId="5" borderId="0" xfId="0" applyNumberFormat="1" applyFont="1" applyFill="1" applyAlignment="1">
      <alignment horizontal="left" vertical="center"/>
    </xf>
    <xf numFmtId="0" fontId="180" fillId="52" borderId="12" xfId="0" applyFont="1" applyFill="1" applyBorder="1" applyAlignment="1">
      <alignment vertical="center" wrapText="1"/>
    </xf>
    <xf numFmtId="0" fontId="180" fillId="52" borderId="13" xfId="0" applyFont="1" applyFill="1" applyBorder="1" applyAlignment="1">
      <alignment vertical="center" wrapText="1"/>
    </xf>
    <xf numFmtId="0" fontId="180" fillId="52" borderId="16" xfId="0" applyFont="1" applyFill="1" applyBorder="1" applyAlignment="1">
      <alignment vertical="center" wrapText="1"/>
    </xf>
    <xf numFmtId="0" fontId="84" fillId="52" borderId="13" xfId="0" applyFont="1" applyFill="1" applyBorder="1" applyAlignment="1">
      <alignment vertical="center" wrapText="1"/>
    </xf>
    <xf numFmtId="0" fontId="83" fillId="5" borderId="0" xfId="0" applyFont="1" applyFill="1" applyBorder="1" applyAlignment="1">
      <alignment wrapText="1"/>
    </xf>
    <xf numFmtId="0" fontId="84" fillId="5" borderId="0" xfId="0" applyFont="1" applyFill="1" applyBorder="1"/>
    <xf numFmtId="0" fontId="180" fillId="5" borderId="0" xfId="0" applyFont="1" applyFill="1" applyBorder="1" applyAlignment="1">
      <alignment vertical="center" wrapText="1"/>
    </xf>
    <xf numFmtId="3" fontId="116" fillId="5" borderId="0" xfId="1" applyNumberFormat="1" applyFont="1" applyFill="1" applyBorder="1" applyAlignment="1">
      <alignment horizontal="left" vertical="center"/>
    </xf>
    <xf numFmtId="3" fontId="116" fillId="5" borderId="0" xfId="0" applyNumberFormat="1" applyFont="1" applyFill="1" applyBorder="1" applyAlignment="1">
      <alignment horizontal="center" vertical="center"/>
    </xf>
    <xf numFmtId="3" fontId="42" fillId="5" borderId="0" xfId="1" applyNumberFormat="1" applyFont="1" applyFill="1" applyBorder="1" applyAlignment="1">
      <alignment horizontal="left" vertical="center"/>
    </xf>
    <xf numFmtId="0" fontId="174" fillId="5" borderId="0" xfId="0" applyFont="1" applyFill="1" applyBorder="1" applyAlignment="1">
      <alignment horizontal="center" wrapText="1" shrinkToFit="1"/>
    </xf>
    <xf numFmtId="3" fontId="42" fillId="5" borderId="0" xfId="5" applyNumberFormat="1" applyFont="1" applyFill="1" applyBorder="1" applyAlignment="1">
      <alignment horizontal="center" vertical="center"/>
    </xf>
    <xf numFmtId="0" fontId="81" fillId="5" borderId="0" xfId="0" applyFont="1" applyFill="1" applyAlignment="1">
      <alignment wrapText="1" shrinkToFit="1"/>
    </xf>
    <xf numFmtId="0" fontId="35" fillId="5" borderId="0" xfId="0" applyFont="1" applyFill="1" applyAlignment="1">
      <alignment wrapText="1" shrinkToFit="1"/>
    </xf>
    <xf numFmtId="1" fontId="35" fillId="0" borderId="0" xfId="0" applyNumberFormat="1" applyFont="1" applyAlignment="1">
      <alignment horizontal="right"/>
    </xf>
    <xf numFmtId="1" fontId="35" fillId="0" borderId="0" xfId="0" applyNumberFormat="1" applyFont="1" applyAlignment="1">
      <alignment horizontal="left" vertical="top"/>
    </xf>
    <xf numFmtId="181" fontId="35" fillId="0" borderId="0" xfId="0" applyNumberFormat="1" applyFont="1" applyAlignment="1">
      <alignment horizontal="left" vertical="top"/>
    </xf>
    <xf numFmtId="181" fontId="35" fillId="0" borderId="0" xfId="0" applyNumberFormat="1" applyFont="1" applyAlignment="1">
      <alignment horizontal="right"/>
    </xf>
    <xf numFmtId="0" fontId="28" fillId="5" borderId="0" xfId="0" applyFont="1" applyFill="1" applyAlignment="1">
      <alignment wrapText="1" shrinkToFit="1"/>
    </xf>
    <xf numFmtId="0" fontId="156" fillId="5" borderId="0" xfId="7" applyFont="1" applyFill="1" applyAlignment="1" applyProtection="1"/>
    <xf numFmtId="0" fontId="182" fillId="5" borderId="0" xfId="0" applyFont="1" applyFill="1"/>
    <xf numFmtId="0" fontId="33" fillId="0" borderId="0" xfId="7" applyAlignment="1" applyProtection="1"/>
    <xf numFmtId="0" fontId="17" fillId="0" borderId="15" xfId="0" applyFont="1" applyBorder="1" applyAlignment="1">
      <alignment horizontal="center" vertical="center"/>
    </xf>
    <xf numFmtId="0" fontId="21" fillId="3" borderId="0" xfId="0" applyFont="1" applyFill="1" applyBorder="1" applyAlignment="1">
      <alignment horizontal="center" vertical="top"/>
    </xf>
    <xf numFmtId="0" fontId="17" fillId="0" borderId="0" xfId="0" applyFont="1" applyAlignment="1">
      <alignment horizontal="center" vertical="center" wrapText="1"/>
    </xf>
    <xf numFmtId="0" fontId="17" fillId="0" borderId="0" xfId="0" applyFont="1" applyBorder="1" applyAlignment="1">
      <alignment horizontal="center" vertical="center" wrapText="1"/>
    </xf>
    <xf numFmtId="0" fontId="81" fillId="5" borderId="0" xfId="0" applyFont="1" applyFill="1" applyAlignment="1">
      <alignment horizontal="center" wrapText="1"/>
    </xf>
    <xf numFmtId="3" fontId="35" fillId="5" borderId="0" xfId="0" applyNumberFormat="1" applyFont="1" applyFill="1" applyAlignment="1">
      <alignment horizontal="center" wrapText="1"/>
    </xf>
    <xf numFmtId="0" fontId="88" fillId="5" borderId="0" xfId="0" applyFont="1" applyFill="1" applyAlignment="1"/>
    <xf numFmtId="0" fontId="32" fillId="5" borderId="0" xfId="0" applyFont="1" applyFill="1" applyAlignment="1"/>
    <xf numFmtId="0" fontId="30" fillId="0" borderId="15" xfId="0" applyFont="1" applyBorder="1" applyAlignment="1">
      <alignment horizontal="center" vertical="center"/>
    </xf>
    <xf numFmtId="0" fontId="84" fillId="0" borderId="0" xfId="0" applyFont="1" applyFill="1" applyAlignment="1">
      <alignment horizontal="left" vertical="center"/>
    </xf>
    <xf numFmtId="0" fontId="32" fillId="5" borderId="0" xfId="0" applyFont="1" applyFill="1" applyAlignment="1">
      <alignment horizontal="center"/>
    </xf>
    <xf numFmtId="0" fontId="32" fillId="5" borderId="0" xfId="0" applyFont="1" applyFill="1" applyAlignment="1">
      <alignment horizontal="center" vertical="center"/>
    </xf>
    <xf numFmtId="0" fontId="84" fillId="4" borderId="12" xfId="0" applyFont="1" applyFill="1" applyBorder="1" applyAlignment="1">
      <alignment horizontal="left" wrapText="1"/>
    </xf>
    <xf numFmtId="0" fontId="84" fillId="4" borderId="13" xfId="0" applyFont="1" applyFill="1" applyBorder="1" applyAlignment="1">
      <alignment horizontal="left" wrapText="1"/>
    </xf>
    <xf numFmtId="0" fontId="180" fillId="52" borderId="12" xfId="0" applyFont="1" applyFill="1" applyBorder="1" applyAlignment="1">
      <alignment horizontal="left" vertical="center" wrapText="1"/>
    </xf>
    <xf numFmtId="0" fontId="180" fillId="52" borderId="13" xfId="0" applyFont="1" applyFill="1" applyBorder="1" applyAlignment="1">
      <alignment horizontal="left" vertical="center" wrapText="1"/>
    </xf>
    <xf numFmtId="0" fontId="178" fillId="52" borderId="9" xfId="0" applyFont="1" applyFill="1" applyBorder="1" applyAlignment="1">
      <alignment horizontal="left" wrapText="1"/>
    </xf>
    <xf numFmtId="0" fontId="178" fillId="52" borderId="11" xfId="0" applyFont="1" applyFill="1" applyBorder="1" applyAlignment="1">
      <alignment horizontal="left" wrapText="1"/>
    </xf>
    <xf numFmtId="0" fontId="0" fillId="0" borderId="0" xfId="0" applyAlignment="1">
      <alignment horizontal="left" wrapText="1"/>
    </xf>
    <xf numFmtId="0" fontId="0" fillId="0" borderId="0" xfId="0" applyAlignment="1">
      <alignment horizontal="left" vertical="center" wrapText="1"/>
    </xf>
    <xf numFmtId="0" fontId="35" fillId="6" borderId="0" xfId="0" applyFont="1" applyFill="1" applyAlignment="1">
      <alignment horizontal="center"/>
    </xf>
    <xf numFmtId="0" fontId="52" fillId="0" borderId="0" xfId="0" applyFont="1" applyAlignment="1">
      <alignment horizontal="center" vertical="center"/>
    </xf>
    <xf numFmtId="3" fontId="0" fillId="0" borderId="0" xfId="0" applyNumberFormat="1" applyFont="1" applyAlignment="1"/>
    <xf numFmtId="0" fontId="48" fillId="7" borderId="0" xfId="0" applyFont="1" applyFill="1" applyBorder="1" applyAlignment="1">
      <alignment horizontal="center" wrapText="1"/>
    </xf>
    <xf numFmtId="0" fontId="35" fillId="0" borderId="0" xfId="0" applyFont="1" applyAlignment="1">
      <alignment horizontal="center" vertical="center"/>
    </xf>
    <xf numFmtId="0" fontId="116" fillId="5" borderId="0" xfId="0" applyFont="1" applyFill="1" applyAlignment="1">
      <alignment horizontal="center"/>
    </xf>
    <xf numFmtId="2" fontId="42" fillId="5" borderId="0" xfId="0" applyNumberFormat="1" applyFont="1" applyFill="1" applyAlignment="1">
      <alignment horizontal="center"/>
    </xf>
    <xf numFmtId="0" fontId="155" fillId="5" borderId="0" xfId="0" applyFont="1" applyFill="1" applyAlignment="1">
      <alignment horizontal="center"/>
    </xf>
    <xf numFmtId="3" fontId="42" fillId="5" borderId="0" xfId="0" applyNumberFormat="1" applyFont="1" applyFill="1" applyAlignment="1">
      <alignment horizontal="center"/>
    </xf>
    <xf numFmtId="0" fontId="116" fillId="5" borderId="0" xfId="0" applyFont="1" applyFill="1" applyAlignment="1">
      <alignment horizontal="center" wrapText="1"/>
    </xf>
    <xf numFmtId="0" fontId="116" fillId="5" borderId="0" xfId="0" applyFont="1" applyFill="1" applyBorder="1" applyAlignment="1">
      <alignment horizontal="right" wrapText="1"/>
    </xf>
    <xf numFmtId="0" fontId="83" fillId="5" borderId="0" xfId="0" applyFont="1" applyFill="1" applyAlignment="1">
      <alignment horizontal="center" vertical="center" wrapText="1"/>
    </xf>
    <xf numFmtId="0" fontId="42" fillId="5" borderId="0" xfId="0" applyFont="1" applyFill="1" applyAlignment="1">
      <alignment horizontal="center"/>
    </xf>
    <xf numFmtId="168" fontId="35" fillId="0" borderId="0" xfId="0" applyNumberFormat="1" applyFont="1" applyAlignment="1">
      <alignment horizontal="center" vertical="center"/>
    </xf>
    <xf numFmtId="0" fontId="81" fillId="0" borderId="0" xfId="0" applyFont="1" applyAlignment="1">
      <alignment horizontal="center" vertical="center"/>
    </xf>
    <xf numFmtId="0" fontId="48" fillId="5" borderId="0" xfId="0" applyFont="1" applyFill="1" applyBorder="1" applyAlignment="1">
      <alignment horizontal="center" vertical="center" wrapText="1"/>
    </xf>
    <xf numFmtId="0" fontId="48" fillId="5" borderId="0" xfId="0" applyFont="1" applyFill="1" applyBorder="1" applyAlignment="1">
      <alignment horizontal="center" wrapText="1"/>
    </xf>
    <xf numFmtId="0" fontId="81" fillId="0" borderId="0" xfId="0" applyFont="1" applyBorder="1" applyAlignment="1">
      <alignment horizontal="left" vertical="center" wrapText="1"/>
    </xf>
    <xf numFmtId="0" fontId="0" fillId="0" borderId="0" xfId="0" applyAlignment="1">
      <alignment horizontal="center"/>
    </xf>
    <xf numFmtId="0" fontId="81" fillId="0" borderId="10" xfId="0" applyFont="1" applyBorder="1" applyAlignment="1">
      <alignment vertical="center" wrapText="1"/>
    </xf>
    <xf numFmtId="0" fontId="81" fillId="0" borderId="15" xfId="0" applyFont="1" applyBorder="1" applyAlignment="1">
      <alignment vertical="center" wrapText="1"/>
    </xf>
    <xf numFmtId="0" fontId="81" fillId="0" borderId="10" xfId="0" applyFont="1" applyBorder="1" applyAlignment="1">
      <alignment horizontal="center" vertical="center" wrapText="1"/>
    </xf>
    <xf numFmtId="0" fontId="35" fillId="6" borderId="0" xfId="0" applyFont="1" applyFill="1" applyAlignment="1"/>
    <xf numFmtId="0" fontId="142" fillId="5" borderId="0" xfId="0" applyFont="1" applyFill="1" applyAlignment="1"/>
    <xf numFmtId="0" fontId="110" fillId="5" borderId="0" xfId="0" applyFont="1" applyFill="1" applyAlignment="1"/>
    <xf numFmtId="2" fontId="35" fillId="0" borderId="0" xfId="0" applyNumberFormat="1" applyFont="1" applyAlignment="1">
      <alignment horizontal="center" vertical="center"/>
    </xf>
    <xf numFmtId="0" fontId="35" fillId="0" borderId="0" xfId="0" applyFont="1" applyAlignment="1">
      <alignment horizontal="center"/>
    </xf>
    <xf numFmtId="0" fontId="17" fillId="0" borderId="0" xfId="0" applyFont="1" applyBorder="1" applyAlignment="1">
      <alignment horizontal="center" wrapText="1"/>
    </xf>
    <xf numFmtId="0" fontId="17" fillId="0" borderId="7" xfId="0" applyFont="1" applyBorder="1" applyAlignment="1">
      <alignment horizontal="center" wrapText="1"/>
    </xf>
    <xf numFmtId="171" fontId="35" fillId="0" borderId="0" xfId="0" applyNumberFormat="1" applyFont="1" applyFill="1" applyBorder="1" applyAlignment="1">
      <alignment horizontal="left" vertical="center"/>
    </xf>
    <xf numFmtId="0" fontId="35" fillId="0" borderId="0" xfId="0" applyFont="1" applyAlignment="1">
      <alignment horizontal="left" vertical="center"/>
    </xf>
    <xf numFmtId="0" fontId="55" fillId="5" borderId="0" xfId="0" applyFont="1" applyFill="1" applyBorder="1" applyAlignment="1">
      <alignment horizontal="center"/>
    </xf>
    <xf numFmtId="0" fontId="55" fillId="5" borderId="0" xfId="0" applyFont="1" applyFill="1" applyBorder="1" applyAlignment="1">
      <alignment horizontal="left"/>
    </xf>
    <xf numFmtId="0" fontId="55" fillId="5" borderId="0" xfId="0" applyFont="1" applyFill="1" applyBorder="1" applyAlignment="1"/>
    <xf numFmtId="0" fontId="81" fillId="0" borderId="0" xfId="0" applyFont="1" applyFill="1" applyBorder="1" applyAlignment="1">
      <alignment horizontal="right" vertical="center" wrapText="1"/>
    </xf>
    <xf numFmtId="0" fontId="81" fillId="0" borderId="0" xfId="0" applyFont="1" applyFill="1" applyBorder="1" applyAlignment="1">
      <alignment horizontal="center" vertical="center"/>
    </xf>
    <xf numFmtId="0" fontId="115" fillId="5" borderId="0" xfId="0" applyFont="1" applyFill="1" applyBorder="1" applyAlignment="1">
      <alignment horizontal="center"/>
    </xf>
    <xf numFmtId="0" fontId="115" fillId="5" borderId="0" xfId="0" applyFont="1" applyFill="1" applyBorder="1" applyAlignment="1">
      <alignment horizontal="left"/>
    </xf>
    <xf numFmtId="0" fontId="115" fillId="5" borderId="0" xfId="0" applyFont="1" applyFill="1" applyBorder="1" applyAlignment="1"/>
    <xf numFmtId="165" fontId="116" fillId="5" borderId="0" xfId="4" applyNumberFormat="1" applyFont="1" applyFill="1" applyBorder="1" applyAlignment="1">
      <alignment horizontal="center"/>
    </xf>
    <xf numFmtId="165" fontId="116" fillId="6" borderId="0" xfId="5" applyNumberFormat="1" applyFont="1" applyFill="1" applyBorder="1" applyAlignment="1">
      <alignment horizontal="center"/>
    </xf>
    <xf numFmtId="166" fontId="42" fillId="5" borderId="0" xfId="0" applyNumberFormat="1" applyFont="1" applyFill="1" applyBorder="1" applyAlignment="1">
      <alignment horizontal="center" vertical="center"/>
    </xf>
    <xf numFmtId="0" fontId="51" fillId="0" borderId="0" xfId="4" applyFont="1" applyFill="1" applyBorder="1" applyAlignment="1">
      <alignment horizontal="center"/>
    </xf>
    <xf numFmtId="0" fontId="25" fillId="0" borderId="30" xfId="4" applyFont="1" applyFill="1" applyBorder="1" applyAlignment="1">
      <alignment horizontal="center"/>
    </xf>
    <xf numFmtId="0" fontId="17" fillId="3" borderId="7" xfId="0" applyFont="1" applyFill="1" applyBorder="1" applyAlignment="1">
      <alignment horizontal="center" vertical="center" wrapText="1"/>
    </xf>
    <xf numFmtId="0" fontId="17" fillId="3" borderId="0" xfId="0" applyFont="1" applyFill="1" applyBorder="1" applyAlignment="1">
      <alignment horizontal="center" vertical="center" wrapText="1"/>
    </xf>
    <xf numFmtId="0" fontId="17" fillId="3" borderId="15" xfId="0" applyFont="1" applyFill="1" applyBorder="1" applyAlignment="1">
      <alignment horizontal="center" vertical="center" wrapText="1"/>
    </xf>
    <xf numFmtId="0" fontId="0" fillId="0" borderId="7" xfId="0" applyBorder="1" applyAlignment="1"/>
    <xf numFmtId="0" fontId="39" fillId="6" borderId="0" xfId="0" applyFont="1" applyFill="1" applyAlignment="1">
      <alignment horizontal="center"/>
    </xf>
    <xf numFmtId="0" fontId="130" fillId="0" borderId="0" xfId="7" applyFont="1" applyAlignment="1" applyProtection="1"/>
    <xf numFmtId="0" fontId="35" fillId="0" borderId="0" xfId="0" applyFont="1" applyAlignment="1"/>
    <xf numFmtId="0" fontId="57" fillId="3" borderId="9" xfId="0" applyFont="1" applyFill="1" applyBorder="1" applyAlignment="1">
      <alignment horizontal="center" vertical="center" wrapText="1"/>
    </xf>
    <xf numFmtId="0" fontId="57" fillId="3" borderId="10" xfId="0" applyFont="1" applyFill="1" applyBorder="1" applyAlignment="1">
      <alignment horizontal="center" vertical="center" wrapText="1"/>
    </xf>
    <xf numFmtId="0" fontId="57" fillId="3" borderId="11" xfId="0" applyFont="1" applyFill="1" applyBorder="1" applyAlignment="1">
      <alignment horizontal="center" vertical="center" wrapText="1"/>
    </xf>
    <xf numFmtId="0" fontId="57" fillId="3" borderId="14" xfId="0" applyFont="1" applyFill="1" applyBorder="1" applyAlignment="1">
      <alignment horizontal="center" vertical="center" wrapText="1"/>
    </xf>
    <xf numFmtId="0" fontId="57" fillId="3" borderId="15" xfId="0" applyFont="1" applyFill="1" applyBorder="1" applyAlignment="1">
      <alignment horizontal="center" vertical="center" wrapText="1"/>
    </xf>
    <xf numFmtId="0" fontId="57" fillId="3" borderId="16" xfId="0" applyFont="1" applyFill="1" applyBorder="1" applyAlignment="1">
      <alignment horizontal="center" vertical="center" wrapText="1"/>
    </xf>
    <xf numFmtId="0" fontId="57" fillId="3" borderId="28" xfId="0" applyFont="1" applyFill="1" applyBorder="1" applyAlignment="1">
      <alignment horizontal="center" vertical="center" wrapText="1"/>
    </xf>
    <xf numFmtId="0" fontId="57" fillId="3" borderId="17" xfId="0" applyFont="1" applyFill="1" applyBorder="1" applyAlignment="1">
      <alignment horizontal="center" vertical="center" wrapText="1"/>
    </xf>
    <xf numFmtId="0" fontId="57" fillId="3" borderId="29" xfId="0" applyFont="1" applyFill="1" applyBorder="1" applyAlignment="1">
      <alignment horizontal="center" vertical="center" wrapText="1"/>
    </xf>
    <xf numFmtId="0" fontId="49" fillId="0" borderId="32" xfId="0" applyFont="1" applyBorder="1" applyAlignment="1">
      <alignment horizontal="left" vertical="center" wrapText="1"/>
    </xf>
    <xf numFmtId="0" fontId="49" fillId="0" borderId="30" xfId="0" applyFont="1" applyBorder="1" applyAlignment="1">
      <alignment horizontal="left" vertical="center" wrapText="1"/>
    </xf>
    <xf numFmtId="0" fontId="137" fillId="0" borderId="0" xfId="0" applyFont="1" applyAlignment="1">
      <alignment horizontal="center" wrapText="1"/>
    </xf>
    <xf numFmtId="0" fontId="137" fillId="0" borderId="31" xfId="0" applyFont="1" applyFill="1" applyBorder="1" applyAlignment="1">
      <alignment horizontal="center" vertical="center" wrapText="1"/>
    </xf>
    <xf numFmtId="0" fontId="137" fillId="0" borderId="32" xfId="0" applyFont="1" applyFill="1" applyBorder="1" applyAlignment="1">
      <alignment horizontal="center" vertical="center" wrapText="1"/>
    </xf>
    <xf numFmtId="0" fontId="137" fillId="0" borderId="33" xfId="0" applyFont="1" applyFill="1" applyBorder="1" applyAlignment="1">
      <alignment horizontal="center" vertical="center" wrapText="1"/>
    </xf>
    <xf numFmtId="0" fontId="137" fillId="0" borderId="27" xfId="0" applyFont="1" applyFill="1" applyBorder="1" applyAlignment="1">
      <alignment horizontal="center" vertical="center" wrapText="1"/>
    </xf>
    <xf numFmtId="0" fontId="137" fillId="0" borderId="0" xfId="0" applyFont="1" applyFill="1" applyBorder="1" applyAlignment="1">
      <alignment horizontal="center" vertical="center" wrapText="1"/>
    </xf>
    <xf numFmtId="0" fontId="137" fillId="0" borderId="34" xfId="0" applyFont="1" applyFill="1" applyBorder="1" applyAlignment="1">
      <alignment horizontal="center" vertical="center" wrapText="1"/>
    </xf>
    <xf numFmtId="0" fontId="137" fillId="0" borderId="35" xfId="0" applyFont="1" applyFill="1" applyBorder="1" applyAlignment="1">
      <alignment horizontal="center" vertical="center" wrapText="1"/>
    </xf>
    <xf numFmtId="0" fontId="137" fillId="0" borderId="30" xfId="0" applyFont="1" applyFill="1" applyBorder="1" applyAlignment="1">
      <alignment horizontal="center" vertical="center" wrapText="1"/>
    </xf>
    <xf numFmtId="0" fontId="137" fillId="0" borderId="36" xfId="0" applyFont="1" applyFill="1" applyBorder="1" applyAlignment="1">
      <alignment horizontal="center" vertical="center" wrapText="1"/>
    </xf>
    <xf numFmtId="0" fontId="0" fillId="0" borderId="0" xfId="0" applyAlignment="1">
      <alignment horizontal="left" vertical="top" wrapText="1"/>
    </xf>
    <xf numFmtId="0" fontId="49" fillId="0" borderId="47" xfId="0" applyFont="1" applyBorder="1" applyAlignment="1">
      <alignment horizontal="center" vertical="center" wrapText="1"/>
    </xf>
    <xf numFmtId="0" fontId="49" fillId="0" borderId="47" xfId="0" applyFont="1" applyBorder="1" applyAlignment="1">
      <alignment horizontal="center" wrapText="1"/>
    </xf>
    <xf numFmtId="0" fontId="49" fillId="0" borderId="0" xfId="0" applyFont="1" applyAlignment="1">
      <alignment horizontal="center" vertical="center" wrapText="1"/>
    </xf>
    <xf numFmtId="0" fontId="46" fillId="4" borderId="0" xfId="0" applyFont="1" applyFill="1" applyBorder="1" applyAlignment="1">
      <alignment horizontal="center" wrapText="1"/>
    </xf>
    <xf numFmtId="0" fontId="35" fillId="0" borderId="39" xfId="0" applyFont="1" applyBorder="1" applyAlignment="1">
      <alignment vertical="top" wrapText="1"/>
    </xf>
    <xf numFmtId="0" fontId="35" fillId="0" borderId="38" xfId="0" applyFont="1" applyBorder="1" applyAlignment="1">
      <alignment vertical="top" wrapText="1"/>
    </xf>
    <xf numFmtId="0" fontId="88" fillId="5" borderId="10" xfId="0" applyFont="1" applyFill="1" applyBorder="1" applyAlignment="1">
      <alignment vertical="center" wrapText="1"/>
    </xf>
    <xf numFmtId="0" fontId="88" fillId="5" borderId="15" xfId="0" applyFont="1" applyFill="1" applyBorder="1" applyAlignment="1">
      <alignment vertical="center" wrapText="1"/>
    </xf>
    <xf numFmtId="0" fontId="88" fillId="5" borderId="10" xfId="0" applyFont="1" applyFill="1" applyBorder="1" applyAlignment="1">
      <alignment horizontal="center" vertical="center" wrapText="1"/>
    </xf>
    <xf numFmtId="0" fontId="124" fillId="0" borderId="0" xfId="7" applyFont="1" applyAlignment="1" applyProtection="1"/>
  </cellXfs>
  <cellStyles count="113">
    <cellStyle name="20% - Accent1" xfId="88" builtinId="30" customBuiltin="1"/>
    <cellStyle name="20% - Accent2" xfId="92" builtinId="34" customBuiltin="1"/>
    <cellStyle name="20% - Accent3" xfId="96" builtinId="38" customBuiltin="1"/>
    <cellStyle name="20% - Accent4" xfId="100" builtinId="42" customBuiltin="1"/>
    <cellStyle name="20% - Accent5" xfId="104" builtinId="46" customBuiltin="1"/>
    <cellStyle name="20% - Accent6" xfId="108" builtinId="50" customBuiltin="1"/>
    <cellStyle name="40% - Accent1" xfId="89" builtinId="31" customBuiltin="1"/>
    <cellStyle name="40% - Accent2" xfId="93" builtinId="35" customBuiltin="1"/>
    <cellStyle name="40% - Accent3" xfId="97" builtinId="39" customBuiltin="1"/>
    <cellStyle name="40% - Accent4" xfId="101" builtinId="43" customBuiltin="1"/>
    <cellStyle name="40% - Accent5" xfId="105" builtinId="47" customBuiltin="1"/>
    <cellStyle name="40% - Accent6" xfId="109" builtinId="51" customBuiltin="1"/>
    <cellStyle name="60% - Accent1" xfId="90" builtinId="32" customBuiltin="1"/>
    <cellStyle name="60% - Accent2" xfId="94" builtinId="36" customBuiltin="1"/>
    <cellStyle name="60% - Accent3" xfId="98" builtinId="40" customBuiltin="1"/>
    <cellStyle name="60% - Accent4" xfId="102" builtinId="44" customBuiltin="1"/>
    <cellStyle name="60% - Accent5" xfId="106" builtinId="48" customBuiltin="1"/>
    <cellStyle name="60% - Accent6" xfId="110" builtinId="52" customBuiltin="1"/>
    <cellStyle name="Accent1" xfId="87" builtinId="29" customBuiltin="1"/>
    <cellStyle name="Accent2" xfId="91" builtinId="33" customBuiltin="1"/>
    <cellStyle name="Accent3" xfId="95" builtinId="37" customBuiltin="1"/>
    <cellStyle name="Accent4" xfId="99" builtinId="41" customBuiltin="1"/>
    <cellStyle name="Accent5" xfId="103" builtinId="45" customBuiltin="1"/>
    <cellStyle name="Accent6" xfId="107" builtinId="49" customBuiltin="1"/>
    <cellStyle name="Bad" xfId="76" builtinId="27" customBuiltin="1"/>
    <cellStyle name="blank" xfId="13"/>
    <cellStyle name="Calculation" xfId="80" builtinId="22" customBuiltin="1"/>
    <cellStyle name="Check Cell" xfId="82" builtinId="23" customBuiltin="1"/>
    <cellStyle name="CodeHeading" xfId="14"/>
    <cellStyle name="Col_Top_Wrap" xfId="15"/>
    <cellStyle name="Comma" xfId="1" builtinId="3"/>
    <cellStyle name="Comma 2" xfId="5"/>
    <cellStyle name="Comma 3" xfId="69"/>
    <cellStyle name="Currency 2" xfId="68"/>
    <cellStyle name="Euro" xfId="16"/>
    <cellStyle name="Explanation" xfId="17"/>
    <cellStyle name="Explanatory Text" xfId="85" builtinId="53" customBuiltin="1"/>
    <cellStyle name="Followed Hyperlink 2" xfId="45"/>
    <cellStyle name="Followed Hyperlink 2 2" xfId="112"/>
    <cellStyle name="Good" xfId="75" builtinId="26" customBuiltin="1"/>
    <cellStyle name="Greyed" xfId="18"/>
    <cellStyle name="hard no." xfId="19"/>
    <cellStyle name="Heading 1" xfId="71" builtinId="16" customBuiltin="1"/>
    <cellStyle name="Heading 2" xfId="72" builtinId="17" customBuiltin="1"/>
    <cellStyle name="Heading 3" xfId="73" builtinId="18" customBuiltin="1"/>
    <cellStyle name="Heading 4" xfId="74" builtinId="19" customBuiltin="1"/>
    <cellStyle name="house" xfId="9"/>
    <cellStyle name="Hyperlink" xfId="7" builtinId="8"/>
    <cellStyle name="Hyperlink 2" xfId="46"/>
    <cellStyle name="Hyperlink 2 2" xfId="111"/>
    <cellStyle name="Input" xfId="78" builtinId="20" customBuiltin="1"/>
    <cellStyle name="Input 1" xfId="20"/>
    <cellStyle name="Input 2" xfId="21"/>
    <cellStyle name="KPMG Heading 1" xfId="22"/>
    <cellStyle name="KPMG Heading 2" xfId="23"/>
    <cellStyle name="KPMG Heading 3" xfId="24"/>
    <cellStyle name="KPMG Heading 4" xfId="25"/>
    <cellStyle name="KPMG Normal" xfId="26"/>
    <cellStyle name="KPMG Normal Text" xfId="27"/>
    <cellStyle name="Large" xfId="28"/>
    <cellStyle name="Linked Cell" xfId="81" builtinId="24" customBuiltin="1"/>
    <cellStyle name="Mid_Centred" xfId="29"/>
    <cellStyle name="Neutral" xfId="77" builtinId="28" customBuiltin="1"/>
    <cellStyle name="Normal" xfId="0" builtinId="0"/>
    <cellStyle name="Normal - Style1" xfId="30"/>
    <cellStyle name="Normal 10" xfId="47"/>
    <cellStyle name="Normal 11" xfId="48"/>
    <cellStyle name="Normal 12" xfId="49"/>
    <cellStyle name="Normal 13" xfId="50"/>
    <cellStyle name="Normal 14" xfId="51"/>
    <cellStyle name="Normal 15" xfId="52"/>
    <cellStyle name="Normal 2" xfId="10"/>
    <cellStyle name="Normal 3" xfId="4"/>
    <cellStyle name="Normal 4" xfId="6"/>
    <cellStyle name="Normal 5" xfId="53"/>
    <cellStyle name="Normal 6" xfId="54"/>
    <cellStyle name="Normal 7" xfId="55"/>
    <cellStyle name="Normal 8" xfId="56"/>
    <cellStyle name="Normal 9" xfId="57"/>
    <cellStyle name="Normal_Indirect intermediates" xfId="44"/>
    <cellStyle name="Normal_joint pn" xfId="43"/>
    <cellStyle name="Normal_Sheet15" xfId="12"/>
    <cellStyle name="Normal_tables1 to 9" xfId="11"/>
    <cellStyle name="Note" xfId="84" builtinId="10" customBuiltin="1"/>
    <cellStyle name="Option" xfId="31"/>
    <cellStyle name="Output" xfId="79" builtinId="21" customBuiltin="1"/>
    <cellStyle name="Output Amounts" xfId="32"/>
    <cellStyle name="Percent" xfId="8" builtinId="5"/>
    <cellStyle name="Percent +/-" xfId="33"/>
    <cellStyle name="Percent 10" xfId="3"/>
    <cellStyle name="Percent 11" xfId="58"/>
    <cellStyle name="Percent 12" xfId="59"/>
    <cellStyle name="Percent 13" xfId="60"/>
    <cellStyle name="Percent 14" xfId="61"/>
    <cellStyle name="Percent 15" xfId="62"/>
    <cellStyle name="Percent 2" xfId="2"/>
    <cellStyle name="Percent 3" xfId="34"/>
    <cellStyle name="Percent 4" xfId="35"/>
    <cellStyle name="Percent 5" xfId="63"/>
    <cellStyle name="Percent 6" xfId="64"/>
    <cellStyle name="Percent 7" xfId="65"/>
    <cellStyle name="Percent 8" xfId="66"/>
    <cellStyle name="Percent 9" xfId="67"/>
    <cellStyle name="Shaded" xfId="36"/>
    <cellStyle name="Small" xfId="37"/>
    <cellStyle name="Title" xfId="70" builtinId="15" customBuiltin="1"/>
    <cellStyle name="Title 1" xfId="38"/>
    <cellStyle name="Title 2" xfId="39"/>
    <cellStyle name="Top_Centred" xfId="40"/>
    <cellStyle name="Topline" xfId="41"/>
    <cellStyle name="Total" xfId="86" builtinId="25" customBuiltin="1"/>
    <cellStyle name="Warning Text" xfId="83" builtinId="11" customBuiltin="1"/>
    <cellStyle name="_x0007_ଘƦ" xfId="42"/>
  </cellStyles>
  <dxfs count="0"/>
  <tableStyles count="0" defaultTableStyle="TableStyleMedium9" defaultPivotStyle="PivotStyleLight16"/>
  <colors>
    <mruColors>
      <color rgb="FF2BCBF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78" Type="http://schemas.openxmlformats.org/officeDocument/2006/relationships/powerPivotData" Target="model/item.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lineChart>
        <c:grouping val="standard"/>
        <c:varyColors val="0"/>
        <c:ser>
          <c:idx val="0"/>
          <c:order val="0"/>
          <c:tx>
            <c:v>Trusts Labour</c:v>
          </c:tx>
          <c:marker>
            <c:symbol val="none"/>
          </c:marker>
          <c:cat>
            <c:strRef>
              <c:f>'Indirect labour inputs - all '!$B$51:$B$64</c:f>
              <c:strCache>
                <c:ptCount val="14"/>
                <c:pt idx="0">
                  <c:v>1998/99</c:v>
                </c:pt>
                <c:pt idx="1">
                  <c:v>1999/00</c:v>
                </c:pt>
                <c:pt idx="2">
                  <c:v>2000/01</c:v>
                </c:pt>
                <c:pt idx="3">
                  <c:v>2001/02</c:v>
                </c:pt>
                <c:pt idx="4">
                  <c:v>2002/03</c:v>
                </c:pt>
                <c:pt idx="5">
                  <c:v>2003/04</c:v>
                </c:pt>
                <c:pt idx="6">
                  <c:v>2004/05</c:v>
                </c:pt>
                <c:pt idx="7">
                  <c:v>2005/06</c:v>
                </c:pt>
                <c:pt idx="8">
                  <c:v>2006/07</c:v>
                </c:pt>
                <c:pt idx="9">
                  <c:v>2007/08</c:v>
                </c:pt>
                <c:pt idx="10">
                  <c:v>2008/09</c:v>
                </c:pt>
                <c:pt idx="11">
                  <c:v>2009/10</c:v>
                </c:pt>
                <c:pt idx="12">
                  <c:v>2010/11</c:v>
                </c:pt>
                <c:pt idx="13">
                  <c:v>2011/12</c:v>
                </c:pt>
              </c:strCache>
            </c:strRef>
          </c:cat>
          <c:val>
            <c:numRef>
              <c:f>'Indirect labour inputs - all '!$H$51:$H$64</c:f>
              <c:numCache>
                <c:formatCode>General</c:formatCode>
                <c:ptCount val="14"/>
                <c:pt idx="0">
                  <c:v>1</c:v>
                </c:pt>
                <c:pt idx="1">
                  <c:v>1.0922336027425321</c:v>
                </c:pt>
                <c:pt idx="2">
                  <c:v>1.1896890689390078</c:v>
                </c:pt>
                <c:pt idx="3">
                  <c:v>1.2683076909127931</c:v>
                </c:pt>
                <c:pt idx="4">
                  <c:v>1.283164317440239</c:v>
                </c:pt>
                <c:pt idx="5">
                  <c:v>1.4144091877235427</c:v>
                </c:pt>
                <c:pt idx="6">
                  <c:v>1.54123224118291</c:v>
                </c:pt>
                <c:pt idx="7">
                  <c:v>1.6567119563027781</c:v>
                </c:pt>
                <c:pt idx="8">
                  <c:v>1.7212768324483743</c:v>
                </c:pt>
                <c:pt idx="9">
                  <c:v>1.8000332406142743</c:v>
                </c:pt>
                <c:pt idx="10">
                  <c:v>1.9240944974116887</c:v>
                </c:pt>
                <c:pt idx="11">
                  <c:v>2.0587607694262768</c:v>
                </c:pt>
                <c:pt idx="12">
                  <c:v>2.1924847988421519</c:v>
                </c:pt>
                <c:pt idx="13">
                  <c:v>2.4583293202362269</c:v>
                </c:pt>
              </c:numCache>
            </c:numRef>
          </c:val>
          <c:smooth val="0"/>
        </c:ser>
        <c:ser>
          <c:idx val="1"/>
          <c:order val="1"/>
          <c:tx>
            <c:v>Total Labour</c:v>
          </c:tx>
          <c:spPr>
            <a:ln>
              <a:prstDash val="dash"/>
            </a:ln>
          </c:spPr>
          <c:marker>
            <c:symbol val="none"/>
          </c:marker>
          <c:cat>
            <c:strRef>
              <c:f>'Indirect labour inputs - all '!$B$51:$B$64</c:f>
              <c:strCache>
                <c:ptCount val="14"/>
                <c:pt idx="0">
                  <c:v>1998/99</c:v>
                </c:pt>
                <c:pt idx="1">
                  <c:v>1999/00</c:v>
                </c:pt>
                <c:pt idx="2">
                  <c:v>2000/01</c:v>
                </c:pt>
                <c:pt idx="3">
                  <c:v>2001/02</c:v>
                </c:pt>
                <c:pt idx="4">
                  <c:v>2002/03</c:v>
                </c:pt>
                <c:pt idx="5">
                  <c:v>2003/04</c:v>
                </c:pt>
                <c:pt idx="6">
                  <c:v>2004/05</c:v>
                </c:pt>
                <c:pt idx="7">
                  <c:v>2005/06</c:v>
                </c:pt>
                <c:pt idx="8">
                  <c:v>2006/07</c:v>
                </c:pt>
                <c:pt idx="9">
                  <c:v>2007/08</c:v>
                </c:pt>
                <c:pt idx="10">
                  <c:v>2008/09</c:v>
                </c:pt>
                <c:pt idx="11">
                  <c:v>2009/10</c:v>
                </c:pt>
                <c:pt idx="12">
                  <c:v>2010/11</c:v>
                </c:pt>
                <c:pt idx="13">
                  <c:v>2011/12</c:v>
                </c:pt>
              </c:strCache>
            </c:strRef>
          </c:cat>
          <c:val>
            <c:numRef>
              <c:f>'Indirect labour inputs - all '!$I$51:$I$64</c:f>
              <c:numCache>
                <c:formatCode>General</c:formatCode>
                <c:ptCount val="14"/>
                <c:pt idx="0">
                  <c:v>1</c:v>
                </c:pt>
                <c:pt idx="1">
                  <c:v>1.0862084036527704</c:v>
                </c:pt>
                <c:pt idx="2">
                  <c:v>1.171916754461314</c:v>
                </c:pt>
                <c:pt idx="3">
                  <c:v>1.2270535980142838</c:v>
                </c:pt>
                <c:pt idx="4">
                  <c:v>1.2260371854986392</c:v>
                </c:pt>
                <c:pt idx="5">
                  <c:v>1.3223510610748677</c:v>
                </c:pt>
                <c:pt idx="6">
                  <c:v>1.4809040279174766</c:v>
                </c:pt>
                <c:pt idx="7">
                  <c:v>1.6034291963374618</c:v>
                </c:pt>
                <c:pt idx="8">
                  <c:v>1.6625421330342649</c:v>
                </c:pt>
                <c:pt idx="9">
                  <c:v>1.7269347362963752</c:v>
                </c:pt>
                <c:pt idx="10">
                  <c:v>1.853286957917418</c:v>
                </c:pt>
                <c:pt idx="11">
                  <c:v>1.9918409905533019</c:v>
                </c:pt>
                <c:pt idx="12">
                  <c:v>2.056529655084542</c:v>
                </c:pt>
                <c:pt idx="13">
                  <c:v>2.049245515982844</c:v>
                </c:pt>
              </c:numCache>
            </c:numRef>
          </c:val>
          <c:smooth val="0"/>
        </c:ser>
        <c:ser>
          <c:idx val="2"/>
          <c:order val="2"/>
          <c:tx>
            <c:v>Trusts labour - constant</c:v>
          </c:tx>
          <c:spPr>
            <a:ln>
              <a:prstDash val="sysDot"/>
            </a:ln>
          </c:spPr>
          <c:marker>
            <c:symbol val="none"/>
          </c:marker>
          <c:cat>
            <c:strRef>
              <c:f>'Indirect labour inputs - all '!$B$51:$B$64</c:f>
              <c:strCache>
                <c:ptCount val="14"/>
                <c:pt idx="0">
                  <c:v>1998/99</c:v>
                </c:pt>
                <c:pt idx="1">
                  <c:v>1999/00</c:v>
                </c:pt>
                <c:pt idx="2">
                  <c:v>2000/01</c:v>
                </c:pt>
                <c:pt idx="3">
                  <c:v>2001/02</c:v>
                </c:pt>
                <c:pt idx="4">
                  <c:v>2002/03</c:v>
                </c:pt>
                <c:pt idx="5">
                  <c:v>2003/04</c:v>
                </c:pt>
                <c:pt idx="6">
                  <c:v>2004/05</c:v>
                </c:pt>
                <c:pt idx="7">
                  <c:v>2005/06</c:v>
                </c:pt>
                <c:pt idx="8">
                  <c:v>2006/07</c:v>
                </c:pt>
                <c:pt idx="9">
                  <c:v>2007/08</c:v>
                </c:pt>
                <c:pt idx="10">
                  <c:v>2008/09</c:v>
                </c:pt>
                <c:pt idx="11">
                  <c:v>2009/10</c:v>
                </c:pt>
                <c:pt idx="12">
                  <c:v>2010/11</c:v>
                </c:pt>
                <c:pt idx="13">
                  <c:v>2011/12</c:v>
                </c:pt>
              </c:strCache>
            </c:strRef>
          </c:cat>
          <c:val>
            <c:numRef>
              <c:f>'Indirect labour inputs - all '!$J$51:$J$64</c:f>
              <c:numCache>
                <c:formatCode>General</c:formatCode>
                <c:ptCount val="14"/>
                <c:pt idx="0">
                  <c:v>1</c:v>
                </c:pt>
                <c:pt idx="1">
                  <c:v>1.021733959534642</c:v>
                </c:pt>
                <c:pt idx="2">
                  <c:v>1.0381520853453219</c:v>
                </c:pt>
                <c:pt idx="3">
                  <c:v>1.0219359538135846</c:v>
                </c:pt>
                <c:pt idx="4">
                  <c:v>0.98467299606672465</c:v>
                </c:pt>
                <c:pt idx="5">
                  <c:v>1.0115447503278343</c:v>
                </c:pt>
                <c:pt idx="6">
                  <c:v>1.0547798552433409</c:v>
                </c:pt>
                <c:pt idx="7">
                  <c:v>1.082914243899209</c:v>
                </c:pt>
                <c:pt idx="8">
                  <c:v>1.1376311926572025</c:v>
                </c:pt>
                <c:pt idx="9">
                  <c:v>1.1494522729772112</c:v>
                </c:pt>
                <c:pt idx="10">
                  <c:v>1.1928877840239633</c:v>
                </c:pt>
                <c:pt idx="11">
                  <c:v>1.2538087592378739</c:v>
                </c:pt>
                <c:pt idx="12">
                  <c:v>1.2951001128593214</c:v>
                </c:pt>
                <c:pt idx="13">
                  <c:v>1.4391817560800795</c:v>
                </c:pt>
              </c:numCache>
            </c:numRef>
          </c:val>
          <c:smooth val="0"/>
        </c:ser>
        <c:ser>
          <c:idx val="3"/>
          <c:order val="3"/>
          <c:tx>
            <c:v>Total labour - constant</c:v>
          </c:tx>
          <c:spPr>
            <a:ln>
              <a:prstDash val="dashDot"/>
            </a:ln>
          </c:spPr>
          <c:marker>
            <c:symbol val="none"/>
          </c:marker>
          <c:cat>
            <c:strRef>
              <c:f>'Indirect labour inputs - all '!$B$51:$B$64</c:f>
              <c:strCache>
                <c:ptCount val="14"/>
                <c:pt idx="0">
                  <c:v>1998/99</c:v>
                </c:pt>
                <c:pt idx="1">
                  <c:v>1999/00</c:v>
                </c:pt>
                <c:pt idx="2">
                  <c:v>2000/01</c:v>
                </c:pt>
                <c:pt idx="3">
                  <c:v>2001/02</c:v>
                </c:pt>
                <c:pt idx="4">
                  <c:v>2002/03</c:v>
                </c:pt>
                <c:pt idx="5">
                  <c:v>2003/04</c:v>
                </c:pt>
                <c:pt idx="6">
                  <c:v>2004/05</c:v>
                </c:pt>
                <c:pt idx="7">
                  <c:v>2005/06</c:v>
                </c:pt>
                <c:pt idx="8">
                  <c:v>2006/07</c:v>
                </c:pt>
                <c:pt idx="9">
                  <c:v>2007/08</c:v>
                </c:pt>
                <c:pt idx="10">
                  <c:v>2008/09</c:v>
                </c:pt>
                <c:pt idx="11">
                  <c:v>2009/10</c:v>
                </c:pt>
                <c:pt idx="12">
                  <c:v>2010/11</c:v>
                </c:pt>
                <c:pt idx="13">
                  <c:v>2011/12</c:v>
                </c:pt>
              </c:strCache>
            </c:strRef>
          </c:cat>
          <c:val>
            <c:numRef>
              <c:f>'Indirect labour inputs - all '!$L$51:$L$64</c:f>
              <c:numCache>
                <c:formatCode>General</c:formatCode>
                <c:ptCount val="14"/>
                <c:pt idx="0">
                  <c:v>1</c:v>
                </c:pt>
                <c:pt idx="1">
                  <c:v>1.01609766478276</c:v>
                </c:pt>
                <c:pt idx="2">
                  <c:v>1.0226435244800152</c:v>
                </c:pt>
                <c:pt idx="3">
                  <c:v>0.98869556500492672</c:v>
                </c:pt>
                <c:pt idx="4">
                  <c:v>0.940834850475325</c:v>
                </c:pt>
                <c:pt idx="5">
                  <c:v>0.94570742719338963</c:v>
                </c:pt>
                <c:pt idx="6">
                  <c:v>1.0134927718597464</c:v>
                </c:pt>
                <c:pt idx="7">
                  <c:v>1.0480858239670729</c:v>
                </c:pt>
                <c:pt idx="8">
                  <c:v>1.0988120876270184</c:v>
                </c:pt>
                <c:pt idx="9">
                  <c:v>1.1027735561381986</c:v>
                </c:pt>
                <c:pt idx="10">
                  <c:v>1.148988979161139</c:v>
                </c:pt>
                <c:pt idx="11">
                  <c:v>1.2130538516433507</c:v>
                </c:pt>
                <c:pt idx="12">
                  <c:v>1.2147914502326658</c:v>
                </c:pt>
                <c:pt idx="13">
                  <c:v>1.1996914880582472</c:v>
                </c:pt>
              </c:numCache>
            </c:numRef>
          </c:val>
          <c:smooth val="0"/>
        </c:ser>
        <c:dLbls>
          <c:showLegendKey val="0"/>
          <c:showVal val="0"/>
          <c:showCatName val="0"/>
          <c:showSerName val="0"/>
          <c:showPercent val="0"/>
          <c:showBubbleSize val="0"/>
        </c:dLbls>
        <c:marker val="1"/>
        <c:smooth val="0"/>
        <c:axId val="99636352"/>
        <c:axId val="99637888"/>
      </c:lineChart>
      <c:catAx>
        <c:axId val="99636352"/>
        <c:scaling>
          <c:orientation val="minMax"/>
        </c:scaling>
        <c:delete val="0"/>
        <c:axPos val="b"/>
        <c:numFmt formatCode="General" sourceLinked="0"/>
        <c:majorTickMark val="none"/>
        <c:minorTickMark val="none"/>
        <c:tickLblPos val="nextTo"/>
        <c:txPr>
          <a:bodyPr rot="5400000" vert="horz"/>
          <a:lstStyle/>
          <a:p>
            <a:pPr>
              <a:defRPr sz="900" b="0" i="0"/>
            </a:pPr>
            <a:endParaRPr lang="en-US"/>
          </a:p>
        </c:txPr>
        <c:crossAx val="99637888"/>
        <c:crosses val="autoZero"/>
        <c:auto val="1"/>
        <c:lblAlgn val="ctr"/>
        <c:lblOffset val="100"/>
        <c:noMultiLvlLbl val="0"/>
      </c:catAx>
      <c:valAx>
        <c:axId val="99637888"/>
        <c:scaling>
          <c:orientation val="minMax"/>
          <c:min val="0.8"/>
        </c:scaling>
        <c:delete val="0"/>
        <c:axPos val="l"/>
        <c:numFmt formatCode="General" sourceLinked="1"/>
        <c:majorTickMark val="none"/>
        <c:minorTickMark val="none"/>
        <c:tickLblPos val="nextTo"/>
        <c:crossAx val="99636352"/>
        <c:crosses val="autoZero"/>
        <c:crossBetween val="between"/>
      </c:valAx>
    </c:plotArea>
    <c:legend>
      <c:legendPos val="b"/>
      <c:overlay val="0"/>
    </c:legend>
    <c:plotVisOnly val="1"/>
    <c:dispBlanksAs val="gap"/>
    <c:showDLblsOverMax val="0"/>
  </c:chart>
  <c:spPr>
    <a:ln>
      <a:noFill/>
    </a:ln>
  </c:spPr>
  <c:printSettings>
    <c:headerFooter/>
    <c:pageMargins b="0.75000000000000078" l="0.70000000000000062" r="0.70000000000000062" t="0.75000000000000078"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lineChart>
        <c:grouping val="standard"/>
        <c:varyColors val="0"/>
        <c:ser>
          <c:idx val="0"/>
          <c:order val="0"/>
          <c:tx>
            <c:v>Quantity</c:v>
          </c:tx>
          <c:spPr>
            <a:ln w="50800"/>
          </c:spPr>
          <c:marker>
            <c:symbol val="none"/>
          </c:marker>
          <c:val>
            <c:numRef>
              <c:f>'Reference Costs Output (4)'!#REF!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'Reference Costs Output (4)'!#REF!</c15:sqref>
                        </c15:formulaRef>
                      </c:ext>
                    </c:extLst>
                  </c:multiLvlStrRef>
                </c15:cat>
              </c15:filteredCategoryTitle>
            </c:ext>
          </c:extLst>
        </c:ser>
        <c:ser>
          <c:idx val="1"/>
          <c:order val="1"/>
          <c:tx>
            <c:v>Cost</c:v>
          </c:tx>
          <c:spPr>
            <a:ln w="50800"/>
          </c:spPr>
          <c:marker>
            <c:symbol val="none"/>
          </c:marker>
          <c:val>
            <c:numRef>
              <c:f>'Reference Costs Output (4)'!#REF!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'Reference Costs Output (4)'!#REF!</c15:sqref>
                        </c15:formulaRef>
                      </c:ext>
                    </c:extLst>
                  </c:multiLvlStrRef>
                </c15:cat>
              </c15:filteredCategoryTitle>
            </c:ext>
          </c:extLst>
        </c:ser>
        <c:dLbls>
          <c:showLegendKey val="0"/>
          <c:showVal val="0"/>
          <c:showCatName val="0"/>
          <c:showSerName val="0"/>
          <c:showPercent val="0"/>
          <c:showBubbleSize val="0"/>
        </c:dLbls>
        <c:marker val="1"/>
        <c:smooth val="0"/>
        <c:axId val="119851648"/>
        <c:axId val="119796864"/>
      </c:lineChart>
      <c:catAx>
        <c:axId val="119851648"/>
        <c:scaling>
          <c:orientation val="minMax"/>
        </c:scaling>
        <c:delete val="0"/>
        <c:axPos val="b"/>
        <c:majorTickMark val="out"/>
        <c:minorTickMark val="none"/>
        <c:tickLblPos val="nextTo"/>
        <c:txPr>
          <a:bodyPr/>
          <a:lstStyle/>
          <a:p>
            <a:pPr>
              <a:defRPr sz="1300">
                <a:latin typeface="Arial Rounded MT Bold" pitchFamily="34" charset="0"/>
              </a:defRPr>
            </a:pPr>
            <a:endParaRPr lang="en-US"/>
          </a:p>
        </c:txPr>
        <c:crossAx val="119796864"/>
        <c:crosses val="autoZero"/>
        <c:auto val="1"/>
        <c:lblAlgn val="ctr"/>
        <c:lblOffset val="100"/>
        <c:noMultiLvlLbl val="0"/>
      </c:catAx>
      <c:valAx>
        <c:axId val="119796864"/>
        <c:scaling>
          <c:orientation val="minMax"/>
          <c:min val="0.9"/>
        </c:scaling>
        <c:delete val="0"/>
        <c:axPos val="l"/>
        <c:majorGridlines/>
        <c:numFmt formatCode="General" sourceLinked="1"/>
        <c:majorTickMark val="out"/>
        <c:minorTickMark val="none"/>
        <c:tickLblPos val="nextTo"/>
        <c:txPr>
          <a:bodyPr/>
          <a:lstStyle/>
          <a:p>
            <a:pPr>
              <a:defRPr sz="1300">
                <a:latin typeface="Arial Rounded MT Bold" pitchFamily="34" charset="0"/>
              </a:defRPr>
            </a:pPr>
            <a:endParaRPr lang="en-US"/>
          </a:p>
        </c:txPr>
        <c:crossAx val="119851648"/>
        <c:crosses val="autoZero"/>
        <c:crossBetween val="between"/>
        <c:majorUnit val="0.1"/>
      </c:valAx>
    </c:plotArea>
    <c:legend>
      <c:legendPos val="b"/>
      <c:overlay val="0"/>
      <c:txPr>
        <a:bodyPr/>
        <a:lstStyle/>
        <a:p>
          <a:pPr>
            <a:defRPr sz="1200">
              <a:latin typeface="Arial Rounded MT Bold" pitchFamily="34" charset="0"/>
            </a:defRPr>
          </a:pPr>
          <a:endParaRPr lang="en-US"/>
        </a:p>
      </c:txPr>
    </c:legend>
    <c:plotVisOnly val="1"/>
    <c:dispBlanksAs val="zero"/>
    <c:showDLblsOverMax val="0"/>
  </c:chart>
  <c:spPr>
    <a:ln>
      <a:noFill/>
    </a:ln>
  </c:spPr>
  <c:printSettings>
    <c:headerFooter/>
    <c:pageMargins b="0.75000000000000322" l="0.70000000000000062" r="0.70000000000000062" t="0.75000000000000322"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011877752569064E-2"/>
          <c:y val="2.3719131150137587E-3"/>
          <c:w val="0.79007067825849808"/>
          <c:h val="0.72727886433551014"/>
        </c:manualLayout>
      </c:layout>
      <c:barChart>
        <c:barDir val="bar"/>
        <c:grouping val="stacked"/>
        <c:varyColors val="0"/>
        <c:ser>
          <c:idx val="0"/>
          <c:order val="0"/>
          <c:tx>
            <c:strRef>
              <c:f>'Reference Costs Output (2)'!$D$8:$I$8</c:f>
              <c:strCache>
                <c:ptCount val="1"/>
                <c:pt idx="0">
                  <c:v>A&amp;E Services</c:v>
                </c:pt>
              </c:strCache>
            </c:strRef>
          </c:tx>
          <c:invertIfNegative val="0"/>
          <c:cat>
            <c:strRef>
              <c:f>'Reference Costs Output (2)'!$D$13:$D$16</c:f>
              <c:strCache>
                <c:ptCount val="4"/>
                <c:pt idx="0">
                  <c:v>2007/08</c:v>
                </c:pt>
                <c:pt idx="1">
                  <c:v>2008/09</c:v>
                </c:pt>
                <c:pt idx="2">
                  <c:v>2009/10</c:v>
                </c:pt>
                <c:pt idx="3">
                  <c:v>2010/11</c:v>
                </c:pt>
              </c:strCache>
            </c:strRef>
          </c:cat>
          <c:val>
            <c:numRef>
              <c:f>'Reference Costs Output (2)'!$F$13:$F$16</c:f>
              <c:numCache>
                <c:formatCode>"£"#,##0_);[Red]\("£"#,##0\)</c:formatCode>
                <c:ptCount val="4"/>
                <c:pt idx="0">
                  <c:v>2653789144</c:v>
                </c:pt>
                <c:pt idx="1">
                  <c:v>3021863889</c:v>
                </c:pt>
                <c:pt idx="2">
                  <c:v>3296888378</c:v>
                </c:pt>
                <c:pt idx="3">
                  <c:v>3431897220</c:v>
                </c:pt>
              </c:numCache>
            </c:numRef>
          </c:val>
        </c:ser>
        <c:ser>
          <c:idx val="1"/>
          <c:order val="1"/>
          <c:tx>
            <c:strRef>
              <c:f>'Reference Costs Output (2)'!$D$19:$I$19</c:f>
              <c:strCache>
                <c:ptCount val="1"/>
                <c:pt idx="0">
                  <c:v>Chemo/Radiotherapy &amp; High Cost Drugs</c:v>
                </c:pt>
              </c:strCache>
            </c:strRef>
          </c:tx>
          <c:invertIfNegative val="0"/>
          <c:cat>
            <c:strRef>
              <c:f>'Reference Costs Output (2)'!$D$13:$D$16</c:f>
              <c:strCache>
                <c:ptCount val="4"/>
                <c:pt idx="0">
                  <c:v>2007/08</c:v>
                </c:pt>
                <c:pt idx="1">
                  <c:v>2008/09</c:v>
                </c:pt>
                <c:pt idx="2">
                  <c:v>2009/10</c:v>
                </c:pt>
                <c:pt idx="3">
                  <c:v>2010/11</c:v>
                </c:pt>
              </c:strCache>
            </c:strRef>
          </c:cat>
          <c:val>
            <c:numRef>
              <c:f>'Reference Costs Output (2)'!$F$24:$F$27</c:f>
              <c:numCache>
                <c:formatCode>"£"#,##0_);[Red]\("£"#,##0\)</c:formatCode>
                <c:ptCount val="4"/>
                <c:pt idx="0">
                  <c:v>976800940</c:v>
                </c:pt>
                <c:pt idx="1">
                  <c:v>1530911288</c:v>
                </c:pt>
                <c:pt idx="2">
                  <c:v>1970519534</c:v>
                </c:pt>
                <c:pt idx="3">
                  <c:v>2183136937</c:v>
                </c:pt>
              </c:numCache>
            </c:numRef>
          </c:val>
        </c:ser>
        <c:ser>
          <c:idx val="2"/>
          <c:order val="2"/>
          <c:tx>
            <c:strRef>
              <c:f>'Reference Costs Output (2)'!$D$29:$I$29</c:f>
              <c:strCache>
                <c:ptCount val="1"/>
                <c:pt idx="0">
                  <c:v>Community Care</c:v>
                </c:pt>
              </c:strCache>
            </c:strRef>
          </c:tx>
          <c:invertIfNegative val="0"/>
          <c:cat>
            <c:strRef>
              <c:f>'Reference Costs Output (2)'!$D$13:$D$16</c:f>
              <c:strCache>
                <c:ptCount val="4"/>
                <c:pt idx="0">
                  <c:v>2007/08</c:v>
                </c:pt>
                <c:pt idx="1">
                  <c:v>2008/09</c:v>
                </c:pt>
                <c:pt idx="2">
                  <c:v>2009/10</c:v>
                </c:pt>
                <c:pt idx="3">
                  <c:v>2010/11</c:v>
                </c:pt>
              </c:strCache>
            </c:strRef>
          </c:cat>
          <c:val>
            <c:numRef>
              <c:f>'Reference Costs Output (2)'!$F$34:$F$37</c:f>
              <c:numCache>
                <c:formatCode>"£"#,##0_);[Red]\("£"#,##0\)</c:formatCode>
                <c:ptCount val="4"/>
                <c:pt idx="0">
                  <c:v>3630325787</c:v>
                </c:pt>
                <c:pt idx="1">
                  <c:v>3945710493</c:v>
                </c:pt>
                <c:pt idx="2">
                  <c:v>4208381075</c:v>
                </c:pt>
                <c:pt idx="3">
                  <c:v>4234047152</c:v>
                </c:pt>
              </c:numCache>
            </c:numRef>
          </c:val>
        </c:ser>
        <c:ser>
          <c:idx val="3"/>
          <c:order val="3"/>
          <c:tx>
            <c:strRef>
              <c:f>'Reference Costs Output (2)'!$D$39:$I$39</c:f>
              <c:strCache>
                <c:ptCount val="1"/>
                <c:pt idx="0">
                  <c:v>Diagnostic Tests</c:v>
                </c:pt>
              </c:strCache>
            </c:strRef>
          </c:tx>
          <c:invertIfNegative val="0"/>
          <c:cat>
            <c:strRef>
              <c:f>'Reference Costs Output (2)'!$D$13:$D$16</c:f>
              <c:strCache>
                <c:ptCount val="4"/>
                <c:pt idx="0">
                  <c:v>2007/08</c:v>
                </c:pt>
                <c:pt idx="1">
                  <c:v>2008/09</c:v>
                </c:pt>
                <c:pt idx="2">
                  <c:v>2009/10</c:v>
                </c:pt>
                <c:pt idx="3">
                  <c:v>2010/11</c:v>
                </c:pt>
              </c:strCache>
            </c:strRef>
          </c:cat>
          <c:val>
            <c:numRef>
              <c:f>'Reference Costs Output (2)'!$F$44:$F$47</c:f>
              <c:numCache>
                <c:formatCode>"£"#,##0_);[Red]\("£"#,##0\)</c:formatCode>
                <c:ptCount val="4"/>
                <c:pt idx="0">
                  <c:v>714025656</c:v>
                </c:pt>
                <c:pt idx="1">
                  <c:v>686042927</c:v>
                </c:pt>
                <c:pt idx="2">
                  <c:v>758266445</c:v>
                </c:pt>
                <c:pt idx="3">
                  <c:v>805583529</c:v>
                </c:pt>
              </c:numCache>
            </c:numRef>
          </c:val>
        </c:ser>
        <c:ser>
          <c:idx val="4"/>
          <c:order val="4"/>
          <c:tx>
            <c:strRef>
              <c:f>'Reference Costs Output (2)'!$D$49:$I$49</c:f>
              <c:strCache>
                <c:ptCount val="1"/>
                <c:pt idx="0">
                  <c:v>Hospital and Non-Admitted Mental Health</c:v>
                </c:pt>
              </c:strCache>
            </c:strRef>
          </c:tx>
          <c:invertIfNegative val="0"/>
          <c:cat>
            <c:strRef>
              <c:f>'Reference Costs Output (2)'!$D$13:$D$16</c:f>
              <c:strCache>
                <c:ptCount val="4"/>
                <c:pt idx="0">
                  <c:v>2007/08</c:v>
                </c:pt>
                <c:pt idx="1">
                  <c:v>2008/09</c:v>
                </c:pt>
                <c:pt idx="2">
                  <c:v>2009/10</c:v>
                </c:pt>
                <c:pt idx="3">
                  <c:v>2010/11</c:v>
                </c:pt>
              </c:strCache>
            </c:strRef>
          </c:cat>
          <c:val>
            <c:numRef>
              <c:f>'Reference Costs Output (2)'!$F$54:$F$57</c:f>
              <c:numCache>
                <c:formatCode>"£"#,##0_);[Red]\("£"#,##0\)</c:formatCode>
                <c:ptCount val="4"/>
                <c:pt idx="0">
                  <c:v>3333571276</c:v>
                </c:pt>
                <c:pt idx="1">
                  <c:v>3570652030</c:v>
                </c:pt>
                <c:pt idx="2">
                  <c:v>3762869183</c:v>
                </c:pt>
                <c:pt idx="3">
                  <c:v>3863586450</c:v>
                </c:pt>
              </c:numCache>
            </c:numRef>
          </c:val>
        </c:ser>
        <c:ser>
          <c:idx val="5"/>
          <c:order val="5"/>
          <c:tx>
            <c:strRef>
              <c:f>'Reference Costs Output (2)'!$D$59:$I$59</c:f>
              <c:strCache>
                <c:ptCount val="1"/>
                <c:pt idx="0">
                  <c:v>Hospital/Patient Transport Scheme</c:v>
                </c:pt>
              </c:strCache>
            </c:strRef>
          </c:tx>
          <c:invertIfNegative val="0"/>
          <c:cat>
            <c:strRef>
              <c:f>'Reference Costs Output (2)'!$D$13:$D$16</c:f>
              <c:strCache>
                <c:ptCount val="4"/>
                <c:pt idx="0">
                  <c:v>2007/08</c:v>
                </c:pt>
                <c:pt idx="1">
                  <c:v>2008/09</c:v>
                </c:pt>
                <c:pt idx="2">
                  <c:v>2009/10</c:v>
                </c:pt>
                <c:pt idx="3">
                  <c:v>2010/11</c:v>
                </c:pt>
              </c:strCache>
            </c:strRef>
          </c:cat>
          <c:val>
            <c:numRef>
              <c:f>'Reference Costs Output (2)'!$F$64:$F$67</c:f>
              <c:numCache>
                <c:formatCode>"£"#,##0_);[Red]\("£"#,##0\)</c:formatCode>
                <c:ptCount val="4"/>
                <c:pt idx="0">
                  <c:v>214203331</c:v>
                </c:pt>
                <c:pt idx="1">
                  <c:v>254832199</c:v>
                </c:pt>
                <c:pt idx="2">
                  <c:v>194852225</c:v>
                </c:pt>
                <c:pt idx="3">
                  <c:v>5470622</c:v>
                </c:pt>
              </c:numCache>
            </c:numRef>
          </c:val>
        </c:ser>
        <c:ser>
          <c:idx val="6"/>
          <c:order val="6"/>
          <c:tx>
            <c:strRef>
              <c:f>'Reference Costs Output (2)'!$D$69:$I$69</c:f>
              <c:strCache>
                <c:ptCount val="1"/>
                <c:pt idx="0">
                  <c:v>Other</c:v>
                </c:pt>
              </c:strCache>
            </c:strRef>
          </c:tx>
          <c:invertIfNegative val="0"/>
          <c:cat>
            <c:strRef>
              <c:f>'Reference Costs Output (2)'!$D$13:$D$16</c:f>
              <c:strCache>
                <c:ptCount val="4"/>
                <c:pt idx="0">
                  <c:v>2007/08</c:v>
                </c:pt>
                <c:pt idx="1">
                  <c:v>2008/09</c:v>
                </c:pt>
                <c:pt idx="2">
                  <c:v>2009/10</c:v>
                </c:pt>
                <c:pt idx="3">
                  <c:v>2010/11</c:v>
                </c:pt>
              </c:strCache>
            </c:strRef>
          </c:cat>
          <c:val>
            <c:numRef>
              <c:f>'Reference Costs Output (2)'!$F$74:$F$77</c:f>
              <c:numCache>
                <c:formatCode>"£"#,##0_);[Red]\("£"#,##0\)</c:formatCode>
                <c:ptCount val="4"/>
                <c:pt idx="0">
                  <c:v>10623346440</c:v>
                </c:pt>
                <c:pt idx="1">
                  <c:v>12162031638.5</c:v>
                </c:pt>
                <c:pt idx="2">
                  <c:v>13307869308</c:v>
                </c:pt>
                <c:pt idx="3">
                  <c:v>13629397236.9</c:v>
                </c:pt>
              </c:numCache>
            </c:numRef>
          </c:val>
        </c:ser>
        <c:ser>
          <c:idx val="7"/>
          <c:order val="7"/>
          <c:tx>
            <c:strRef>
              <c:f>'Reference Costs Output (2)'!$D$79:$I$79</c:f>
              <c:strCache>
                <c:ptCount val="1"/>
                <c:pt idx="0">
                  <c:v>Outpatient</c:v>
                </c:pt>
              </c:strCache>
            </c:strRef>
          </c:tx>
          <c:invertIfNegative val="0"/>
          <c:cat>
            <c:strRef>
              <c:f>'Reference Costs Output (2)'!$D$13:$D$16</c:f>
              <c:strCache>
                <c:ptCount val="4"/>
                <c:pt idx="0">
                  <c:v>2007/08</c:v>
                </c:pt>
                <c:pt idx="1">
                  <c:v>2008/09</c:v>
                </c:pt>
                <c:pt idx="2">
                  <c:v>2009/10</c:v>
                </c:pt>
                <c:pt idx="3">
                  <c:v>2010/11</c:v>
                </c:pt>
              </c:strCache>
            </c:strRef>
          </c:cat>
          <c:val>
            <c:numRef>
              <c:f>'Reference Costs Output (2)'!$F$84:$F$87</c:f>
              <c:numCache>
                <c:formatCode>"£"#,##0_);[Red]\("£"#,##0\)</c:formatCode>
                <c:ptCount val="4"/>
                <c:pt idx="0">
                  <c:v>6552679133</c:v>
                </c:pt>
                <c:pt idx="1">
                  <c:v>7317052852</c:v>
                </c:pt>
                <c:pt idx="2">
                  <c:v>7623618289</c:v>
                </c:pt>
                <c:pt idx="3">
                  <c:v>8516922013</c:v>
                </c:pt>
              </c:numCache>
            </c:numRef>
          </c:val>
        </c:ser>
        <c:ser>
          <c:idx val="8"/>
          <c:order val="8"/>
          <c:tx>
            <c:strRef>
              <c:f>'Reference Costs Output (2)'!$D$89:$I$89</c:f>
              <c:strCache>
                <c:ptCount val="1"/>
                <c:pt idx="0">
                  <c:v>Radiology</c:v>
                </c:pt>
              </c:strCache>
            </c:strRef>
          </c:tx>
          <c:invertIfNegative val="0"/>
          <c:cat>
            <c:strRef>
              <c:f>'Reference Costs Output (2)'!$D$13:$D$16</c:f>
              <c:strCache>
                <c:ptCount val="4"/>
                <c:pt idx="0">
                  <c:v>2007/08</c:v>
                </c:pt>
                <c:pt idx="1">
                  <c:v>2008/09</c:v>
                </c:pt>
                <c:pt idx="2">
                  <c:v>2009/10</c:v>
                </c:pt>
                <c:pt idx="3">
                  <c:v>2010/11</c:v>
                </c:pt>
              </c:strCache>
            </c:strRef>
          </c:cat>
          <c:val>
            <c:numRef>
              <c:f>'Reference Costs Output (2)'!$F$94:$F$97</c:f>
              <c:numCache>
                <c:formatCode>"£"#,##0_);[Red]\("£"#,##0\)</c:formatCode>
                <c:ptCount val="4"/>
                <c:pt idx="0">
                  <c:v>787120593</c:v>
                </c:pt>
                <c:pt idx="1">
                  <c:v>800938521</c:v>
                </c:pt>
                <c:pt idx="2">
                  <c:v>865482297</c:v>
                </c:pt>
                <c:pt idx="3">
                  <c:v>821622082</c:v>
                </c:pt>
              </c:numCache>
            </c:numRef>
          </c:val>
        </c:ser>
        <c:ser>
          <c:idx val="9"/>
          <c:order val="9"/>
          <c:tx>
            <c:strRef>
              <c:f>'Reference Costs Output (2)'!$D$99:$I$99</c:f>
              <c:strCache>
                <c:ptCount val="1"/>
                <c:pt idx="0">
                  <c:v>Rehabilitation</c:v>
                </c:pt>
              </c:strCache>
            </c:strRef>
          </c:tx>
          <c:invertIfNegative val="0"/>
          <c:cat>
            <c:strRef>
              <c:f>'Reference Costs Output (2)'!$D$13:$D$16</c:f>
              <c:strCache>
                <c:ptCount val="4"/>
                <c:pt idx="0">
                  <c:v>2007/08</c:v>
                </c:pt>
                <c:pt idx="1">
                  <c:v>2008/09</c:v>
                </c:pt>
                <c:pt idx="2">
                  <c:v>2009/10</c:v>
                </c:pt>
                <c:pt idx="3">
                  <c:v>2010/11</c:v>
                </c:pt>
              </c:strCache>
            </c:strRef>
          </c:cat>
          <c:val>
            <c:numRef>
              <c:f>'Reference Costs Output (2)'!$F$104:$F$107</c:f>
              <c:numCache>
                <c:formatCode>"£"#,##0_);[Red]\("£"#,##0\)</c:formatCode>
                <c:ptCount val="4"/>
                <c:pt idx="0">
                  <c:v>706962591</c:v>
                </c:pt>
                <c:pt idx="1">
                  <c:v>868540789</c:v>
                </c:pt>
                <c:pt idx="2">
                  <c:v>915858318</c:v>
                </c:pt>
                <c:pt idx="3">
                  <c:v>945029495</c:v>
                </c:pt>
              </c:numCache>
            </c:numRef>
          </c:val>
        </c:ser>
        <c:ser>
          <c:idx val="10"/>
          <c:order val="10"/>
          <c:tx>
            <c:strRef>
              <c:f>'Reference Costs Output (2)'!$D$109:$I$109</c:f>
              <c:strCache>
                <c:ptCount val="1"/>
                <c:pt idx="0">
                  <c:v>Renal Dialysis</c:v>
                </c:pt>
              </c:strCache>
            </c:strRef>
          </c:tx>
          <c:invertIfNegative val="0"/>
          <c:cat>
            <c:strRef>
              <c:f>'Reference Costs Output (2)'!$D$13:$D$16</c:f>
              <c:strCache>
                <c:ptCount val="4"/>
                <c:pt idx="0">
                  <c:v>2007/08</c:v>
                </c:pt>
                <c:pt idx="1">
                  <c:v>2008/09</c:v>
                </c:pt>
                <c:pt idx="2">
                  <c:v>2009/10</c:v>
                </c:pt>
                <c:pt idx="3">
                  <c:v>2010/11</c:v>
                </c:pt>
              </c:strCache>
            </c:strRef>
          </c:cat>
          <c:val>
            <c:numRef>
              <c:f>'Reference Costs Output (2)'!$F$114:$F$117</c:f>
              <c:numCache>
                <c:formatCode>"£"#,##0_);[Red]\("£"#,##0\)</c:formatCode>
                <c:ptCount val="4"/>
                <c:pt idx="0">
                  <c:v>453477771</c:v>
                </c:pt>
                <c:pt idx="1">
                  <c:v>489100439</c:v>
                </c:pt>
                <c:pt idx="2">
                  <c:v>523116896</c:v>
                </c:pt>
                <c:pt idx="3">
                  <c:v>528597833</c:v>
                </c:pt>
              </c:numCache>
            </c:numRef>
          </c:val>
        </c:ser>
        <c:ser>
          <c:idx val="11"/>
          <c:order val="11"/>
          <c:tx>
            <c:strRef>
              <c:f>'Reference Costs Output (2)'!$D$119:$I$119</c:f>
              <c:strCache>
                <c:ptCount val="1"/>
                <c:pt idx="0">
                  <c:v>Specialist Services</c:v>
                </c:pt>
              </c:strCache>
            </c:strRef>
          </c:tx>
          <c:invertIfNegative val="0"/>
          <c:cat>
            <c:strRef>
              <c:f>'Reference Costs Output (2)'!$D$13:$D$16</c:f>
              <c:strCache>
                <c:ptCount val="4"/>
                <c:pt idx="0">
                  <c:v>2007/08</c:v>
                </c:pt>
                <c:pt idx="1">
                  <c:v>2008/09</c:v>
                </c:pt>
                <c:pt idx="2">
                  <c:v>2009/10</c:v>
                </c:pt>
                <c:pt idx="3">
                  <c:v>2010/11</c:v>
                </c:pt>
              </c:strCache>
            </c:strRef>
          </c:cat>
          <c:val>
            <c:numRef>
              <c:f>'Reference Costs Output (2)'!$F$124:$F$127</c:f>
              <c:numCache>
                <c:formatCode>"£"#,##0_);[Red]\("£"#,##0\)</c:formatCode>
                <c:ptCount val="4"/>
                <c:pt idx="0">
                  <c:v>2281153728</c:v>
                </c:pt>
                <c:pt idx="1">
                  <c:v>2563576383</c:v>
                </c:pt>
                <c:pt idx="2">
                  <c:v>2758727668</c:v>
                </c:pt>
                <c:pt idx="3">
                  <c:v>2833537449</c:v>
                </c:pt>
              </c:numCache>
            </c:numRef>
          </c:val>
        </c:ser>
        <c:ser>
          <c:idx val="12"/>
          <c:order val="12"/>
          <c:tx>
            <c:strRef>
              <c:f>'Reference Costs Output (2)'!$D$129</c:f>
              <c:strCache>
                <c:ptCount val="1"/>
                <c:pt idx="0">
                  <c:v>Opth &amp; Dentistry</c:v>
                </c:pt>
              </c:strCache>
            </c:strRef>
          </c:tx>
          <c:invertIfNegative val="0"/>
          <c:cat>
            <c:strRef>
              <c:f>'Reference Costs Output (2)'!$D$13:$D$16</c:f>
              <c:strCache>
                <c:ptCount val="4"/>
                <c:pt idx="0">
                  <c:v>2007/08</c:v>
                </c:pt>
                <c:pt idx="1">
                  <c:v>2008/09</c:v>
                </c:pt>
                <c:pt idx="2">
                  <c:v>2009/10</c:v>
                </c:pt>
                <c:pt idx="3">
                  <c:v>2010/11</c:v>
                </c:pt>
              </c:strCache>
            </c:strRef>
          </c:cat>
          <c:val>
            <c:numRef>
              <c:f>'Reference Costs Output (2)'!$F$134:$F$137</c:f>
              <c:numCache>
                <c:formatCode>#,##0</c:formatCode>
                <c:ptCount val="4"/>
                <c:pt idx="0">
                  <c:v>1523208120</c:v>
                </c:pt>
                <c:pt idx="1">
                  <c:v>1599541161.5</c:v>
                </c:pt>
                <c:pt idx="2">
                  <c:v>1680648267</c:v>
                </c:pt>
                <c:pt idx="3">
                  <c:v>1716391363.9000001</c:v>
                </c:pt>
              </c:numCache>
            </c:numRef>
          </c:val>
        </c:ser>
        <c:dLbls>
          <c:showLegendKey val="0"/>
          <c:showVal val="0"/>
          <c:showCatName val="0"/>
          <c:showSerName val="0"/>
          <c:showPercent val="0"/>
          <c:showBubbleSize val="0"/>
        </c:dLbls>
        <c:gapWidth val="150"/>
        <c:overlap val="100"/>
        <c:axId val="150935808"/>
        <c:axId val="150941696"/>
      </c:barChart>
      <c:catAx>
        <c:axId val="150935808"/>
        <c:scaling>
          <c:orientation val="minMax"/>
        </c:scaling>
        <c:delete val="0"/>
        <c:axPos val="l"/>
        <c:numFmt formatCode="General" sourceLinked="0"/>
        <c:majorTickMark val="out"/>
        <c:minorTickMark val="none"/>
        <c:tickLblPos val="nextTo"/>
        <c:txPr>
          <a:bodyPr/>
          <a:lstStyle/>
          <a:p>
            <a:pPr>
              <a:defRPr sz="800"/>
            </a:pPr>
            <a:endParaRPr lang="en-US"/>
          </a:p>
        </c:txPr>
        <c:crossAx val="150941696"/>
        <c:crosses val="autoZero"/>
        <c:auto val="1"/>
        <c:lblAlgn val="ctr"/>
        <c:lblOffset val="100"/>
        <c:noMultiLvlLbl val="0"/>
      </c:catAx>
      <c:valAx>
        <c:axId val="150941696"/>
        <c:scaling>
          <c:orientation val="minMax"/>
        </c:scaling>
        <c:delete val="0"/>
        <c:axPos val="b"/>
        <c:majorGridlines/>
        <c:numFmt formatCode="&quot;£&quot;#,##0_);[Red]\(&quot;£&quot;#,##0\)" sourceLinked="1"/>
        <c:majorTickMark val="out"/>
        <c:minorTickMark val="none"/>
        <c:tickLblPos val="nextTo"/>
        <c:txPr>
          <a:bodyPr/>
          <a:lstStyle/>
          <a:p>
            <a:pPr>
              <a:defRPr sz="800"/>
            </a:pPr>
            <a:endParaRPr lang="en-US"/>
          </a:p>
        </c:txPr>
        <c:crossAx val="150935808"/>
        <c:crosses val="autoZero"/>
        <c:crossBetween val="between"/>
      </c:valAx>
    </c:plotArea>
    <c:legend>
      <c:legendPos val="b"/>
      <c:layout>
        <c:manualLayout>
          <c:xMode val="edge"/>
          <c:yMode val="edge"/>
          <c:x val="5.1690368421951467E-2"/>
          <c:y val="0.84060542432195973"/>
          <c:w val="0.94830963157805193"/>
          <c:h val="0.15877955578133476"/>
        </c:manualLayout>
      </c:layout>
      <c:overlay val="0"/>
      <c:txPr>
        <a:bodyPr/>
        <a:lstStyle/>
        <a:p>
          <a:pPr>
            <a:defRPr sz="800">
              <a:latin typeface="Arial Rounded MT Bold" pitchFamily="34" charset="0"/>
            </a:defRPr>
          </a:pPr>
          <a:endParaRPr lang="en-US"/>
        </a:p>
      </c:txPr>
    </c:legend>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80847865817207"/>
          <c:y val="5.1418959726808391E-2"/>
          <c:w val="0.79007067825849808"/>
          <c:h val="0.72727886433551014"/>
        </c:manualLayout>
      </c:layout>
      <c:barChart>
        <c:barDir val="bar"/>
        <c:grouping val="percentStacked"/>
        <c:varyColors val="0"/>
        <c:ser>
          <c:idx val="0"/>
          <c:order val="0"/>
          <c:tx>
            <c:strRef>
              <c:f>'Reference Costs Output (2)'!$D$8:$I$8</c:f>
              <c:strCache>
                <c:ptCount val="1"/>
                <c:pt idx="0">
                  <c:v>A&amp;E Services</c:v>
                </c:pt>
              </c:strCache>
            </c:strRef>
          </c:tx>
          <c:invertIfNegative val="0"/>
          <c:cat>
            <c:strRef>
              <c:f>'Reference Costs Output (2)'!$D$13:$D$16</c:f>
              <c:strCache>
                <c:ptCount val="4"/>
                <c:pt idx="0">
                  <c:v>2007/08</c:v>
                </c:pt>
                <c:pt idx="1">
                  <c:v>2008/09</c:v>
                </c:pt>
                <c:pt idx="2">
                  <c:v>2009/10</c:v>
                </c:pt>
                <c:pt idx="3">
                  <c:v>2010/11</c:v>
                </c:pt>
              </c:strCache>
            </c:strRef>
          </c:cat>
          <c:val>
            <c:numRef>
              <c:f>'Reference Costs Output (2)'!$F$13:$F$16</c:f>
              <c:numCache>
                <c:formatCode>"£"#,##0_);[Red]\("£"#,##0\)</c:formatCode>
                <c:ptCount val="4"/>
                <c:pt idx="0">
                  <c:v>2653789144</c:v>
                </c:pt>
                <c:pt idx="1">
                  <c:v>3021863889</c:v>
                </c:pt>
                <c:pt idx="2">
                  <c:v>3296888378</c:v>
                </c:pt>
                <c:pt idx="3">
                  <c:v>3431897220</c:v>
                </c:pt>
              </c:numCache>
            </c:numRef>
          </c:val>
        </c:ser>
        <c:ser>
          <c:idx val="1"/>
          <c:order val="1"/>
          <c:tx>
            <c:strRef>
              <c:f>'Reference Costs Output (2)'!$D$19:$I$19</c:f>
              <c:strCache>
                <c:ptCount val="1"/>
                <c:pt idx="0">
                  <c:v>Chemo/Radiotherapy &amp; High Cost Drugs</c:v>
                </c:pt>
              </c:strCache>
            </c:strRef>
          </c:tx>
          <c:invertIfNegative val="0"/>
          <c:cat>
            <c:strRef>
              <c:f>'Reference Costs Output (2)'!$D$13:$D$16</c:f>
              <c:strCache>
                <c:ptCount val="4"/>
                <c:pt idx="0">
                  <c:v>2007/08</c:v>
                </c:pt>
                <c:pt idx="1">
                  <c:v>2008/09</c:v>
                </c:pt>
                <c:pt idx="2">
                  <c:v>2009/10</c:v>
                </c:pt>
                <c:pt idx="3">
                  <c:v>2010/11</c:v>
                </c:pt>
              </c:strCache>
            </c:strRef>
          </c:cat>
          <c:val>
            <c:numRef>
              <c:f>'Reference Costs Output (2)'!$F$24:$F$27</c:f>
              <c:numCache>
                <c:formatCode>"£"#,##0_);[Red]\("£"#,##0\)</c:formatCode>
                <c:ptCount val="4"/>
                <c:pt idx="0">
                  <c:v>976800940</c:v>
                </c:pt>
                <c:pt idx="1">
                  <c:v>1530911288</c:v>
                </c:pt>
                <c:pt idx="2">
                  <c:v>1970519534</c:v>
                </c:pt>
                <c:pt idx="3">
                  <c:v>2183136937</c:v>
                </c:pt>
              </c:numCache>
            </c:numRef>
          </c:val>
        </c:ser>
        <c:ser>
          <c:idx val="2"/>
          <c:order val="2"/>
          <c:tx>
            <c:strRef>
              <c:f>'Reference Costs Output (2)'!$D$29:$I$29</c:f>
              <c:strCache>
                <c:ptCount val="1"/>
                <c:pt idx="0">
                  <c:v>Community Care</c:v>
                </c:pt>
              </c:strCache>
            </c:strRef>
          </c:tx>
          <c:invertIfNegative val="0"/>
          <c:cat>
            <c:strRef>
              <c:f>'Reference Costs Output (2)'!$D$13:$D$16</c:f>
              <c:strCache>
                <c:ptCount val="4"/>
                <c:pt idx="0">
                  <c:v>2007/08</c:v>
                </c:pt>
                <c:pt idx="1">
                  <c:v>2008/09</c:v>
                </c:pt>
                <c:pt idx="2">
                  <c:v>2009/10</c:v>
                </c:pt>
                <c:pt idx="3">
                  <c:v>2010/11</c:v>
                </c:pt>
              </c:strCache>
            </c:strRef>
          </c:cat>
          <c:val>
            <c:numRef>
              <c:f>'Reference Costs Output (2)'!$F$34:$F$37</c:f>
              <c:numCache>
                <c:formatCode>"£"#,##0_);[Red]\("£"#,##0\)</c:formatCode>
                <c:ptCount val="4"/>
                <c:pt idx="0">
                  <c:v>3630325787</c:v>
                </c:pt>
                <c:pt idx="1">
                  <c:v>3945710493</c:v>
                </c:pt>
                <c:pt idx="2">
                  <c:v>4208381075</c:v>
                </c:pt>
                <c:pt idx="3">
                  <c:v>4234047152</c:v>
                </c:pt>
              </c:numCache>
            </c:numRef>
          </c:val>
        </c:ser>
        <c:ser>
          <c:idx val="3"/>
          <c:order val="3"/>
          <c:tx>
            <c:strRef>
              <c:f>'Reference Costs Output (2)'!$D$39:$I$39</c:f>
              <c:strCache>
                <c:ptCount val="1"/>
                <c:pt idx="0">
                  <c:v>Diagnostic Tests</c:v>
                </c:pt>
              </c:strCache>
            </c:strRef>
          </c:tx>
          <c:invertIfNegative val="0"/>
          <c:cat>
            <c:strRef>
              <c:f>'Reference Costs Output (2)'!$D$13:$D$16</c:f>
              <c:strCache>
                <c:ptCount val="4"/>
                <c:pt idx="0">
                  <c:v>2007/08</c:v>
                </c:pt>
                <c:pt idx="1">
                  <c:v>2008/09</c:v>
                </c:pt>
                <c:pt idx="2">
                  <c:v>2009/10</c:v>
                </c:pt>
                <c:pt idx="3">
                  <c:v>2010/11</c:v>
                </c:pt>
              </c:strCache>
            </c:strRef>
          </c:cat>
          <c:val>
            <c:numRef>
              <c:f>'Reference Costs Output (2)'!$F$44:$F$47</c:f>
              <c:numCache>
                <c:formatCode>"£"#,##0_);[Red]\("£"#,##0\)</c:formatCode>
                <c:ptCount val="4"/>
                <c:pt idx="0">
                  <c:v>714025656</c:v>
                </c:pt>
                <c:pt idx="1">
                  <c:v>686042927</c:v>
                </c:pt>
                <c:pt idx="2">
                  <c:v>758266445</c:v>
                </c:pt>
                <c:pt idx="3">
                  <c:v>805583529</c:v>
                </c:pt>
              </c:numCache>
            </c:numRef>
          </c:val>
        </c:ser>
        <c:ser>
          <c:idx val="4"/>
          <c:order val="4"/>
          <c:tx>
            <c:strRef>
              <c:f>'Reference Costs Output (2)'!$D$49:$I$49</c:f>
              <c:strCache>
                <c:ptCount val="1"/>
                <c:pt idx="0">
                  <c:v>Hospital and Non-Admitted Mental Health</c:v>
                </c:pt>
              </c:strCache>
            </c:strRef>
          </c:tx>
          <c:invertIfNegative val="0"/>
          <c:cat>
            <c:strRef>
              <c:f>'Reference Costs Output (2)'!$D$13:$D$16</c:f>
              <c:strCache>
                <c:ptCount val="4"/>
                <c:pt idx="0">
                  <c:v>2007/08</c:v>
                </c:pt>
                <c:pt idx="1">
                  <c:v>2008/09</c:v>
                </c:pt>
                <c:pt idx="2">
                  <c:v>2009/10</c:v>
                </c:pt>
                <c:pt idx="3">
                  <c:v>2010/11</c:v>
                </c:pt>
              </c:strCache>
            </c:strRef>
          </c:cat>
          <c:val>
            <c:numRef>
              <c:f>'Reference Costs Output (2)'!$F$54:$F$57</c:f>
              <c:numCache>
                <c:formatCode>"£"#,##0_);[Red]\("£"#,##0\)</c:formatCode>
                <c:ptCount val="4"/>
                <c:pt idx="0">
                  <c:v>3333571276</c:v>
                </c:pt>
                <c:pt idx="1">
                  <c:v>3570652030</c:v>
                </c:pt>
                <c:pt idx="2">
                  <c:v>3762869183</c:v>
                </c:pt>
                <c:pt idx="3">
                  <c:v>3863586450</c:v>
                </c:pt>
              </c:numCache>
            </c:numRef>
          </c:val>
        </c:ser>
        <c:ser>
          <c:idx val="5"/>
          <c:order val="5"/>
          <c:tx>
            <c:strRef>
              <c:f>'Reference Costs Output (2)'!$D$59:$I$59</c:f>
              <c:strCache>
                <c:ptCount val="1"/>
                <c:pt idx="0">
                  <c:v>Hospital/Patient Transport Scheme</c:v>
                </c:pt>
              </c:strCache>
            </c:strRef>
          </c:tx>
          <c:invertIfNegative val="0"/>
          <c:cat>
            <c:strRef>
              <c:f>'Reference Costs Output (2)'!$D$13:$D$16</c:f>
              <c:strCache>
                <c:ptCount val="4"/>
                <c:pt idx="0">
                  <c:v>2007/08</c:v>
                </c:pt>
                <c:pt idx="1">
                  <c:v>2008/09</c:v>
                </c:pt>
                <c:pt idx="2">
                  <c:v>2009/10</c:v>
                </c:pt>
                <c:pt idx="3">
                  <c:v>2010/11</c:v>
                </c:pt>
              </c:strCache>
            </c:strRef>
          </c:cat>
          <c:val>
            <c:numRef>
              <c:f>'Reference Costs Output (2)'!$F$64:$F$67</c:f>
              <c:numCache>
                <c:formatCode>"£"#,##0_);[Red]\("£"#,##0\)</c:formatCode>
                <c:ptCount val="4"/>
                <c:pt idx="0">
                  <c:v>214203331</c:v>
                </c:pt>
                <c:pt idx="1">
                  <c:v>254832199</c:v>
                </c:pt>
                <c:pt idx="2">
                  <c:v>194852225</c:v>
                </c:pt>
                <c:pt idx="3">
                  <c:v>5470622</c:v>
                </c:pt>
              </c:numCache>
            </c:numRef>
          </c:val>
        </c:ser>
        <c:ser>
          <c:idx val="6"/>
          <c:order val="6"/>
          <c:tx>
            <c:strRef>
              <c:f>'Reference Costs Output (2)'!$D$69:$I$69</c:f>
              <c:strCache>
                <c:ptCount val="1"/>
                <c:pt idx="0">
                  <c:v>Other</c:v>
                </c:pt>
              </c:strCache>
            </c:strRef>
          </c:tx>
          <c:invertIfNegative val="0"/>
          <c:cat>
            <c:strRef>
              <c:f>'Reference Costs Output (2)'!$D$13:$D$16</c:f>
              <c:strCache>
                <c:ptCount val="4"/>
                <c:pt idx="0">
                  <c:v>2007/08</c:v>
                </c:pt>
                <c:pt idx="1">
                  <c:v>2008/09</c:v>
                </c:pt>
                <c:pt idx="2">
                  <c:v>2009/10</c:v>
                </c:pt>
                <c:pt idx="3">
                  <c:v>2010/11</c:v>
                </c:pt>
              </c:strCache>
            </c:strRef>
          </c:cat>
          <c:val>
            <c:numRef>
              <c:f>'Reference Costs Output (2)'!$F$74:$F$77</c:f>
              <c:numCache>
                <c:formatCode>"£"#,##0_);[Red]\("£"#,##0\)</c:formatCode>
                <c:ptCount val="4"/>
                <c:pt idx="0">
                  <c:v>10623346440</c:v>
                </c:pt>
                <c:pt idx="1">
                  <c:v>12162031638.5</c:v>
                </c:pt>
                <c:pt idx="2">
                  <c:v>13307869308</c:v>
                </c:pt>
                <c:pt idx="3">
                  <c:v>13629397236.9</c:v>
                </c:pt>
              </c:numCache>
            </c:numRef>
          </c:val>
        </c:ser>
        <c:ser>
          <c:idx val="7"/>
          <c:order val="7"/>
          <c:tx>
            <c:strRef>
              <c:f>'Reference Costs Output (2)'!$D$79:$I$79</c:f>
              <c:strCache>
                <c:ptCount val="1"/>
                <c:pt idx="0">
                  <c:v>Outpatient</c:v>
                </c:pt>
              </c:strCache>
            </c:strRef>
          </c:tx>
          <c:invertIfNegative val="0"/>
          <c:cat>
            <c:strRef>
              <c:f>'Reference Costs Output (2)'!$D$13:$D$16</c:f>
              <c:strCache>
                <c:ptCount val="4"/>
                <c:pt idx="0">
                  <c:v>2007/08</c:v>
                </c:pt>
                <c:pt idx="1">
                  <c:v>2008/09</c:v>
                </c:pt>
                <c:pt idx="2">
                  <c:v>2009/10</c:v>
                </c:pt>
                <c:pt idx="3">
                  <c:v>2010/11</c:v>
                </c:pt>
              </c:strCache>
            </c:strRef>
          </c:cat>
          <c:val>
            <c:numRef>
              <c:f>'Reference Costs Output (2)'!$F$84:$F$87</c:f>
              <c:numCache>
                <c:formatCode>"£"#,##0_);[Red]\("£"#,##0\)</c:formatCode>
                <c:ptCount val="4"/>
                <c:pt idx="0">
                  <c:v>6552679133</c:v>
                </c:pt>
                <c:pt idx="1">
                  <c:v>7317052852</c:v>
                </c:pt>
                <c:pt idx="2">
                  <c:v>7623618289</c:v>
                </c:pt>
                <c:pt idx="3">
                  <c:v>8516922013</c:v>
                </c:pt>
              </c:numCache>
            </c:numRef>
          </c:val>
        </c:ser>
        <c:ser>
          <c:idx val="8"/>
          <c:order val="8"/>
          <c:tx>
            <c:strRef>
              <c:f>'Reference Costs Output (2)'!$D$89:$I$89</c:f>
              <c:strCache>
                <c:ptCount val="1"/>
                <c:pt idx="0">
                  <c:v>Radiology</c:v>
                </c:pt>
              </c:strCache>
            </c:strRef>
          </c:tx>
          <c:invertIfNegative val="0"/>
          <c:cat>
            <c:strRef>
              <c:f>'Reference Costs Output (2)'!$D$13:$D$16</c:f>
              <c:strCache>
                <c:ptCount val="4"/>
                <c:pt idx="0">
                  <c:v>2007/08</c:v>
                </c:pt>
                <c:pt idx="1">
                  <c:v>2008/09</c:v>
                </c:pt>
                <c:pt idx="2">
                  <c:v>2009/10</c:v>
                </c:pt>
                <c:pt idx="3">
                  <c:v>2010/11</c:v>
                </c:pt>
              </c:strCache>
            </c:strRef>
          </c:cat>
          <c:val>
            <c:numRef>
              <c:f>'Reference Costs Output (2)'!$F$94:$F$97</c:f>
              <c:numCache>
                <c:formatCode>"£"#,##0_);[Red]\("£"#,##0\)</c:formatCode>
                <c:ptCount val="4"/>
                <c:pt idx="0">
                  <c:v>787120593</c:v>
                </c:pt>
                <c:pt idx="1">
                  <c:v>800938521</c:v>
                </c:pt>
                <c:pt idx="2">
                  <c:v>865482297</c:v>
                </c:pt>
                <c:pt idx="3">
                  <c:v>821622082</c:v>
                </c:pt>
              </c:numCache>
            </c:numRef>
          </c:val>
        </c:ser>
        <c:ser>
          <c:idx val="9"/>
          <c:order val="9"/>
          <c:tx>
            <c:strRef>
              <c:f>'Reference Costs Output (2)'!$D$99:$I$99</c:f>
              <c:strCache>
                <c:ptCount val="1"/>
                <c:pt idx="0">
                  <c:v>Rehabilitation</c:v>
                </c:pt>
              </c:strCache>
            </c:strRef>
          </c:tx>
          <c:invertIfNegative val="0"/>
          <c:cat>
            <c:strRef>
              <c:f>'Reference Costs Output (2)'!$D$13:$D$16</c:f>
              <c:strCache>
                <c:ptCount val="4"/>
                <c:pt idx="0">
                  <c:v>2007/08</c:v>
                </c:pt>
                <c:pt idx="1">
                  <c:v>2008/09</c:v>
                </c:pt>
                <c:pt idx="2">
                  <c:v>2009/10</c:v>
                </c:pt>
                <c:pt idx="3">
                  <c:v>2010/11</c:v>
                </c:pt>
              </c:strCache>
            </c:strRef>
          </c:cat>
          <c:val>
            <c:numRef>
              <c:f>'Reference Costs Output (2)'!$F$104:$F$107</c:f>
              <c:numCache>
                <c:formatCode>"£"#,##0_);[Red]\("£"#,##0\)</c:formatCode>
                <c:ptCount val="4"/>
                <c:pt idx="0">
                  <c:v>706962591</c:v>
                </c:pt>
                <c:pt idx="1">
                  <c:v>868540789</c:v>
                </c:pt>
                <c:pt idx="2">
                  <c:v>915858318</c:v>
                </c:pt>
                <c:pt idx="3">
                  <c:v>945029495</c:v>
                </c:pt>
              </c:numCache>
            </c:numRef>
          </c:val>
        </c:ser>
        <c:ser>
          <c:idx val="10"/>
          <c:order val="10"/>
          <c:tx>
            <c:strRef>
              <c:f>'Reference Costs Output (2)'!$D$109:$I$109</c:f>
              <c:strCache>
                <c:ptCount val="1"/>
                <c:pt idx="0">
                  <c:v>Renal Dialysis</c:v>
                </c:pt>
              </c:strCache>
            </c:strRef>
          </c:tx>
          <c:invertIfNegative val="0"/>
          <c:cat>
            <c:strRef>
              <c:f>'Reference Costs Output (2)'!$D$13:$D$16</c:f>
              <c:strCache>
                <c:ptCount val="4"/>
                <c:pt idx="0">
                  <c:v>2007/08</c:v>
                </c:pt>
                <c:pt idx="1">
                  <c:v>2008/09</c:v>
                </c:pt>
                <c:pt idx="2">
                  <c:v>2009/10</c:v>
                </c:pt>
                <c:pt idx="3">
                  <c:v>2010/11</c:v>
                </c:pt>
              </c:strCache>
            </c:strRef>
          </c:cat>
          <c:val>
            <c:numRef>
              <c:f>'Reference Costs Output (2)'!$F$114:$F$117</c:f>
              <c:numCache>
                <c:formatCode>"£"#,##0_);[Red]\("£"#,##0\)</c:formatCode>
                <c:ptCount val="4"/>
                <c:pt idx="0">
                  <c:v>453477771</c:v>
                </c:pt>
                <c:pt idx="1">
                  <c:v>489100439</c:v>
                </c:pt>
                <c:pt idx="2">
                  <c:v>523116896</c:v>
                </c:pt>
                <c:pt idx="3">
                  <c:v>528597833</c:v>
                </c:pt>
              </c:numCache>
            </c:numRef>
          </c:val>
        </c:ser>
        <c:ser>
          <c:idx val="11"/>
          <c:order val="11"/>
          <c:tx>
            <c:strRef>
              <c:f>'Reference Costs Output (2)'!$D$119:$I$119</c:f>
              <c:strCache>
                <c:ptCount val="1"/>
                <c:pt idx="0">
                  <c:v>Specialist Services</c:v>
                </c:pt>
              </c:strCache>
            </c:strRef>
          </c:tx>
          <c:invertIfNegative val="0"/>
          <c:cat>
            <c:strRef>
              <c:f>'Reference Costs Output (2)'!$D$13:$D$16</c:f>
              <c:strCache>
                <c:ptCount val="4"/>
                <c:pt idx="0">
                  <c:v>2007/08</c:v>
                </c:pt>
                <c:pt idx="1">
                  <c:v>2008/09</c:v>
                </c:pt>
                <c:pt idx="2">
                  <c:v>2009/10</c:v>
                </c:pt>
                <c:pt idx="3">
                  <c:v>2010/11</c:v>
                </c:pt>
              </c:strCache>
            </c:strRef>
          </c:cat>
          <c:val>
            <c:numRef>
              <c:f>'Reference Costs Output (2)'!$F$124:$F$127</c:f>
              <c:numCache>
                <c:formatCode>"£"#,##0_);[Red]\("£"#,##0\)</c:formatCode>
                <c:ptCount val="4"/>
                <c:pt idx="0">
                  <c:v>2281153728</c:v>
                </c:pt>
                <c:pt idx="1">
                  <c:v>2563576383</c:v>
                </c:pt>
                <c:pt idx="2">
                  <c:v>2758727668</c:v>
                </c:pt>
                <c:pt idx="3">
                  <c:v>2833537449</c:v>
                </c:pt>
              </c:numCache>
            </c:numRef>
          </c:val>
        </c:ser>
        <c:ser>
          <c:idx val="12"/>
          <c:order val="12"/>
          <c:tx>
            <c:strRef>
              <c:f>'Reference Costs Output (2)'!$D$129</c:f>
              <c:strCache>
                <c:ptCount val="1"/>
                <c:pt idx="0">
                  <c:v>Opth &amp; Dentistry</c:v>
                </c:pt>
              </c:strCache>
            </c:strRef>
          </c:tx>
          <c:invertIfNegative val="0"/>
          <c:cat>
            <c:strRef>
              <c:f>'Reference Costs Output (2)'!$D$13:$D$16</c:f>
              <c:strCache>
                <c:ptCount val="4"/>
                <c:pt idx="0">
                  <c:v>2007/08</c:v>
                </c:pt>
                <c:pt idx="1">
                  <c:v>2008/09</c:v>
                </c:pt>
                <c:pt idx="2">
                  <c:v>2009/10</c:v>
                </c:pt>
                <c:pt idx="3">
                  <c:v>2010/11</c:v>
                </c:pt>
              </c:strCache>
            </c:strRef>
          </c:cat>
          <c:val>
            <c:numRef>
              <c:f>'Reference Costs Output (2)'!$F$134:$F$137</c:f>
              <c:numCache>
                <c:formatCode>#,##0</c:formatCode>
                <c:ptCount val="4"/>
                <c:pt idx="0">
                  <c:v>1523208120</c:v>
                </c:pt>
                <c:pt idx="1">
                  <c:v>1599541161.5</c:v>
                </c:pt>
                <c:pt idx="2">
                  <c:v>1680648267</c:v>
                </c:pt>
                <c:pt idx="3">
                  <c:v>1716391363.9000001</c:v>
                </c:pt>
              </c:numCache>
            </c:numRef>
          </c:val>
        </c:ser>
        <c:dLbls>
          <c:showLegendKey val="0"/>
          <c:showVal val="0"/>
          <c:showCatName val="0"/>
          <c:showSerName val="0"/>
          <c:showPercent val="0"/>
          <c:showBubbleSize val="0"/>
        </c:dLbls>
        <c:gapWidth val="150"/>
        <c:overlap val="100"/>
        <c:axId val="151000576"/>
        <c:axId val="151002112"/>
      </c:barChart>
      <c:catAx>
        <c:axId val="151000576"/>
        <c:scaling>
          <c:orientation val="minMax"/>
        </c:scaling>
        <c:delete val="0"/>
        <c:axPos val="l"/>
        <c:numFmt formatCode="General" sourceLinked="0"/>
        <c:majorTickMark val="out"/>
        <c:minorTickMark val="none"/>
        <c:tickLblPos val="nextTo"/>
        <c:txPr>
          <a:bodyPr/>
          <a:lstStyle/>
          <a:p>
            <a:pPr>
              <a:defRPr sz="800"/>
            </a:pPr>
            <a:endParaRPr lang="en-US"/>
          </a:p>
        </c:txPr>
        <c:crossAx val="151002112"/>
        <c:crosses val="autoZero"/>
        <c:auto val="1"/>
        <c:lblAlgn val="ctr"/>
        <c:lblOffset val="100"/>
        <c:noMultiLvlLbl val="0"/>
      </c:catAx>
      <c:valAx>
        <c:axId val="151002112"/>
        <c:scaling>
          <c:orientation val="minMax"/>
        </c:scaling>
        <c:delete val="0"/>
        <c:axPos val="b"/>
        <c:majorGridlines/>
        <c:numFmt formatCode="0%" sourceLinked="1"/>
        <c:majorTickMark val="out"/>
        <c:minorTickMark val="none"/>
        <c:tickLblPos val="nextTo"/>
        <c:txPr>
          <a:bodyPr/>
          <a:lstStyle/>
          <a:p>
            <a:pPr>
              <a:defRPr sz="800"/>
            </a:pPr>
            <a:endParaRPr lang="en-US"/>
          </a:p>
        </c:txPr>
        <c:crossAx val="151000576"/>
        <c:crosses val="autoZero"/>
        <c:crossBetween val="between"/>
      </c:valAx>
    </c:plotArea>
    <c:legend>
      <c:legendPos val="b"/>
      <c:layout>
        <c:manualLayout>
          <c:xMode val="edge"/>
          <c:yMode val="edge"/>
          <c:x val="5.1690368421951467E-2"/>
          <c:y val="0.84060542432195973"/>
          <c:w val="0.94830963157805193"/>
          <c:h val="0.15877955578133476"/>
        </c:manualLayout>
      </c:layout>
      <c:overlay val="0"/>
      <c:txPr>
        <a:bodyPr/>
        <a:lstStyle/>
        <a:p>
          <a:pPr>
            <a:defRPr sz="800">
              <a:latin typeface="Arial Rounded MT Bold" pitchFamily="34" charset="0"/>
            </a:defRPr>
          </a:pPr>
          <a:endParaRPr lang="en-US"/>
        </a:p>
      </c:txPr>
    </c:legend>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lineChart>
        <c:grouping val="standard"/>
        <c:varyColors val="0"/>
        <c:ser>
          <c:idx val="0"/>
          <c:order val="0"/>
          <c:tx>
            <c:v>Quantity</c:v>
          </c:tx>
          <c:spPr>
            <a:ln w="38100"/>
          </c:spPr>
          <c:marker>
            <c:symbol val="none"/>
          </c:marker>
          <c:cat>
            <c:strRef>
              <c:f>'Reference Costs Output (4)'!$B$14:$B$17</c:f>
              <c:strCache>
                <c:ptCount val="4"/>
                <c:pt idx="0">
                  <c:v>2007/08</c:v>
                </c:pt>
                <c:pt idx="1">
                  <c:v>2008/09</c:v>
                </c:pt>
                <c:pt idx="2">
                  <c:v>2009/10</c:v>
                </c:pt>
                <c:pt idx="3">
                  <c:v>2010/11</c:v>
                </c:pt>
              </c:strCache>
            </c:strRef>
          </c:cat>
          <c:val>
            <c:numRef>
              <c:f>'Reference Costs Output (4)'!$I$21:$I$24</c:f>
              <c:numCache>
                <c:formatCode>General</c:formatCode>
                <c:ptCount val="4"/>
                <c:pt idx="0">
                  <c:v>1</c:v>
                </c:pt>
                <c:pt idx="1">
                  <c:v>1.0701413061013521</c:v>
                </c:pt>
                <c:pt idx="2">
                  <c:v>1.1028656186863399</c:v>
                </c:pt>
                <c:pt idx="3">
                  <c:v>1.1107963443316946</c:v>
                </c:pt>
              </c:numCache>
            </c:numRef>
          </c:val>
          <c:smooth val="0"/>
        </c:ser>
        <c:ser>
          <c:idx val="1"/>
          <c:order val="1"/>
          <c:tx>
            <c:v>Cost</c:v>
          </c:tx>
          <c:spPr>
            <a:ln w="38100"/>
          </c:spPr>
          <c:marker>
            <c:symbol val="none"/>
          </c:marker>
          <c:cat>
            <c:strRef>
              <c:f>'Reference Costs Output (4)'!$B$14:$B$17</c:f>
              <c:strCache>
                <c:ptCount val="4"/>
                <c:pt idx="0">
                  <c:v>2007/08</c:v>
                </c:pt>
                <c:pt idx="1">
                  <c:v>2008/09</c:v>
                </c:pt>
                <c:pt idx="2">
                  <c:v>2009/10</c:v>
                </c:pt>
                <c:pt idx="3">
                  <c:v>2010/11</c:v>
                </c:pt>
              </c:strCache>
            </c:strRef>
          </c:cat>
          <c:val>
            <c:numRef>
              <c:f>'Reference Costs Output (4)'!$J$21:$J$24</c:f>
              <c:numCache>
                <c:formatCode>General</c:formatCode>
                <c:ptCount val="4"/>
                <c:pt idx="0">
                  <c:v>1</c:v>
                </c:pt>
                <c:pt idx="1">
                  <c:v>1.1386978109516299</c:v>
                </c:pt>
                <c:pt idx="2">
                  <c:v>1.2423324533729421</c:v>
                </c:pt>
                <c:pt idx="3">
                  <c:v>1.2932064432320249</c:v>
                </c:pt>
              </c:numCache>
            </c:numRef>
          </c:val>
          <c:smooth val="0"/>
        </c:ser>
        <c:dLbls>
          <c:showLegendKey val="0"/>
          <c:showVal val="0"/>
          <c:showCatName val="0"/>
          <c:showSerName val="0"/>
          <c:showPercent val="0"/>
          <c:showBubbleSize val="0"/>
        </c:dLbls>
        <c:marker val="1"/>
        <c:smooth val="0"/>
        <c:axId val="119354112"/>
        <c:axId val="119355648"/>
      </c:lineChart>
      <c:catAx>
        <c:axId val="119354112"/>
        <c:scaling>
          <c:orientation val="minMax"/>
        </c:scaling>
        <c:delete val="0"/>
        <c:axPos val="b"/>
        <c:numFmt formatCode="General" sourceLinked="0"/>
        <c:majorTickMark val="out"/>
        <c:minorTickMark val="none"/>
        <c:tickLblPos val="nextTo"/>
        <c:txPr>
          <a:bodyPr/>
          <a:lstStyle/>
          <a:p>
            <a:pPr>
              <a:defRPr sz="1000">
                <a:latin typeface="Arial Rounded MT Bold" pitchFamily="34" charset="0"/>
              </a:defRPr>
            </a:pPr>
            <a:endParaRPr lang="en-US"/>
          </a:p>
        </c:txPr>
        <c:crossAx val="119355648"/>
        <c:crosses val="autoZero"/>
        <c:auto val="1"/>
        <c:lblAlgn val="ctr"/>
        <c:lblOffset val="100"/>
        <c:noMultiLvlLbl val="0"/>
      </c:catAx>
      <c:valAx>
        <c:axId val="119355648"/>
        <c:scaling>
          <c:orientation val="minMax"/>
          <c:min val="0.95000000000000062"/>
        </c:scaling>
        <c:delete val="0"/>
        <c:axPos val="l"/>
        <c:majorGridlines/>
        <c:numFmt formatCode="General" sourceLinked="1"/>
        <c:majorTickMark val="out"/>
        <c:minorTickMark val="none"/>
        <c:tickLblPos val="nextTo"/>
        <c:txPr>
          <a:bodyPr/>
          <a:lstStyle/>
          <a:p>
            <a:pPr>
              <a:defRPr sz="800">
                <a:latin typeface="Arial Rounded MT Bold" pitchFamily="34" charset="0"/>
              </a:defRPr>
            </a:pPr>
            <a:endParaRPr lang="en-US"/>
          </a:p>
        </c:txPr>
        <c:crossAx val="119354112"/>
        <c:crosses val="autoZero"/>
        <c:crossBetween val="between"/>
        <c:minorUnit val="0.05"/>
      </c:valAx>
    </c:plotArea>
    <c:legend>
      <c:legendPos val="b"/>
      <c:overlay val="0"/>
      <c:txPr>
        <a:bodyPr/>
        <a:lstStyle/>
        <a:p>
          <a:pPr>
            <a:defRPr sz="800">
              <a:latin typeface="Arial Rounded MT Bold" pitchFamily="34" charset="0"/>
            </a:defRPr>
          </a:pPr>
          <a:endParaRPr lang="en-US"/>
        </a:p>
      </c:txPr>
    </c:legend>
    <c:plotVisOnly val="1"/>
    <c:dispBlanksAs val="zero"/>
    <c:showDLblsOverMax val="0"/>
  </c:chart>
  <c:spPr>
    <a:ln>
      <a:noFill/>
    </a:ln>
  </c:spPr>
  <c:printSettings>
    <c:headerFooter/>
    <c:pageMargins b="0.750000000000003" l="0.70000000000000062" r="0.70000000000000062" t="0.750000000000003"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011919209023583E-2"/>
          <c:y val="2.3719793646483846E-3"/>
          <c:w val="0.8333643778398665"/>
          <c:h val="0.73340911696383093"/>
        </c:manualLayout>
      </c:layout>
      <c:barChart>
        <c:barDir val="bar"/>
        <c:grouping val="stacked"/>
        <c:varyColors val="0"/>
        <c:ser>
          <c:idx val="0"/>
          <c:order val="0"/>
          <c:tx>
            <c:strRef>
              <c:f>'Reference Costs Output (2)'!$D$8:$I$8</c:f>
              <c:strCache>
                <c:ptCount val="1"/>
                <c:pt idx="0">
                  <c:v>A&amp;E Services</c:v>
                </c:pt>
              </c:strCache>
            </c:strRef>
          </c:tx>
          <c:invertIfNegative val="0"/>
          <c:cat>
            <c:strRef>
              <c:f>'Reference Costs Output (2)'!$D$13:$D$16</c:f>
              <c:strCache>
                <c:ptCount val="4"/>
                <c:pt idx="0">
                  <c:v>2007/08</c:v>
                </c:pt>
                <c:pt idx="1">
                  <c:v>2008/09</c:v>
                </c:pt>
                <c:pt idx="2">
                  <c:v>2009/10</c:v>
                </c:pt>
                <c:pt idx="3">
                  <c:v>2010/11</c:v>
                </c:pt>
              </c:strCache>
            </c:strRef>
          </c:cat>
          <c:val>
            <c:numRef>
              <c:f>'Reference Costs Output (2)'!$F$13:$F$16</c:f>
              <c:numCache>
                <c:formatCode>"£"#,##0_);[Red]\("£"#,##0\)</c:formatCode>
                <c:ptCount val="4"/>
                <c:pt idx="0">
                  <c:v>2653789144</c:v>
                </c:pt>
                <c:pt idx="1">
                  <c:v>3021863889</c:v>
                </c:pt>
                <c:pt idx="2">
                  <c:v>3296888378</c:v>
                </c:pt>
                <c:pt idx="3">
                  <c:v>3431897220</c:v>
                </c:pt>
              </c:numCache>
            </c:numRef>
          </c:val>
        </c:ser>
        <c:ser>
          <c:idx val="1"/>
          <c:order val="1"/>
          <c:tx>
            <c:strRef>
              <c:f>'Reference Costs Output (2)'!$D$19:$I$19</c:f>
              <c:strCache>
                <c:ptCount val="1"/>
                <c:pt idx="0">
                  <c:v>Chemo/Radiotherapy &amp; High Cost Drugs</c:v>
                </c:pt>
              </c:strCache>
            </c:strRef>
          </c:tx>
          <c:invertIfNegative val="0"/>
          <c:cat>
            <c:strRef>
              <c:f>'Reference Costs Output (2)'!$D$13:$D$16</c:f>
              <c:strCache>
                <c:ptCount val="4"/>
                <c:pt idx="0">
                  <c:v>2007/08</c:v>
                </c:pt>
                <c:pt idx="1">
                  <c:v>2008/09</c:v>
                </c:pt>
                <c:pt idx="2">
                  <c:v>2009/10</c:v>
                </c:pt>
                <c:pt idx="3">
                  <c:v>2010/11</c:v>
                </c:pt>
              </c:strCache>
            </c:strRef>
          </c:cat>
          <c:val>
            <c:numRef>
              <c:f>'Reference Costs Output (2)'!$F$24:$F$27</c:f>
              <c:numCache>
                <c:formatCode>"£"#,##0_);[Red]\("£"#,##0\)</c:formatCode>
                <c:ptCount val="4"/>
                <c:pt idx="0">
                  <c:v>976800940</c:v>
                </c:pt>
                <c:pt idx="1">
                  <c:v>1530911288</c:v>
                </c:pt>
                <c:pt idx="2">
                  <c:v>1970519534</c:v>
                </c:pt>
                <c:pt idx="3">
                  <c:v>2183136937</c:v>
                </c:pt>
              </c:numCache>
            </c:numRef>
          </c:val>
        </c:ser>
        <c:ser>
          <c:idx val="2"/>
          <c:order val="2"/>
          <c:tx>
            <c:strRef>
              <c:f>'Reference Costs Output (2)'!$D$29:$I$29</c:f>
              <c:strCache>
                <c:ptCount val="1"/>
                <c:pt idx="0">
                  <c:v>Community Care</c:v>
                </c:pt>
              </c:strCache>
            </c:strRef>
          </c:tx>
          <c:invertIfNegative val="0"/>
          <c:cat>
            <c:strRef>
              <c:f>'Reference Costs Output (2)'!$D$13:$D$16</c:f>
              <c:strCache>
                <c:ptCount val="4"/>
                <c:pt idx="0">
                  <c:v>2007/08</c:v>
                </c:pt>
                <c:pt idx="1">
                  <c:v>2008/09</c:v>
                </c:pt>
                <c:pt idx="2">
                  <c:v>2009/10</c:v>
                </c:pt>
                <c:pt idx="3">
                  <c:v>2010/11</c:v>
                </c:pt>
              </c:strCache>
            </c:strRef>
          </c:cat>
          <c:val>
            <c:numRef>
              <c:f>'Reference Costs Output (2)'!$F$34:$F$37</c:f>
              <c:numCache>
                <c:formatCode>"£"#,##0_);[Red]\("£"#,##0\)</c:formatCode>
                <c:ptCount val="4"/>
                <c:pt idx="0">
                  <c:v>3630325787</c:v>
                </c:pt>
                <c:pt idx="1">
                  <c:v>3945710493</c:v>
                </c:pt>
                <c:pt idx="2">
                  <c:v>4208381075</c:v>
                </c:pt>
                <c:pt idx="3">
                  <c:v>4234047152</c:v>
                </c:pt>
              </c:numCache>
            </c:numRef>
          </c:val>
        </c:ser>
        <c:ser>
          <c:idx val="3"/>
          <c:order val="3"/>
          <c:tx>
            <c:strRef>
              <c:f>'Reference Costs Output (2)'!$D$39:$I$39</c:f>
              <c:strCache>
                <c:ptCount val="1"/>
                <c:pt idx="0">
                  <c:v>Diagnostic Tests</c:v>
                </c:pt>
              </c:strCache>
            </c:strRef>
          </c:tx>
          <c:invertIfNegative val="0"/>
          <c:cat>
            <c:strRef>
              <c:f>'Reference Costs Output (2)'!$D$13:$D$16</c:f>
              <c:strCache>
                <c:ptCount val="4"/>
                <c:pt idx="0">
                  <c:v>2007/08</c:v>
                </c:pt>
                <c:pt idx="1">
                  <c:v>2008/09</c:v>
                </c:pt>
                <c:pt idx="2">
                  <c:v>2009/10</c:v>
                </c:pt>
                <c:pt idx="3">
                  <c:v>2010/11</c:v>
                </c:pt>
              </c:strCache>
            </c:strRef>
          </c:cat>
          <c:val>
            <c:numRef>
              <c:f>'Reference Costs Output (2)'!$F$44:$F$47</c:f>
              <c:numCache>
                <c:formatCode>"£"#,##0_);[Red]\("£"#,##0\)</c:formatCode>
                <c:ptCount val="4"/>
                <c:pt idx="0">
                  <c:v>714025656</c:v>
                </c:pt>
                <c:pt idx="1">
                  <c:v>686042927</c:v>
                </c:pt>
                <c:pt idx="2">
                  <c:v>758266445</c:v>
                </c:pt>
                <c:pt idx="3">
                  <c:v>805583529</c:v>
                </c:pt>
              </c:numCache>
            </c:numRef>
          </c:val>
        </c:ser>
        <c:ser>
          <c:idx val="4"/>
          <c:order val="4"/>
          <c:tx>
            <c:strRef>
              <c:f>'Reference Costs Output (2)'!$D$49:$I$49</c:f>
              <c:strCache>
                <c:ptCount val="1"/>
                <c:pt idx="0">
                  <c:v>Hospital and Non-Admitted Mental Health</c:v>
                </c:pt>
              </c:strCache>
            </c:strRef>
          </c:tx>
          <c:invertIfNegative val="0"/>
          <c:cat>
            <c:strRef>
              <c:f>'Reference Costs Output (2)'!$D$13:$D$16</c:f>
              <c:strCache>
                <c:ptCount val="4"/>
                <c:pt idx="0">
                  <c:v>2007/08</c:v>
                </c:pt>
                <c:pt idx="1">
                  <c:v>2008/09</c:v>
                </c:pt>
                <c:pt idx="2">
                  <c:v>2009/10</c:v>
                </c:pt>
                <c:pt idx="3">
                  <c:v>2010/11</c:v>
                </c:pt>
              </c:strCache>
            </c:strRef>
          </c:cat>
          <c:val>
            <c:numRef>
              <c:f>'Reference Costs Output (2)'!$F$54:$F$57</c:f>
              <c:numCache>
                <c:formatCode>"£"#,##0_);[Red]\("£"#,##0\)</c:formatCode>
                <c:ptCount val="4"/>
                <c:pt idx="0">
                  <c:v>3333571276</c:v>
                </c:pt>
                <c:pt idx="1">
                  <c:v>3570652030</c:v>
                </c:pt>
                <c:pt idx="2">
                  <c:v>3762869183</c:v>
                </c:pt>
                <c:pt idx="3">
                  <c:v>3863586450</c:v>
                </c:pt>
              </c:numCache>
            </c:numRef>
          </c:val>
        </c:ser>
        <c:ser>
          <c:idx val="5"/>
          <c:order val="5"/>
          <c:tx>
            <c:strRef>
              <c:f>'Reference Costs Output (2)'!$D$59:$I$59</c:f>
              <c:strCache>
                <c:ptCount val="1"/>
                <c:pt idx="0">
                  <c:v>Hospital/Patient Transport Scheme</c:v>
                </c:pt>
              </c:strCache>
            </c:strRef>
          </c:tx>
          <c:invertIfNegative val="0"/>
          <c:cat>
            <c:strRef>
              <c:f>'Reference Costs Output (2)'!$D$13:$D$16</c:f>
              <c:strCache>
                <c:ptCount val="4"/>
                <c:pt idx="0">
                  <c:v>2007/08</c:v>
                </c:pt>
                <c:pt idx="1">
                  <c:v>2008/09</c:v>
                </c:pt>
                <c:pt idx="2">
                  <c:v>2009/10</c:v>
                </c:pt>
                <c:pt idx="3">
                  <c:v>2010/11</c:v>
                </c:pt>
              </c:strCache>
            </c:strRef>
          </c:cat>
          <c:val>
            <c:numRef>
              <c:f>'Reference Costs Output (2)'!$F$64:$F$67</c:f>
              <c:numCache>
                <c:formatCode>"£"#,##0_);[Red]\("£"#,##0\)</c:formatCode>
                <c:ptCount val="4"/>
                <c:pt idx="0">
                  <c:v>214203331</c:v>
                </c:pt>
                <c:pt idx="1">
                  <c:v>254832199</c:v>
                </c:pt>
                <c:pt idx="2">
                  <c:v>194852225</c:v>
                </c:pt>
                <c:pt idx="3">
                  <c:v>5470622</c:v>
                </c:pt>
              </c:numCache>
            </c:numRef>
          </c:val>
        </c:ser>
        <c:ser>
          <c:idx val="6"/>
          <c:order val="6"/>
          <c:tx>
            <c:strRef>
              <c:f>'Reference Costs Output (2)'!$D$69:$I$69</c:f>
              <c:strCache>
                <c:ptCount val="1"/>
                <c:pt idx="0">
                  <c:v>Other</c:v>
                </c:pt>
              </c:strCache>
            </c:strRef>
          </c:tx>
          <c:invertIfNegative val="0"/>
          <c:cat>
            <c:strRef>
              <c:f>'Reference Costs Output (2)'!$D$13:$D$16</c:f>
              <c:strCache>
                <c:ptCount val="4"/>
                <c:pt idx="0">
                  <c:v>2007/08</c:v>
                </c:pt>
                <c:pt idx="1">
                  <c:v>2008/09</c:v>
                </c:pt>
                <c:pt idx="2">
                  <c:v>2009/10</c:v>
                </c:pt>
                <c:pt idx="3">
                  <c:v>2010/11</c:v>
                </c:pt>
              </c:strCache>
            </c:strRef>
          </c:cat>
          <c:val>
            <c:numRef>
              <c:f>'Reference Costs Output (2)'!$F$74:$F$77</c:f>
              <c:numCache>
                <c:formatCode>"£"#,##0_);[Red]\("£"#,##0\)</c:formatCode>
                <c:ptCount val="4"/>
                <c:pt idx="0">
                  <c:v>10623346440</c:v>
                </c:pt>
                <c:pt idx="1">
                  <c:v>12162031638.5</c:v>
                </c:pt>
                <c:pt idx="2">
                  <c:v>13307869308</c:v>
                </c:pt>
                <c:pt idx="3">
                  <c:v>13629397236.9</c:v>
                </c:pt>
              </c:numCache>
            </c:numRef>
          </c:val>
        </c:ser>
        <c:ser>
          <c:idx val="7"/>
          <c:order val="7"/>
          <c:tx>
            <c:strRef>
              <c:f>'Reference Costs Output (2)'!$D$79:$I$79</c:f>
              <c:strCache>
                <c:ptCount val="1"/>
                <c:pt idx="0">
                  <c:v>Outpatient</c:v>
                </c:pt>
              </c:strCache>
            </c:strRef>
          </c:tx>
          <c:invertIfNegative val="0"/>
          <c:cat>
            <c:strRef>
              <c:f>'Reference Costs Output (2)'!$D$13:$D$16</c:f>
              <c:strCache>
                <c:ptCount val="4"/>
                <c:pt idx="0">
                  <c:v>2007/08</c:v>
                </c:pt>
                <c:pt idx="1">
                  <c:v>2008/09</c:v>
                </c:pt>
                <c:pt idx="2">
                  <c:v>2009/10</c:v>
                </c:pt>
                <c:pt idx="3">
                  <c:v>2010/11</c:v>
                </c:pt>
              </c:strCache>
            </c:strRef>
          </c:cat>
          <c:val>
            <c:numRef>
              <c:f>'Reference Costs Output (2)'!$F$84:$F$87</c:f>
              <c:numCache>
                <c:formatCode>"£"#,##0_);[Red]\("£"#,##0\)</c:formatCode>
                <c:ptCount val="4"/>
                <c:pt idx="0">
                  <c:v>6552679133</c:v>
                </c:pt>
                <c:pt idx="1">
                  <c:v>7317052852</c:v>
                </c:pt>
                <c:pt idx="2">
                  <c:v>7623618289</c:v>
                </c:pt>
                <c:pt idx="3">
                  <c:v>8516922013</c:v>
                </c:pt>
              </c:numCache>
            </c:numRef>
          </c:val>
        </c:ser>
        <c:ser>
          <c:idx val="8"/>
          <c:order val="8"/>
          <c:tx>
            <c:strRef>
              <c:f>'Reference Costs Output (2)'!$D$89:$I$89</c:f>
              <c:strCache>
                <c:ptCount val="1"/>
                <c:pt idx="0">
                  <c:v>Radiology</c:v>
                </c:pt>
              </c:strCache>
            </c:strRef>
          </c:tx>
          <c:invertIfNegative val="0"/>
          <c:cat>
            <c:strRef>
              <c:f>'Reference Costs Output (2)'!$D$13:$D$16</c:f>
              <c:strCache>
                <c:ptCount val="4"/>
                <c:pt idx="0">
                  <c:v>2007/08</c:v>
                </c:pt>
                <c:pt idx="1">
                  <c:v>2008/09</c:v>
                </c:pt>
                <c:pt idx="2">
                  <c:v>2009/10</c:v>
                </c:pt>
                <c:pt idx="3">
                  <c:v>2010/11</c:v>
                </c:pt>
              </c:strCache>
            </c:strRef>
          </c:cat>
          <c:val>
            <c:numRef>
              <c:f>'Reference Costs Output (2)'!$F$94:$F$97</c:f>
              <c:numCache>
                <c:formatCode>"£"#,##0_);[Red]\("£"#,##0\)</c:formatCode>
                <c:ptCount val="4"/>
                <c:pt idx="0">
                  <c:v>787120593</c:v>
                </c:pt>
                <c:pt idx="1">
                  <c:v>800938521</c:v>
                </c:pt>
                <c:pt idx="2">
                  <c:v>865482297</c:v>
                </c:pt>
                <c:pt idx="3">
                  <c:v>821622082</c:v>
                </c:pt>
              </c:numCache>
            </c:numRef>
          </c:val>
        </c:ser>
        <c:ser>
          <c:idx val="9"/>
          <c:order val="9"/>
          <c:tx>
            <c:strRef>
              <c:f>'Reference Costs Output (2)'!$D$99:$I$99</c:f>
              <c:strCache>
                <c:ptCount val="1"/>
                <c:pt idx="0">
                  <c:v>Rehabilitation</c:v>
                </c:pt>
              </c:strCache>
            </c:strRef>
          </c:tx>
          <c:invertIfNegative val="0"/>
          <c:cat>
            <c:strRef>
              <c:f>'Reference Costs Output (2)'!$D$13:$D$16</c:f>
              <c:strCache>
                <c:ptCount val="4"/>
                <c:pt idx="0">
                  <c:v>2007/08</c:v>
                </c:pt>
                <c:pt idx="1">
                  <c:v>2008/09</c:v>
                </c:pt>
                <c:pt idx="2">
                  <c:v>2009/10</c:v>
                </c:pt>
                <c:pt idx="3">
                  <c:v>2010/11</c:v>
                </c:pt>
              </c:strCache>
            </c:strRef>
          </c:cat>
          <c:val>
            <c:numRef>
              <c:f>'Reference Costs Output (2)'!$F$104:$F$107</c:f>
              <c:numCache>
                <c:formatCode>"£"#,##0_);[Red]\("£"#,##0\)</c:formatCode>
                <c:ptCount val="4"/>
                <c:pt idx="0">
                  <c:v>706962591</c:v>
                </c:pt>
                <c:pt idx="1">
                  <c:v>868540789</c:v>
                </c:pt>
                <c:pt idx="2">
                  <c:v>915858318</c:v>
                </c:pt>
                <c:pt idx="3">
                  <c:v>945029495</c:v>
                </c:pt>
              </c:numCache>
            </c:numRef>
          </c:val>
        </c:ser>
        <c:ser>
          <c:idx val="10"/>
          <c:order val="10"/>
          <c:tx>
            <c:strRef>
              <c:f>'Reference Costs Output (2)'!$D$109:$I$109</c:f>
              <c:strCache>
                <c:ptCount val="1"/>
                <c:pt idx="0">
                  <c:v>Renal Dialysis</c:v>
                </c:pt>
              </c:strCache>
            </c:strRef>
          </c:tx>
          <c:invertIfNegative val="0"/>
          <c:cat>
            <c:strRef>
              <c:f>'Reference Costs Output (2)'!$D$13:$D$16</c:f>
              <c:strCache>
                <c:ptCount val="4"/>
                <c:pt idx="0">
                  <c:v>2007/08</c:v>
                </c:pt>
                <c:pt idx="1">
                  <c:v>2008/09</c:v>
                </c:pt>
                <c:pt idx="2">
                  <c:v>2009/10</c:v>
                </c:pt>
                <c:pt idx="3">
                  <c:v>2010/11</c:v>
                </c:pt>
              </c:strCache>
            </c:strRef>
          </c:cat>
          <c:val>
            <c:numRef>
              <c:f>'Reference Costs Output (2)'!$F$114:$F$117</c:f>
              <c:numCache>
                <c:formatCode>"£"#,##0_);[Red]\("£"#,##0\)</c:formatCode>
                <c:ptCount val="4"/>
                <c:pt idx="0">
                  <c:v>453477771</c:v>
                </c:pt>
                <c:pt idx="1">
                  <c:v>489100439</c:v>
                </c:pt>
                <c:pt idx="2">
                  <c:v>523116896</c:v>
                </c:pt>
                <c:pt idx="3">
                  <c:v>528597833</c:v>
                </c:pt>
              </c:numCache>
            </c:numRef>
          </c:val>
        </c:ser>
        <c:ser>
          <c:idx val="11"/>
          <c:order val="11"/>
          <c:tx>
            <c:strRef>
              <c:f>'Reference Costs Output (2)'!$D$119:$I$119</c:f>
              <c:strCache>
                <c:ptCount val="1"/>
                <c:pt idx="0">
                  <c:v>Specialist Services</c:v>
                </c:pt>
              </c:strCache>
            </c:strRef>
          </c:tx>
          <c:invertIfNegative val="0"/>
          <c:cat>
            <c:strRef>
              <c:f>'Reference Costs Output (2)'!$D$13:$D$16</c:f>
              <c:strCache>
                <c:ptCount val="4"/>
                <c:pt idx="0">
                  <c:v>2007/08</c:v>
                </c:pt>
                <c:pt idx="1">
                  <c:v>2008/09</c:v>
                </c:pt>
                <c:pt idx="2">
                  <c:v>2009/10</c:v>
                </c:pt>
                <c:pt idx="3">
                  <c:v>2010/11</c:v>
                </c:pt>
              </c:strCache>
            </c:strRef>
          </c:cat>
          <c:val>
            <c:numRef>
              <c:f>'Reference Costs Output (2)'!$F$124:$F$127</c:f>
              <c:numCache>
                <c:formatCode>"£"#,##0_);[Red]\("£"#,##0\)</c:formatCode>
                <c:ptCount val="4"/>
                <c:pt idx="0">
                  <c:v>2281153728</c:v>
                </c:pt>
                <c:pt idx="1">
                  <c:v>2563576383</c:v>
                </c:pt>
                <c:pt idx="2">
                  <c:v>2758727668</c:v>
                </c:pt>
                <c:pt idx="3">
                  <c:v>2833537449</c:v>
                </c:pt>
              </c:numCache>
            </c:numRef>
          </c:val>
        </c:ser>
        <c:ser>
          <c:idx val="12"/>
          <c:order val="12"/>
          <c:tx>
            <c:strRef>
              <c:f>'Reference Costs Output (2)'!$D$129</c:f>
              <c:strCache>
                <c:ptCount val="1"/>
                <c:pt idx="0">
                  <c:v>Opth &amp; Dentistry</c:v>
                </c:pt>
              </c:strCache>
            </c:strRef>
          </c:tx>
          <c:invertIfNegative val="0"/>
          <c:cat>
            <c:strRef>
              <c:f>'Reference Costs Output (2)'!$D$13:$D$16</c:f>
              <c:strCache>
                <c:ptCount val="4"/>
                <c:pt idx="0">
                  <c:v>2007/08</c:v>
                </c:pt>
                <c:pt idx="1">
                  <c:v>2008/09</c:v>
                </c:pt>
                <c:pt idx="2">
                  <c:v>2009/10</c:v>
                </c:pt>
                <c:pt idx="3">
                  <c:v>2010/11</c:v>
                </c:pt>
              </c:strCache>
            </c:strRef>
          </c:cat>
          <c:val>
            <c:numRef>
              <c:f>'Reference Costs Output (2)'!$F$134:$F$137</c:f>
              <c:numCache>
                <c:formatCode>#,##0</c:formatCode>
                <c:ptCount val="4"/>
                <c:pt idx="0">
                  <c:v>1523208120</c:v>
                </c:pt>
                <c:pt idx="1">
                  <c:v>1599541161.5</c:v>
                </c:pt>
                <c:pt idx="2">
                  <c:v>1680648267</c:v>
                </c:pt>
                <c:pt idx="3">
                  <c:v>1716391363.9000001</c:v>
                </c:pt>
              </c:numCache>
            </c:numRef>
          </c:val>
        </c:ser>
        <c:dLbls>
          <c:showLegendKey val="0"/>
          <c:showVal val="0"/>
          <c:showCatName val="0"/>
          <c:showSerName val="0"/>
          <c:showPercent val="0"/>
          <c:showBubbleSize val="0"/>
        </c:dLbls>
        <c:gapWidth val="150"/>
        <c:overlap val="100"/>
        <c:axId val="119422976"/>
        <c:axId val="119424512"/>
      </c:barChart>
      <c:catAx>
        <c:axId val="119422976"/>
        <c:scaling>
          <c:orientation val="minMax"/>
        </c:scaling>
        <c:delete val="0"/>
        <c:axPos val="l"/>
        <c:numFmt formatCode="General" sourceLinked="0"/>
        <c:majorTickMark val="out"/>
        <c:minorTickMark val="none"/>
        <c:tickLblPos val="nextTo"/>
        <c:txPr>
          <a:bodyPr/>
          <a:lstStyle/>
          <a:p>
            <a:pPr>
              <a:defRPr sz="800"/>
            </a:pPr>
            <a:endParaRPr lang="en-US"/>
          </a:p>
        </c:txPr>
        <c:crossAx val="119424512"/>
        <c:crosses val="autoZero"/>
        <c:auto val="1"/>
        <c:lblAlgn val="ctr"/>
        <c:lblOffset val="100"/>
        <c:noMultiLvlLbl val="0"/>
      </c:catAx>
      <c:valAx>
        <c:axId val="119424512"/>
        <c:scaling>
          <c:orientation val="minMax"/>
          <c:max val="33000000000"/>
          <c:min val="0"/>
        </c:scaling>
        <c:delete val="0"/>
        <c:axPos val="b"/>
        <c:majorGridlines/>
        <c:numFmt formatCode="&quot;£&quot;#,##0_);[Red]\(&quot;£&quot;#,##0\)" sourceLinked="1"/>
        <c:majorTickMark val="out"/>
        <c:minorTickMark val="none"/>
        <c:tickLblPos val="nextTo"/>
        <c:txPr>
          <a:bodyPr/>
          <a:lstStyle/>
          <a:p>
            <a:pPr>
              <a:defRPr sz="800"/>
            </a:pPr>
            <a:endParaRPr lang="en-US"/>
          </a:p>
        </c:txPr>
        <c:crossAx val="119422976"/>
        <c:crosses val="autoZero"/>
        <c:crossBetween val="between"/>
      </c:valAx>
    </c:plotArea>
    <c:legend>
      <c:legendPos val="b"/>
      <c:layout>
        <c:manualLayout>
          <c:xMode val="edge"/>
          <c:yMode val="edge"/>
          <c:x val="5.1690368421951467E-2"/>
          <c:y val="0.84060542432195973"/>
          <c:w val="0.94830963157805248"/>
          <c:h val="0.15877955578133493"/>
        </c:manualLayout>
      </c:layout>
      <c:overlay val="0"/>
      <c:txPr>
        <a:bodyPr/>
        <a:lstStyle/>
        <a:p>
          <a:pPr>
            <a:defRPr sz="800">
              <a:latin typeface="Arial Rounded MT Bold" pitchFamily="34" charset="0"/>
            </a:defRPr>
          </a:pPr>
          <a:endParaRPr lang="en-US"/>
        </a:p>
      </c:txPr>
    </c:legend>
    <c:plotVisOnly val="1"/>
    <c:dispBlanksAs val="gap"/>
    <c:showDLblsOverMax val="0"/>
  </c:chart>
  <c:spPr>
    <a:ln>
      <a:noFill/>
    </a:ln>
  </c:spPr>
  <c:printSettings>
    <c:headerFooter/>
    <c:pageMargins b="0.75000000000000333" l="0.70000000000000062" r="0.70000000000000062" t="0.75000000000000333"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80847865817207"/>
          <c:y val="5.1418959726808391E-2"/>
          <c:w val="0.79007067825849886"/>
          <c:h val="0.72727886433551081"/>
        </c:manualLayout>
      </c:layout>
      <c:barChart>
        <c:barDir val="bar"/>
        <c:grouping val="percentStacked"/>
        <c:varyColors val="0"/>
        <c:ser>
          <c:idx val="0"/>
          <c:order val="0"/>
          <c:tx>
            <c:strRef>
              <c:f>'Reference Costs Output (2)'!$D$8:$I$8</c:f>
              <c:strCache>
                <c:ptCount val="1"/>
                <c:pt idx="0">
                  <c:v>A&amp;E Services</c:v>
                </c:pt>
              </c:strCache>
            </c:strRef>
          </c:tx>
          <c:invertIfNegative val="0"/>
          <c:cat>
            <c:strRef>
              <c:f>'Reference Costs Output (2)'!$D$13:$D$16</c:f>
              <c:strCache>
                <c:ptCount val="4"/>
                <c:pt idx="0">
                  <c:v>2007/08</c:v>
                </c:pt>
                <c:pt idx="1">
                  <c:v>2008/09</c:v>
                </c:pt>
                <c:pt idx="2">
                  <c:v>2009/10</c:v>
                </c:pt>
                <c:pt idx="3">
                  <c:v>2010/11</c:v>
                </c:pt>
              </c:strCache>
            </c:strRef>
          </c:cat>
          <c:val>
            <c:numRef>
              <c:f>'Reference Costs Output (2)'!$F$13:$F$16</c:f>
              <c:numCache>
                <c:formatCode>"£"#,##0_);[Red]\("£"#,##0\)</c:formatCode>
                <c:ptCount val="4"/>
                <c:pt idx="0">
                  <c:v>2653789144</c:v>
                </c:pt>
                <c:pt idx="1">
                  <c:v>3021863889</c:v>
                </c:pt>
                <c:pt idx="2">
                  <c:v>3296888378</c:v>
                </c:pt>
                <c:pt idx="3">
                  <c:v>3431897220</c:v>
                </c:pt>
              </c:numCache>
            </c:numRef>
          </c:val>
        </c:ser>
        <c:ser>
          <c:idx val="1"/>
          <c:order val="1"/>
          <c:tx>
            <c:strRef>
              <c:f>'Reference Costs Output (2)'!$D$19:$I$19</c:f>
              <c:strCache>
                <c:ptCount val="1"/>
                <c:pt idx="0">
                  <c:v>Chemo/Radiotherapy &amp; High Cost Drugs</c:v>
                </c:pt>
              </c:strCache>
            </c:strRef>
          </c:tx>
          <c:invertIfNegative val="0"/>
          <c:cat>
            <c:strRef>
              <c:f>'Reference Costs Output (2)'!$D$13:$D$16</c:f>
              <c:strCache>
                <c:ptCount val="4"/>
                <c:pt idx="0">
                  <c:v>2007/08</c:v>
                </c:pt>
                <c:pt idx="1">
                  <c:v>2008/09</c:v>
                </c:pt>
                <c:pt idx="2">
                  <c:v>2009/10</c:v>
                </c:pt>
                <c:pt idx="3">
                  <c:v>2010/11</c:v>
                </c:pt>
              </c:strCache>
            </c:strRef>
          </c:cat>
          <c:val>
            <c:numRef>
              <c:f>'Reference Costs Output (2)'!$F$24:$F$27</c:f>
              <c:numCache>
                <c:formatCode>"£"#,##0_);[Red]\("£"#,##0\)</c:formatCode>
                <c:ptCount val="4"/>
                <c:pt idx="0">
                  <c:v>976800940</c:v>
                </c:pt>
                <c:pt idx="1">
                  <c:v>1530911288</c:v>
                </c:pt>
                <c:pt idx="2">
                  <c:v>1970519534</c:v>
                </c:pt>
                <c:pt idx="3">
                  <c:v>2183136937</c:v>
                </c:pt>
              </c:numCache>
            </c:numRef>
          </c:val>
        </c:ser>
        <c:ser>
          <c:idx val="2"/>
          <c:order val="2"/>
          <c:tx>
            <c:strRef>
              <c:f>'Reference Costs Output (2)'!$D$29:$I$29</c:f>
              <c:strCache>
                <c:ptCount val="1"/>
                <c:pt idx="0">
                  <c:v>Community Care</c:v>
                </c:pt>
              </c:strCache>
            </c:strRef>
          </c:tx>
          <c:invertIfNegative val="0"/>
          <c:cat>
            <c:strRef>
              <c:f>'Reference Costs Output (2)'!$D$13:$D$16</c:f>
              <c:strCache>
                <c:ptCount val="4"/>
                <c:pt idx="0">
                  <c:v>2007/08</c:v>
                </c:pt>
                <c:pt idx="1">
                  <c:v>2008/09</c:v>
                </c:pt>
                <c:pt idx="2">
                  <c:v>2009/10</c:v>
                </c:pt>
                <c:pt idx="3">
                  <c:v>2010/11</c:v>
                </c:pt>
              </c:strCache>
            </c:strRef>
          </c:cat>
          <c:val>
            <c:numRef>
              <c:f>'Reference Costs Output (2)'!$F$34:$F$37</c:f>
              <c:numCache>
                <c:formatCode>"£"#,##0_);[Red]\("£"#,##0\)</c:formatCode>
                <c:ptCount val="4"/>
                <c:pt idx="0">
                  <c:v>3630325787</c:v>
                </c:pt>
                <c:pt idx="1">
                  <c:v>3945710493</c:v>
                </c:pt>
                <c:pt idx="2">
                  <c:v>4208381075</c:v>
                </c:pt>
                <c:pt idx="3">
                  <c:v>4234047152</c:v>
                </c:pt>
              </c:numCache>
            </c:numRef>
          </c:val>
        </c:ser>
        <c:ser>
          <c:idx val="3"/>
          <c:order val="3"/>
          <c:tx>
            <c:strRef>
              <c:f>'Reference Costs Output (2)'!$D$39:$I$39</c:f>
              <c:strCache>
                <c:ptCount val="1"/>
                <c:pt idx="0">
                  <c:v>Diagnostic Tests</c:v>
                </c:pt>
              </c:strCache>
            </c:strRef>
          </c:tx>
          <c:invertIfNegative val="0"/>
          <c:cat>
            <c:strRef>
              <c:f>'Reference Costs Output (2)'!$D$13:$D$16</c:f>
              <c:strCache>
                <c:ptCount val="4"/>
                <c:pt idx="0">
                  <c:v>2007/08</c:v>
                </c:pt>
                <c:pt idx="1">
                  <c:v>2008/09</c:v>
                </c:pt>
                <c:pt idx="2">
                  <c:v>2009/10</c:v>
                </c:pt>
                <c:pt idx="3">
                  <c:v>2010/11</c:v>
                </c:pt>
              </c:strCache>
            </c:strRef>
          </c:cat>
          <c:val>
            <c:numRef>
              <c:f>'Reference Costs Output (2)'!$F$44:$F$47</c:f>
              <c:numCache>
                <c:formatCode>"£"#,##0_);[Red]\("£"#,##0\)</c:formatCode>
                <c:ptCount val="4"/>
                <c:pt idx="0">
                  <c:v>714025656</c:v>
                </c:pt>
                <c:pt idx="1">
                  <c:v>686042927</c:v>
                </c:pt>
                <c:pt idx="2">
                  <c:v>758266445</c:v>
                </c:pt>
                <c:pt idx="3">
                  <c:v>805583529</c:v>
                </c:pt>
              </c:numCache>
            </c:numRef>
          </c:val>
        </c:ser>
        <c:ser>
          <c:idx val="4"/>
          <c:order val="4"/>
          <c:tx>
            <c:strRef>
              <c:f>'Reference Costs Output (2)'!$D$49:$I$49</c:f>
              <c:strCache>
                <c:ptCount val="1"/>
                <c:pt idx="0">
                  <c:v>Hospital and Non-Admitted Mental Health</c:v>
                </c:pt>
              </c:strCache>
            </c:strRef>
          </c:tx>
          <c:invertIfNegative val="0"/>
          <c:cat>
            <c:strRef>
              <c:f>'Reference Costs Output (2)'!$D$13:$D$16</c:f>
              <c:strCache>
                <c:ptCount val="4"/>
                <c:pt idx="0">
                  <c:v>2007/08</c:v>
                </c:pt>
                <c:pt idx="1">
                  <c:v>2008/09</c:v>
                </c:pt>
                <c:pt idx="2">
                  <c:v>2009/10</c:v>
                </c:pt>
                <c:pt idx="3">
                  <c:v>2010/11</c:v>
                </c:pt>
              </c:strCache>
            </c:strRef>
          </c:cat>
          <c:val>
            <c:numRef>
              <c:f>'Reference Costs Output (2)'!$F$54:$F$57</c:f>
              <c:numCache>
                <c:formatCode>"£"#,##0_);[Red]\("£"#,##0\)</c:formatCode>
                <c:ptCount val="4"/>
                <c:pt idx="0">
                  <c:v>3333571276</c:v>
                </c:pt>
                <c:pt idx="1">
                  <c:v>3570652030</c:v>
                </c:pt>
                <c:pt idx="2">
                  <c:v>3762869183</c:v>
                </c:pt>
                <c:pt idx="3">
                  <c:v>3863586450</c:v>
                </c:pt>
              </c:numCache>
            </c:numRef>
          </c:val>
        </c:ser>
        <c:ser>
          <c:idx val="5"/>
          <c:order val="5"/>
          <c:tx>
            <c:strRef>
              <c:f>'Reference Costs Output (2)'!$D$59:$I$59</c:f>
              <c:strCache>
                <c:ptCount val="1"/>
                <c:pt idx="0">
                  <c:v>Hospital/Patient Transport Scheme</c:v>
                </c:pt>
              </c:strCache>
            </c:strRef>
          </c:tx>
          <c:invertIfNegative val="0"/>
          <c:cat>
            <c:strRef>
              <c:f>'Reference Costs Output (2)'!$D$13:$D$16</c:f>
              <c:strCache>
                <c:ptCount val="4"/>
                <c:pt idx="0">
                  <c:v>2007/08</c:v>
                </c:pt>
                <c:pt idx="1">
                  <c:v>2008/09</c:v>
                </c:pt>
                <c:pt idx="2">
                  <c:v>2009/10</c:v>
                </c:pt>
                <c:pt idx="3">
                  <c:v>2010/11</c:v>
                </c:pt>
              </c:strCache>
            </c:strRef>
          </c:cat>
          <c:val>
            <c:numRef>
              <c:f>'Reference Costs Output (2)'!$F$64:$F$67</c:f>
              <c:numCache>
                <c:formatCode>"£"#,##0_);[Red]\("£"#,##0\)</c:formatCode>
                <c:ptCount val="4"/>
                <c:pt idx="0">
                  <c:v>214203331</c:v>
                </c:pt>
                <c:pt idx="1">
                  <c:v>254832199</c:v>
                </c:pt>
                <c:pt idx="2">
                  <c:v>194852225</c:v>
                </c:pt>
                <c:pt idx="3">
                  <c:v>5470622</c:v>
                </c:pt>
              </c:numCache>
            </c:numRef>
          </c:val>
        </c:ser>
        <c:ser>
          <c:idx val="6"/>
          <c:order val="6"/>
          <c:tx>
            <c:strRef>
              <c:f>'Reference Costs Output (2)'!$D$69:$I$69</c:f>
              <c:strCache>
                <c:ptCount val="1"/>
                <c:pt idx="0">
                  <c:v>Other</c:v>
                </c:pt>
              </c:strCache>
            </c:strRef>
          </c:tx>
          <c:invertIfNegative val="0"/>
          <c:cat>
            <c:strRef>
              <c:f>'Reference Costs Output (2)'!$D$13:$D$16</c:f>
              <c:strCache>
                <c:ptCount val="4"/>
                <c:pt idx="0">
                  <c:v>2007/08</c:v>
                </c:pt>
                <c:pt idx="1">
                  <c:v>2008/09</c:v>
                </c:pt>
                <c:pt idx="2">
                  <c:v>2009/10</c:v>
                </c:pt>
                <c:pt idx="3">
                  <c:v>2010/11</c:v>
                </c:pt>
              </c:strCache>
            </c:strRef>
          </c:cat>
          <c:val>
            <c:numRef>
              <c:f>'Reference Costs Output (2)'!$F$74:$F$77</c:f>
              <c:numCache>
                <c:formatCode>"£"#,##0_);[Red]\("£"#,##0\)</c:formatCode>
                <c:ptCount val="4"/>
                <c:pt idx="0">
                  <c:v>10623346440</c:v>
                </c:pt>
                <c:pt idx="1">
                  <c:v>12162031638.5</c:v>
                </c:pt>
                <c:pt idx="2">
                  <c:v>13307869308</c:v>
                </c:pt>
                <c:pt idx="3">
                  <c:v>13629397236.9</c:v>
                </c:pt>
              </c:numCache>
            </c:numRef>
          </c:val>
        </c:ser>
        <c:ser>
          <c:idx val="7"/>
          <c:order val="7"/>
          <c:tx>
            <c:strRef>
              <c:f>'Reference Costs Output (2)'!$D$79:$I$79</c:f>
              <c:strCache>
                <c:ptCount val="1"/>
                <c:pt idx="0">
                  <c:v>Outpatient</c:v>
                </c:pt>
              </c:strCache>
            </c:strRef>
          </c:tx>
          <c:invertIfNegative val="0"/>
          <c:cat>
            <c:strRef>
              <c:f>'Reference Costs Output (2)'!$D$13:$D$16</c:f>
              <c:strCache>
                <c:ptCount val="4"/>
                <c:pt idx="0">
                  <c:v>2007/08</c:v>
                </c:pt>
                <c:pt idx="1">
                  <c:v>2008/09</c:v>
                </c:pt>
                <c:pt idx="2">
                  <c:v>2009/10</c:v>
                </c:pt>
                <c:pt idx="3">
                  <c:v>2010/11</c:v>
                </c:pt>
              </c:strCache>
            </c:strRef>
          </c:cat>
          <c:val>
            <c:numRef>
              <c:f>'Reference Costs Output (2)'!$F$84:$F$87</c:f>
              <c:numCache>
                <c:formatCode>"£"#,##0_);[Red]\("£"#,##0\)</c:formatCode>
                <c:ptCount val="4"/>
                <c:pt idx="0">
                  <c:v>6552679133</c:v>
                </c:pt>
                <c:pt idx="1">
                  <c:v>7317052852</c:v>
                </c:pt>
                <c:pt idx="2">
                  <c:v>7623618289</c:v>
                </c:pt>
                <c:pt idx="3">
                  <c:v>8516922013</c:v>
                </c:pt>
              </c:numCache>
            </c:numRef>
          </c:val>
        </c:ser>
        <c:ser>
          <c:idx val="8"/>
          <c:order val="8"/>
          <c:tx>
            <c:strRef>
              <c:f>'Reference Costs Output (2)'!$D$89:$I$89</c:f>
              <c:strCache>
                <c:ptCount val="1"/>
                <c:pt idx="0">
                  <c:v>Radiology</c:v>
                </c:pt>
              </c:strCache>
            </c:strRef>
          </c:tx>
          <c:invertIfNegative val="0"/>
          <c:cat>
            <c:strRef>
              <c:f>'Reference Costs Output (2)'!$D$13:$D$16</c:f>
              <c:strCache>
                <c:ptCount val="4"/>
                <c:pt idx="0">
                  <c:v>2007/08</c:v>
                </c:pt>
                <c:pt idx="1">
                  <c:v>2008/09</c:v>
                </c:pt>
                <c:pt idx="2">
                  <c:v>2009/10</c:v>
                </c:pt>
                <c:pt idx="3">
                  <c:v>2010/11</c:v>
                </c:pt>
              </c:strCache>
            </c:strRef>
          </c:cat>
          <c:val>
            <c:numRef>
              <c:f>'Reference Costs Output (2)'!$F$94:$F$97</c:f>
              <c:numCache>
                <c:formatCode>"£"#,##0_);[Red]\("£"#,##0\)</c:formatCode>
                <c:ptCount val="4"/>
                <c:pt idx="0">
                  <c:v>787120593</c:v>
                </c:pt>
                <c:pt idx="1">
                  <c:v>800938521</c:v>
                </c:pt>
                <c:pt idx="2">
                  <c:v>865482297</c:v>
                </c:pt>
                <c:pt idx="3">
                  <c:v>821622082</c:v>
                </c:pt>
              </c:numCache>
            </c:numRef>
          </c:val>
        </c:ser>
        <c:ser>
          <c:idx val="9"/>
          <c:order val="9"/>
          <c:tx>
            <c:strRef>
              <c:f>'Reference Costs Output (2)'!$D$99:$I$99</c:f>
              <c:strCache>
                <c:ptCount val="1"/>
                <c:pt idx="0">
                  <c:v>Rehabilitation</c:v>
                </c:pt>
              </c:strCache>
            </c:strRef>
          </c:tx>
          <c:invertIfNegative val="0"/>
          <c:cat>
            <c:strRef>
              <c:f>'Reference Costs Output (2)'!$D$13:$D$16</c:f>
              <c:strCache>
                <c:ptCount val="4"/>
                <c:pt idx="0">
                  <c:v>2007/08</c:v>
                </c:pt>
                <c:pt idx="1">
                  <c:v>2008/09</c:v>
                </c:pt>
                <c:pt idx="2">
                  <c:v>2009/10</c:v>
                </c:pt>
                <c:pt idx="3">
                  <c:v>2010/11</c:v>
                </c:pt>
              </c:strCache>
            </c:strRef>
          </c:cat>
          <c:val>
            <c:numRef>
              <c:f>'Reference Costs Output (2)'!$F$104:$F$107</c:f>
              <c:numCache>
                <c:formatCode>"£"#,##0_);[Red]\("£"#,##0\)</c:formatCode>
                <c:ptCount val="4"/>
                <c:pt idx="0">
                  <c:v>706962591</c:v>
                </c:pt>
                <c:pt idx="1">
                  <c:v>868540789</c:v>
                </c:pt>
                <c:pt idx="2">
                  <c:v>915858318</c:v>
                </c:pt>
                <c:pt idx="3">
                  <c:v>945029495</c:v>
                </c:pt>
              </c:numCache>
            </c:numRef>
          </c:val>
        </c:ser>
        <c:ser>
          <c:idx val="10"/>
          <c:order val="10"/>
          <c:tx>
            <c:strRef>
              <c:f>'Reference Costs Output (2)'!$D$109:$I$109</c:f>
              <c:strCache>
                <c:ptCount val="1"/>
                <c:pt idx="0">
                  <c:v>Renal Dialysis</c:v>
                </c:pt>
              </c:strCache>
            </c:strRef>
          </c:tx>
          <c:invertIfNegative val="0"/>
          <c:cat>
            <c:strRef>
              <c:f>'Reference Costs Output (2)'!$D$13:$D$16</c:f>
              <c:strCache>
                <c:ptCount val="4"/>
                <c:pt idx="0">
                  <c:v>2007/08</c:v>
                </c:pt>
                <c:pt idx="1">
                  <c:v>2008/09</c:v>
                </c:pt>
                <c:pt idx="2">
                  <c:v>2009/10</c:v>
                </c:pt>
                <c:pt idx="3">
                  <c:v>2010/11</c:v>
                </c:pt>
              </c:strCache>
            </c:strRef>
          </c:cat>
          <c:val>
            <c:numRef>
              <c:f>'Reference Costs Output (2)'!$F$114:$F$117</c:f>
              <c:numCache>
                <c:formatCode>"£"#,##0_);[Red]\("£"#,##0\)</c:formatCode>
                <c:ptCount val="4"/>
                <c:pt idx="0">
                  <c:v>453477771</c:v>
                </c:pt>
                <c:pt idx="1">
                  <c:v>489100439</c:v>
                </c:pt>
                <c:pt idx="2">
                  <c:v>523116896</c:v>
                </c:pt>
                <c:pt idx="3">
                  <c:v>528597833</c:v>
                </c:pt>
              </c:numCache>
            </c:numRef>
          </c:val>
        </c:ser>
        <c:ser>
          <c:idx val="11"/>
          <c:order val="11"/>
          <c:tx>
            <c:strRef>
              <c:f>'Reference Costs Output (2)'!$D$119:$I$119</c:f>
              <c:strCache>
                <c:ptCount val="1"/>
                <c:pt idx="0">
                  <c:v>Specialist Services</c:v>
                </c:pt>
              </c:strCache>
            </c:strRef>
          </c:tx>
          <c:invertIfNegative val="0"/>
          <c:cat>
            <c:strRef>
              <c:f>'Reference Costs Output (2)'!$D$13:$D$16</c:f>
              <c:strCache>
                <c:ptCount val="4"/>
                <c:pt idx="0">
                  <c:v>2007/08</c:v>
                </c:pt>
                <c:pt idx="1">
                  <c:v>2008/09</c:v>
                </c:pt>
                <c:pt idx="2">
                  <c:v>2009/10</c:v>
                </c:pt>
                <c:pt idx="3">
                  <c:v>2010/11</c:v>
                </c:pt>
              </c:strCache>
            </c:strRef>
          </c:cat>
          <c:val>
            <c:numRef>
              <c:f>'Reference Costs Output (2)'!$F$124:$F$127</c:f>
              <c:numCache>
                <c:formatCode>"£"#,##0_);[Red]\("£"#,##0\)</c:formatCode>
                <c:ptCount val="4"/>
                <c:pt idx="0">
                  <c:v>2281153728</c:v>
                </c:pt>
                <c:pt idx="1">
                  <c:v>2563576383</c:v>
                </c:pt>
                <c:pt idx="2">
                  <c:v>2758727668</c:v>
                </c:pt>
                <c:pt idx="3">
                  <c:v>2833537449</c:v>
                </c:pt>
              </c:numCache>
            </c:numRef>
          </c:val>
        </c:ser>
        <c:ser>
          <c:idx val="12"/>
          <c:order val="12"/>
          <c:tx>
            <c:strRef>
              <c:f>'Reference Costs Output (2)'!$D$129</c:f>
              <c:strCache>
                <c:ptCount val="1"/>
                <c:pt idx="0">
                  <c:v>Opth &amp; Dentistry</c:v>
                </c:pt>
              </c:strCache>
            </c:strRef>
          </c:tx>
          <c:invertIfNegative val="0"/>
          <c:cat>
            <c:strRef>
              <c:f>'Reference Costs Output (2)'!$D$13:$D$16</c:f>
              <c:strCache>
                <c:ptCount val="4"/>
                <c:pt idx="0">
                  <c:v>2007/08</c:v>
                </c:pt>
                <c:pt idx="1">
                  <c:v>2008/09</c:v>
                </c:pt>
                <c:pt idx="2">
                  <c:v>2009/10</c:v>
                </c:pt>
                <c:pt idx="3">
                  <c:v>2010/11</c:v>
                </c:pt>
              </c:strCache>
            </c:strRef>
          </c:cat>
          <c:val>
            <c:numRef>
              <c:f>'Reference Costs Output (2)'!$F$134:$F$137</c:f>
              <c:numCache>
                <c:formatCode>#,##0</c:formatCode>
                <c:ptCount val="4"/>
                <c:pt idx="0">
                  <c:v>1523208120</c:v>
                </c:pt>
                <c:pt idx="1">
                  <c:v>1599541161.5</c:v>
                </c:pt>
                <c:pt idx="2">
                  <c:v>1680648267</c:v>
                </c:pt>
                <c:pt idx="3">
                  <c:v>1716391363.9000001</c:v>
                </c:pt>
              </c:numCache>
            </c:numRef>
          </c:val>
        </c:ser>
        <c:dLbls>
          <c:showLegendKey val="0"/>
          <c:showVal val="0"/>
          <c:showCatName val="0"/>
          <c:showSerName val="0"/>
          <c:showPercent val="0"/>
          <c:showBubbleSize val="0"/>
        </c:dLbls>
        <c:gapWidth val="150"/>
        <c:overlap val="100"/>
        <c:axId val="150755968"/>
        <c:axId val="150757760"/>
      </c:barChart>
      <c:catAx>
        <c:axId val="150755968"/>
        <c:scaling>
          <c:orientation val="minMax"/>
        </c:scaling>
        <c:delete val="0"/>
        <c:axPos val="l"/>
        <c:numFmt formatCode="General" sourceLinked="0"/>
        <c:majorTickMark val="out"/>
        <c:minorTickMark val="none"/>
        <c:tickLblPos val="nextTo"/>
        <c:txPr>
          <a:bodyPr/>
          <a:lstStyle/>
          <a:p>
            <a:pPr>
              <a:defRPr sz="800"/>
            </a:pPr>
            <a:endParaRPr lang="en-US"/>
          </a:p>
        </c:txPr>
        <c:crossAx val="150757760"/>
        <c:crosses val="autoZero"/>
        <c:auto val="1"/>
        <c:lblAlgn val="ctr"/>
        <c:lblOffset val="100"/>
        <c:noMultiLvlLbl val="0"/>
      </c:catAx>
      <c:valAx>
        <c:axId val="150757760"/>
        <c:scaling>
          <c:orientation val="minMax"/>
        </c:scaling>
        <c:delete val="0"/>
        <c:axPos val="b"/>
        <c:majorGridlines/>
        <c:numFmt formatCode="0%" sourceLinked="1"/>
        <c:majorTickMark val="out"/>
        <c:minorTickMark val="none"/>
        <c:tickLblPos val="nextTo"/>
        <c:txPr>
          <a:bodyPr/>
          <a:lstStyle/>
          <a:p>
            <a:pPr>
              <a:defRPr sz="800"/>
            </a:pPr>
            <a:endParaRPr lang="en-US"/>
          </a:p>
        </c:txPr>
        <c:crossAx val="150755968"/>
        <c:crosses val="autoZero"/>
        <c:crossBetween val="between"/>
      </c:valAx>
    </c:plotArea>
    <c:legend>
      <c:legendPos val="b"/>
      <c:layout>
        <c:manualLayout>
          <c:xMode val="edge"/>
          <c:yMode val="edge"/>
          <c:x val="5.1690368421951467E-2"/>
          <c:y val="0.84060542432195973"/>
          <c:w val="0.94830963157805248"/>
          <c:h val="0.15877955578133493"/>
        </c:manualLayout>
      </c:layout>
      <c:overlay val="0"/>
      <c:txPr>
        <a:bodyPr/>
        <a:lstStyle/>
        <a:p>
          <a:pPr>
            <a:defRPr sz="800">
              <a:latin typeface="Arial Rounded MT Bold" pitchFamily="34" charset="0"/>
            </a:defRPr>
          </a:pPr>
          <a:endParaRPr lang="en-US"/>
        </a:p>
      </c:txPr>
    </c:legend>
    <c:plotVisOnly val="1"/>
    <c:dispBlanksAs val="gap"/>
    <c:showDLblsOverMax val="0"/>
  </c:chart>
  <c:spPr>
    <a:ln>
      <a:noFill/>
    </a:ln>
  </c:spPr>
  <c:printSettings>
    <c:headerFooter/>
    <c:pageMargins b="0.75000000000000333" l="0.70000000000000062" r="0.70000000000000062" t="0.75000000000000333"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lineChart>
        <c:grouping val="standard"/>
        <c:varyColors val="0"/>
        <c:ser>
          <c:idx val="0"/>
          <c:order val="0"/>
          <c:tx>
            <c:strRef>
              <c:f>'HES output'!$C$27</c:f>
              <c:strCache>
                <c:ptCount val="1"/>
                <c:pt idx="0">
                  <c:v>Total CIPS</c:v>
                </c:pt>
              </c:strCache>
            </c:strRef>
          </c:tx>
          <c:spPr>
            <a:ln w="38100"/>
            <a:effectLst>
              <a:softEdge rad="12700"/>
            </a:effectLst>
          </c:spPr>
          <c:marker>
            <c:symbol val="none"/>
          </c:marker>
          <c:cat>
            <c:strRef>
              <c:f>'HES output'!$B$34:$B$40</c:f>
              <c:strCache>
                <c:ptCount val="7"/>
                <c:pt idx="0">
                  <c:v>2004/05</c:v>
                </c:pt>
                <c:pt idx="1">
                  <c:v>2005/06</c:v>
                </c:pt>
                <c:pt idx="2">
                  <c:v>2006/07</c:v>
                </c:pt>
                <c:pt idx="3">
                  <c:v>2007/08</c:v>
                </c:pt>
                <c:pt idx="4">
                  <c:v>2008/09</c:v>
                </c:pt>
                <c:pt idx="5">
                  <c:v>2009/10</c:v>
                </c:pt>
                <c:pt idx="6">
                  <c:v>2010/11</c:v>
                </c:pt>
              </c:strCache>
            </c:strRef>
          </c:cat>
          <c:val>
            <c:numRef>
              <c:f>'HES output'!$H$43:$H$49</c:f>
              <c:numCache>
                <c:formatCode>General</c:formatCode>
                <c:ptCount val="7"/>
                <c:pt idx="0">
                  <c:v>1</c:v>
                </c:pt>
                <c:pt idx="1">
                  <c:v>0.96951194921884454</c:v>
                </c:pt>
                <c:pt idx="2">
                  <c:v>0.93206326673818185</c:v>
                </c:pt>
                <c:pt idx="3">
                  <c:v>0.89943782615358558</c:v>
                </c:pt>
                <c:pt idx="4">
                  <c:v>0.87570876652444285</c:v>
                </c:pt>
                <c:pt idx="5">
                  <c:v>0.98086027923183017</c:v>
                </c:pt>
                <c:pt idx="6">
                  <c:v>1.0148407442955889</c:v>
                </c:pt>
              </c:numCache>
            </c:numRef>
          </c:val>
          <c:smooth val="0"/>
        </c:ser>
        <c:ser>
          <c:idx val="1"/>
          <c:order val="1"/>
          <c:tx>
            <c:strRef>
              <c:f>'HES output'!$D$27</c:f>
              <c:strCache>
                <c:ptCount val="1"/>
                <c:pt idx="0">
                  <c:v>Average Cost</c:v>
                </c:pt>
              </c:strCache>
            </c:strRef>
          </c:tx>
          <c:spPr>
            <a:ln w="38100"/>
            <a:effectLst>
              <a:softEdge rad="12700"/>
            </a:effectLst>
          </c:spPr>
          <c:marker>
            <c:symbol val="none"/>
          </c:marker>
          <c:dPt>
            <c:idx val="6"/>
            <c:bubble3D val="0"/>
            <c:spPr>
              <a:ln w="38100"/>
              <a:effectLst>
                <a:softEdge rad="50800"/>
              </a:effectLst>
            </c:spPr>
          </c:dPt>
          <c:cat>
            <c:strRef>
              <c:f>'HES output'!$B$37:$B$40</c:f>
              <c:strCache>
                <c:ptCount val="4"/>
                <c:pt idx="0">
                  <c:v>2007/08</c:v>
                </c:pt>
                <c:pt idx="1">
                  <c:v>2008/09</c:v>
                </c:pt>
                <c:pt idx="2">
                  <c:v>2009/10</c:v>
                </c:pt>
                <c:pt idx="3">
                  <c:v>2010/11</c:v>
                </c:pt>
              </c:strCache>
            </c:strRef>
          </c:cat>
          <c:val>
            <c:numRef>
              <c:f>'HES output'!$I$43:$I$49</c:f>
              <c:numCache>
                <c:formatCode>General</c:formatCode>
                <c:ptCount val="7"/>
                <c:pt idx="0">
                  <c:v>1</c:v>
                </c:pt>
                <c:pt idx="1">
                  <c:v>1</c:v>
                </c:pt>
                <c:pt idx="2">
                  <c:v>1</c:v>
                </c:pt>
                <c:pt idx="3">
                  <c:v>1.3784584980237153</c:v>
                </c:pt>
                <c:pt idx="4">
                  <c:v>1.3448616600790513</c:v>
                </c:pt>
                <c:pt idx="5">
                  <c:v>1.348814229249012</c:v>
                </c:pt>
                <c:pt idx="6">
                  <c:v>1.4278656126482214</c:v>
                </c:pt>
              </c:numCache>
            </c:numRef>
          </c:val>
          <c:smooth val="0"/>
        </c:ser>
        <c:dLbls>
          <c:showLegendKey val="0"/>
          <c:showVal val="0"/>
          <c:showCatName val="0"/>
          <c:showSerName val="0"/>
          <c:showPercent val="0"/>
          <c:showBubbleSize val="0"/>
        </c:dLbls>
        <c:marker val="1"/>
        <c:smooth val="0"/>
        <c:axId val="151347968"/>
        <c:axId val="151349504"/>
      </c:lineChart>
      <c:catAx>
        <c:axId val="151347968"/>
        <c:scaling>
          <c:orientation val="minMax"/>
        </c:scaling>
        <c:delete val="0"/>
        <c:axPos val="b"/>
        <c:numFmt formatCode="General" sourceLinked="0"/>
        <c:majorTickMark val="out"/>
        <c:minorTickMark val="none"/>
        <c:tickLblPos val="nextTo"/>
        <c:txPr>
          <a:bodyPr/>
          <a:lstStyle/>
          <a:p>
            <a:pPr>
              <a:defRPr sz="800">
                <a:latin typeface="Arial Rounded MT Bold" pitchFamily="34" charset="0"/>
              </a:defRPr>
            </a:pPr>
            <a:endParaRPr lang="en-US"/>
          </a:p>
        </c:txPr>
        <c:crossAx val="151349504"/>
        <c:crosses val="autoZero"/>
        <c:auto val="1"/>
        <c:lblAlgn val="ctr"/>
        <c:lblOffset val="100"/>
        <c:noMultiLvlLbl val="0"/>
      </c:catAx>
      <c:valAx>
        <c:axId val="151349504"/>
        <c:scaling>
          <c:orientation val="minMax"/>
        </c:scaling>
        <c:delete val="0"/>
        <c:axPos val="l"/>
        <c:majorGridlines/>
        <c:numFmt formatCode="General" sourceLinked="1"/>
        <c:majorTickMark val="out"/>
        <c:minorTickMark val="none"/>
        <c:tickLblPos val="nextTo"/>
        <c:txPr>
          <a:bodyPr/>
          <a:lstStyle/>
          <a:p>
            <a:pPr>
              <a:defRPr sz="800">
                <a:latin typeface="Arial Rounded MT Bold" pitchFamily="34" charset="0"/>
              </a:defRPr>
            </a:pPr>
            <a:endParaRPr lang="en-US"/>
          </a:p>
        </c:txPr>
        <c:crossAx val="151347968"/>
        <c:crosses val="autoZero"/>
        <c:crossBetween val="between"/>
      </c:valAx>
    </c:plotArea>
    <c:legend>
      <c:legendPos val="b"/>
      <c:layout>
        <c:manualLayout>
          <c:xMode val="edge"/>
          <c:yMode val="edge"/>
          <c:x val="0.19223405486111333"/>
          <c:y val="0.93094025444913586"/>
          <c:w val="0.6052873153165107"/>
          <c:h val="6.9059925404061334E-2"/>
        </c:manualLayout>
      </c:layout>
      <c:overlay val="0"/>
      <c:txPr>
        <a:bodyPr/>
        <a:lstStyle/>
        <a:p>
          <a:pPr>
            <a:defRPr sz="800">
              <a:latin typeface="Arial Rounded MT Bold" pitchFamily="34" charset="0"/>
            </a:defRPr>
          </a:pPr>
          <a:endParaRPr lang="en-US"/>
        </a:p>
      </c:txPr>
    </c:legend>
    <c:plotVisOnly val="1"/>
    <c:dispBlanksAs val="gap"/>
    <c:showDLblsOverMax val="0"/>
  </c:chart>
  <c:spPr>
    <a:ln>
      <a:noFill/>
    </a:ln>
  </c:spPr>
  <c:printSettings>
    <c:headerFooter/>
    <c:pageMargins b="0.75000000000000266" l="0.70000000000000062" r="0.70000000000000062" t="0.7500000000000026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t>Total hospital activity (million CIPS)</a:t>
            </a:r>
          </a:p>
        </c:rich>
      </c:tx>
      <c:overlay val="0"/>
    </c:title>
    <c:autoTitleDeleted val="0"/>
    <c:plotArea>
      <c:layout/>
      <c:lineChart>
        <c:grouping val="standard"/>
        <c:varyColors val="0"/>
        <c:ser>
          <c:idx val="0"/>
          <c:order val="0"/>
          <c:tx>
            <c:v>Total hospital activity</c:v>
          </c:tx>
          <c:cat>
            <c:strLit>
              <c:ptCount val="15"/>
              <c:pt idx="0">
                <c:v>1998/99</c:v>
              </c:pt>
              <c:pt idx="1">
                <c:v>1999/00</c:v>
              </c:pt>
              <c:pt idx="2">
                <c:v>2000/01</c:v>
              </c:pt>
              <c:pt idx="3">
                <c:v>2001/02</c:v>
              </c:pt>
              <c:pt idx="4">
                <c:v>2002/03</c:v>
              </c:pt>
              <c:pt idx="5">
                <c:v>2003/04</c:v>
              </c:pt>
              <c:pt idx="6">
                <c:v>2003/04</c:v>
              </c:pt>
              <c:pt idx="7">
                <c:v>2004/05</c:v>
              </c:pt>
              <c:pt idx="8">
                <c:v>2005/06</c:v>
              </c:pt>
              <c:pt idx="9">
                <c:v>2006/07</c:v>
              </c:pt>
              <c:pt idx="10">
                <c:v>2007/08</c:v>
              </c:pt>
              <c:pt idx="11">
                <c:v>2008/09</c:v>
              </c:pt>
              <c:pt idx="12">
                <c:v>2009/10</c:v>
              </c:pt>
              <c:pt idx="13">
                <c:v>20010/11</c:v>
              </c:pt>
              <c:pt idx="14">
                <c:v>20011/12</c:v>
              </c:pt>
            </c:strLit>
          </c:cat>
          <c:val>
            <c:numLit>
              <c:formatCode>General</c:formatCode>
              <c:ptCount val="15"/>
              <c:pt idx="0">
                <c:v>11.210816000000001</c:v>
              </c:pt>
              <c:pt idx="1">
                <c:v>11.105745000000002</c:v>
              </c:pt>
              <c:pt idx="2">
                <c:v>11.075239000000003</c:v>
              </c:pt>
              <c:pt idx="3">
                <c:v>10.994059</c:v>
              </c:pt>
              <c:pt idx="4">
                <c:v>11.541835000000001</c:v>
              </c:pt>
              <c:pt idx="5">
                <c:v>12.148107999999999</c:v>
              </c:pt>
              <c:pt idx="6">
                <c:v>12.125336000000004</c:v>
              </c:pt>
              <c:pt idx="7">
                <c:v>12.443735</c:v>
              </c:pt>
              <c:pt idx="8">
                <c:v>13.155729000000004</c:v>
              </c:pt>
              <c:pt idx="9">
                <c:v>13.558085000000002</c:v>
              </c:pt>
              <c:pt idx="10">
                <c:v>14.191932000000001</c:v>
              </c:pt>
              <c:pt idx="11">
                <c:v>14.974264000000002</c:v>
              </c:pt>
              <c:pt idx="12">
                <c:v>15.417136000000003</c:v>
              </c:pt>
              <c:pt idx="13">
                <c:v>15.864439000000006</c:v>
              </c:pt>
              <c:pt idx="14">
                <c:v>16.001358000000007</c:v>
              </c:pt>
            </c:numLit>
          </c:val>
          <c:smooth val="0"/>
        </c:ser>
        <c:dLbls>
          <c:showLegendKey val="0"/>
          <c:showVal val="0"/>
          <c:showCatName val="0"/>
          <c:showSerName val="0"/>
          <c:showPercent val="0"/>
          <c:showBubbleSize val="0"/>
        </c:dLbls>
        <c:marker val="1"/>
        <c:smooth val="0"/>
        <c:axId val="152014848"/>
        <c:axId val="152016384"/>
      </c:lineChart>
      <c:catAx>
        <c:axId val="152014848"/>
        <c:scaling>
          <c:orientation val="minMax"/>
        </c:scaling>
        <c:delete val="0"/>
        <c:axPos val="b"/>
        <c:numFmt formatCode="General" sourceLinked="0"/>
        <c:majorTickMark val="none"/>
        <c:minorTickMark val="none"/>
        <c:tickLblPos val="nextTo"/>
        <c:crossAx val="152016384"/>
        <c:crosses val="autoZero"/>
        <c:auto val="1"/>
        <c:lblAlgn val="ctr"/>
        <c:lblOffset val="100"/>
        <c:noMultiLvlLbl val="0"/>
      </c:catAx>
      <c:valAx>
        <c:axId val="152016384"/>
        <c:scaling>
          <c:orientation val="minMax"/>
          <c:max val="17"/>
          <c:min val="10.5"/>
        </c:scaling>
        <c:delete val="0"/>
        <c:axPos val="l"/>
        <c:majorGridlines/>
        <c:numFmt formatCode="General" sourceLinked="1"/>
        <c:majorTickMark val="none"/>
        <c:minorTickMark val="none"/>
        <c:tickLblPos val="nextTo"/>
        <c:spPr>
          <a:ln w="9525">
            <a:solidFill>
              <a:schemeClr val="bg1">
                <a:lumMod val="65000"/>
              </a:schemeClr>
            </a:solidFill>
          </a:ln>
        </c:spPr>
        <c:crossAx val="152014848"/>
        <c:crosses val="autoZero"/>
        <c:crossBetween val="between"/>
        <c:majorUnit val="1"/>
      </c:valAx>
    </c:plotArea>
    <c:plotVisOnly val="1"/>
    <c:dispBlanksAs val="gap"/>
    <c:showDLblsOverMax val="0"/>
  </c:chart>
  <c:printSettings>
    <c:headerFooter/>
    <c:pageMargins b="0.75000000000000089" l="0.70000000000000062" r="0.70000000000000062" t="0.75000000000000089"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t>30 day survival rate</a:t>
            </a:r>
          </a:p>
        </c:rich>
      </c:tx>
      <c:overlay val="0"/>
    </c:title>
    <c:autoTitleDeleted val="0"/>
    <c:plotArea>
      <c:layout/>
      <c:lineChart>
        <c:grouping val="standard"/>
        <c:varyColors val="0"/>
        <c:ser>
          <c:idx val="0"/>
          <c:order val="0"/>
          <c:tx>
            <c:v>Elective and day cases</c:v>
          </c:tx>
          <c:cat>
            <c:strLit>
              <c:ptCount val="15"/>
              <c:pt idx="0">
                <c:v>1998/99</c:v>
              </c:pt>
              <c:pt idx="1">
                <c:v>1999/00</c:v>
              </c:pt>
              <c:pt idx="2">
                <c:v>2000/01</c:v>
              </c:pt>
              <c:pt idx="3">
                <c:v>2001/02</c:v>
              </c:pt>
              <c:pt idx="4">
                <c:v>2002/03</c:v>
              </c:pt>
              <c:pt idx="5">
                <c:v>2003/04</c:v>
              </c:pt>
              <c:pt idx="6">
                <c:v>2003/04</c:v>
              </c:pt>
              <c:pt idx="7">
                <c:v>2004/05</c:v>
              </c:pt>
              <c:pt idx="8">
                <c:v>2005/06</c:v>
              </c:pt>
              <c:pt idx="9">
                <c:v>2006/07</c:v>
              </c:pt>
              <c:pt idx="10">
                <c:v>2007/08</c:v>
              </c:pt>
              <c:pt idx="11">
                <c:v>2008/09</c:v>
              </c:pt>
              <c:pt idx="12">
                <c:v>2009/10</c:v>
              </c:pt>
              <c:pt idx="13">
                <c:v>20010/11</c:v>
              </c:pt>
              <c:pt idx="14">
                <c:v>20011/12</c:v>
              </c:pt>
            </c:strLit>
          </c:cat>
          <c:val>
            <c:numLit>
              <c:formatCode>General</c:formatCode>
              <c:ptCount val="15"/>
              <c:pt idx="0">
                <c:v>0.99297982552078445</c:v>
              </c:pt>
              <c:pt idx="1">
                <c:v>0.99344809833581349</c:v>
              </c:pt>
              <c:pt idx="2">
                <c:v>0.99381304818793037</c:v>
              </c:pt>
              <c:pt idx="3">
                <c:v>0.99412727750723706</c:v>
              </c:pt>
              <c:pt idx="4">
                <c:v>0.99427255281866567</c:v>
              </c:pt>
              <c:pt idx="5">
                <c:v>0.99478428089861648</c:v>
              </c:pt>
              <c:pt idx="6">
                <c:v>0.99357871155267996</c:v>
              </c:pt>
              <c:pt idx="7">
                <c:v>0.99380000000000002</c:v>
              </c:pt>
              <c:pt idx="8">
                <c:v>0.99470000000000003</c:v>
              </c:pt>
              <c:pt idx="9">
                <c:v>0.99509999999999998</c:v>
              </c:pt>
              <c:pt idx="10">
                <c:v>0.99719999999999998</c:v>
              </c:pt>
              <c:pt idx="11">
                <c:v>0.99739999999999973</c:v>
              </c:pt>
              <c:pt idx="12">
                <c:v>0.99760000000000004</c:v>
              </c:pt>
              <c:pt idx="13">
                <c:v>0.99780000000000002</c:v>
              </c:pt>
              <c:pt idx="14">
                <c:v>0.99780000000000002</c:v>
              </c:pt>
            </c:numLit>
          </c:val>
          <c:smooth val="0"/>
        </c:ser>
        <c:ser>
          <c:idx val="1"/>
          <c:order val="1"/>
          <c:tx>
            <c:v>Non-electives</c:v>
          </c:tx>
          <c:spPr>
            <a:ln>
              <a:prstDash val="dash"/>
            </a:ln>
          </c:spPr>
          <c:marker>
            <c:symbol val="square"/>
            <c:size val="5"/>
          </c:marker>
          <c:cat>
            <c:strLit>
              <c:ptCount val="15"/>
              <c:pt idx="0">
                <c:v>1998/99</c:v>
              </c:pt>
              <c:pt idx="1">
                <c:v>1999/00</c:v>
              </c:pt>
              <c:pt idx="2">
                <c:v>2000/01</c:v>
              </c:pt>
              <c:pt idx="3">
                <c:v>2001/02</c:v>
              </c:pt>
              <c:pt idx="4">
                <c:v>2002/03</c:v>
              </c:pt>
              <c:pt idx="5">
                <c:v>2003/04</c:v>
              </c:pt>
              <c:pt idx="6">
                <c:v>2003/04</c:v>
              </c:pt>
              <c:pt idx="7">
                <c:v>2004/05</c:v>
              </c:pt>
              <c:pt idx="8">
                <c:v>2005/06</c:v>
              </c:pt>
              <c:pt idx="9">
                <c:v>2006/07</c:v>
              </c:pt>
              <c:pt idx="10">
                <c:v>2007/08</c:v>
              </c:pt>
              <c:pt idx="11">
                <c:v>2008/09</c:v>
              </c:pt>
              <c:pt idx="12">
                <c:v>2009/10</c:v>
              </c:pt>
              <c:pt idx="13">
                <c:v>20010/11</c:v>
              </c:pt>
              <c:pt idx="14">
                <c:v>20011/12</c:v>
              </c:pt>
            </c:strLit>
          </c:cat>
          <c:val>
            <c:numLit>
              <c:formatCode>General</c:formatCode>
              <c:ptCount val="15"/>
              <c:pt idx="0">
                <c:v>0.94756780976717891</c:v>
              </c:pt>
              <c:pt idx="1">
                <c:v>0.94656187141177361</c:v>
              </c:pt>
              <c:pt idx="2">
                <c:v>0.948581619202433</c:v>
              </c:pt>
              <c:pt idx="3">
                <c:v>0.94760349278650835</c:v>
              </c:pt>
              <c:pt idx="4">
                <c:v>0.95054579485147772</c:v>
              </c:pt>
              <c:pt idx="5">
                <c:v>0.95289289026855695</c:v>
              </c:pt>
              <c:pt idx="6">
                <c:v>0.9491543842159873</c:v>
              </c:pt>
              <c:pt idx="7">
                <c:v>0.95160000000000022</c:v>
              </c:pt>
              <c:pt idx="8">
                <c:v>0.95490000000000019</c:v>
              </c:pt>
              <c:pt idx="9">
                <c:v>0.95650000000000002</c:v>
              </c:pt>
              <c:pt idx="10">
                <c:v>0.9579000000000002</c:v>
              </c:pt>
              <c:pt idx="11">
                <c:v>0.95850000000000002</c:v>
              </c:pt>
              <c:pt idx="12">
                <c:v>0.96070000000000022</c:v>
              </c:pt>
              <c:pt idx="13">
                <c:v>0.96050000000000002</c:v>
              </c:pt>
              <c:pt idx="14">
                <c:v>0.96120000000000005</c:v>
              </c:pt>
            </c:numLit>
          </c:val>
          <c:smooth val="0"/>
        </c:ser>
        <c:dLbls>
          <c:showLegendKey val="0"/>
          <c:showVal val="0"/>
          <c:showCatName val="0"/>
          <c:showSerName val="0"/>
          <c:showPercent val="0"/>
          <c:showBubbleSize val="0"/>
        </c:dLbls>
        <c:marker val="1"/>
        <c:smooth val="0"/>
        <c:axId val="152037248"/>
        <c:axId val="152038784"/>
      </c:lineChart>
      <c:catAx>
        <c:axId val="152037248"/>
        <c:scaling>
          <c:orientation val="minMax"/>
        </c:scaling>
        <c:delete val="0"/>
        <c:axPos val="b"/>
        <c:numFmt formatCode="General" sourceLinked="0"/>
        <c:majorTickMark val="none"/>
        <c:minorTickMark val="none"/>
        <c:tickLblPos val="nextTo"/>
        <c:crossAx val="152038784"/>
        <c:crosses val="autoZero"/>
        <c:auto val="1"/>
        <c:lblAlgn val="ctr"/>
        <c:lblOffset val="100"/>
        <c:noMultiLvlLbl val="0"/>
      </c:catAx>
      <c:valAx>
        <c:axId val="152038784"/>
        <c:scaling>
          <c:orientation val="minMax"/>
          <c:max val="1"/>
          <c:min val="0.93"/>
        </c:scaling>
        <c:delete val="0"/>
        <c:axPos val="l"/>
        <c:majorGridlines/>
        <c:numFmt formatCode="0%" sourceLinked="0"/>
        <c:majorTickMark val="none"/>
        <c:minorTickMark val="none"/>
        <c:tickLblPos val="nextTo"/>
        <c:spPr>
          <a:ln w="9525">
            <a:solidFill>
              <a:schemeClr val="bg1">
                <a:lumMod val="65000"/>
              </a:schemeClr>
            </a:solidFill>
          </a:ln>
        </c:spPr>
        <c:crossAx val="152037248"/>
        <c:crosses val="autoZero"/>
        <c:crossBetween val="between"/>
      </c:valAx>
    </c:plotArea>
    <c:legend>
      <c:legendPos val="b"/>
      <c:overlay val="0"/>
    </c:legend>
    <c:plotVisOnly val="1"/>
    <c:dispBlanksAs val="gap"/>
    <c:showDLblsOverMax val="0"/>
  </c:chart>
  <c:printSettings>
    <c:headerFooter/>
    <c:pageMargins b="0.75000000000000089" l="0.70000000000000062" r="0.70000000000000062" t="0.75000000000000089"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Mean</a:t>
            </a:r>
            <a:r>
              <a:rPr lang="en-US" sz="1400" baseline="0"/>
              <a:t> life expectancy</a:t>
            </a:r>
            <a:endParaRPr lang="en-US" sz="1400"/>
          </a:p>
        </c:rich>
      </c:tx>
      <c:overlay val="0"/>
    </c:title>
    <c:autoTitleDeleted val="0"/>
    <c:plotArea>
      <c:layout/>
      <c:lineChart>
        <c:grouping val="standard"/>
        <c:varyColors val="0"/>
        <c:ser>
          <c:idx val="0"/>
          <c:order val="0"/>
          <c:tx>
            <c:v>Elective and day cases</c:v>
          </c:tx>
          <c:cat>
            <c:strLit>
              <c:ptCount val="15"/>
              <c:pt idx="0">
                <c:v>1998/99</c:v>
              </c:pt>
              <c:pt idx="1">
                <c:v>1999/00</c:v>
              </c:pt>
              <c:pt idx="2">
                <c:v>2000/01</c:v>
              </c:pt>
              <c:pt idx="3">
                <c:v>2001/02</c:v>
              </c:pt>
              <c:pt idx="4">
                <c:v>2002/03</c:v>
              </c:pt>
              <c:pt idx="5">
                <c:v>2003/04</c:v>
              </c:pt>
              <c:pt idx="6">
                <c:v>2003/04</c:v>
              </c:pt>
              <c:pt idx="7">
                <c:v>2004/05</c:v>
              </c:pt>
              <c:pt idx="8">
                <c:v>2005/06</c:v>
              </c:pt>
              <c:pt idx="9">
                <c:v>2006/07</c:v>
              </c:pt>
              <c:pt idx="10">
                <c:v>2007/08</c:v>
              </c:pt>
              <c:pt idx="11">
                <c:v>2008/09</c:v>
              </c:pt>
              <c:pt idx="12">
                <c:v>2009/10</c:v>
              </c:pt>
              <c:pt idx="13">
                <c:v>20010/11</c:v>
              </c:pt>
              <c:pt idx="14">
                <c:v>20011/12</c:v>
              </c:pt>
            </c:strLit>
          </c:cat>
          <c:val>
            <c:numLit>
              <c:formatCode>General</c:formatCode>
              <c:ptCount val="15"/>
              <c:pt idx="0">
                <c:v>25.311743839819581</c:v>
              </c:pt>
              <c:pt idx="1">
                <c:v>24.835254072157774</c:v>
              </c:pt>
              <c:pt idx="2">
                <c:v>24.393908901190443</c:v>
              </c:pt>
              <c:pt idx="3">
                <c:v>24.160071730032158</c:v>
              </c:pt>
              <c:pt idx="4">
                <c:v>23.958833186583924</c:v>
              </c:pt>
              <c:pt idx="5">
                <c:v>23.652542243951576</c:v>
              </c:pt>
              <c:pt idx="6">
                <c:v>23.544394482986274</c:v>
              </c:pt>
              <c:pt idx="7">
                <c:v>23.74540709792992</c:v>
              </c:pt>
              <c:pt idx="8">
                <c:v>23.651527511178436</c:v>
              </c:pt>
              <c:pt idx="9">
                <c:v>23.592054258827048</c:v>
              </c:pt>
              <c:pt idx="10">
                <c:v>23.156540730776801</c:v>
              </c:pt>
              <c:pt idx="11">
                <c:v>23.2</c:v>
              </c:pt>
              <c:pt idx="12">
                <c:v>23.4</c:v>
              </c:pt>
              <c:pt idx="13">
                <c:v>23.4</c:v>
              </c:pt>
              <c:pt idx="14">
                <c:v>23.3</c:v>
              </c:pt>
            </c:numLit>
          </c:val>
          <c:smooth val="0"/>
        </c:ser>
        <c:ser>
          <c:idx val="1"/>
          <c:order val="1"/>
          <c:tx>
            <c:v>Non-electives</c:v>
          </c:tx>
          <c:spPr>
            <a:ln>
              <a:prstDash val="dash"/>
            </a:ln>
          </c:spPr>
          <c:marker>
            <c:symbol val="square"/>
            <c:size val="5"/>
          </c:marker>
          <c:cat>
            <c:strLit>
              <c:ptCount val="15"/>
              <c:pt idx="0">
                <c:v>1998/99</c:v>
              </c:pt>
              <c:pt idx="1">
                <c:v>1999/00</c:v>
              </c:pt>
              <c:pt idx="2">
                <c:v>2000/01</c:v>
              </c:pt>
              <c:pt idx="3">
                <c:v>2001/02</c:v>
              </c:pt>
              <c:pt idx="4">
                <c:v>2002/03</c:v>
              </c:pt>
              <c:pt idx="5">
                <c:v>2003/04</c:v>
              </c:pt>
              <c:pt idx="6">
                <c:v>2003/04</c:v>
              </c:pt>
              <c:pt idx="7">
                <c:v>2004/05</c:v>
              </c:pt>
              <c:pt idx="8">
                <c:v>2005/06</c:v>
              </c:pt>
              <c:pt idx="9">
                <c:v>2006/07</c:v>
              </c:pt>
              <c:pt idx="10">
                <c:v>2007/08</c:v>
              </c:pt>
              <c:pt idx="11">
                <c:v>2008/09</c:v>
              </c:pt>
              <c:pt idx="12">
                <c:v>2009/10</c:v>
              </c:pt>
              <c:pt idx="13">
                <c:v>20010/11</c:v>
              </c:pt>
              <c:pt idx="14">
                <c:v>20011/12</c:v>
              </c:pt>
            </c:strLit>
          </c:cat>
          <c:val>
            <c:numLit>
              <c:formatCode>General</c:formatCode>
              <c:ptCount val="15"/>
              <c:pt idx="0">
                <c:v>33.456565546794295</c:v>
              </c:pt>
              <c:pt idx="1">
                <c:v>33.885491759478342</c:v>
              </c:pt>
              <c:pt idx="2">
                <c:v>33.646748229643443</c:v>
              </c:pt>
              <c:pt idx="3">
                <c:v>33.631944570558957</c:v>
              </c:pt>
              <c:pt idx="4">
                <c:v>32.812823750123755</c:v>
              </c:pt>
              <c:pt idx="5">
                <c:v>32.448659204893154</c:v>
              </c:pt>
              <c:pt idx="6">
                <c:v>33.824360604467714</c:v>
              </c:pt>
              <c:pt idx="7">
                <c:v>34.1</c:v>
              </c:pt>
              <c:pt idx="8">
                <c:v>34.300000000000004</c:v>
              </c:pt>
              <c:pt idx="9">
                <c:v>34.6</c:v>
              </c:pt>
              <c:pt idx="10">
                <c:v>34.700000000000003</c:v>
              </c:pt>
              <c:pt idx="11">
                <c:v>34.4</c:v>
              </c:pt>
              <c:pt idx="12">
                <c:v>34.6</c:v>
              </c:pt>
              <c:pt idx="13">
                <c:v>34.800000000000004</c:v>
              </c:pt>
              <c:pt idx="14">
                <c:v>34.700000000000003</c:v>
              </c:pt>
            </c:numLit>
          </c:val>
          <c:smooth val="0"/>
        </c:ser>
        <c:dLbls>
          <c:showLegendKey val="0"/>
          <c:showVal val="0"/>
          <c:showCatName val="0"/>
          <c:showSerName val="0"/>
          <c:showPercent val="0"/>
          <c:showBubbleSize val="0"/>
        </c:dLbls>
        <c:marker val="1"/>
        <c:smooth val="0"/>
        <c:axId val="150552960"/>
        <c:axId val="150554496"/>
      </c:lineChart>
      <c:catAx>
        <c:axId val="150552960"/>
        <c:scaling>
          <c:orientation val="minMax"/>
        </c:scaling>
        <c:delete val="0"/>
        <c:axPos val="b"/>
        <c:numFmt formatCode="General" sourceLinked="0"/>
        <c:majorTickMark val="none"/>
        <c:minorTickMark val="none"/>
        <c:tickLblPos val="nextTo"/>
        <c:crossAx val="150554496"/>
        <c:crosses val="autoZero"/>
        <c:auto val="1"/>
        <c:lblAlgn val="ctr"/>
        <c:lblOffset val="100"/>
        <c:noMultiLvlLbl val="0"/>
      </c:catAx>
      <c:valAx>
        <c:axId val="150554496"/>
        <c:scaling>
          <c:orientation val="minMax"/>
        </c:scaling>
        <c:delete val="0"/>
        <c:axPos val="l"/>
        <c:majorGridlines/>
        <c:numFmt formatCode="General" sourceLinked="1"/>
        <c:majorTickMark val="none"/>
        <c:minorTickMark val="none"/>
        <c:tickLblPos val="nextTo"/>
        <c:spPr>
          <a:ln w="9525">
            <a:noFill/>
          </a:ln>
        </c:spPr>
        <c:crossAx val="150552960"/>
        <c:crosses val="autoZero"/>
        <c:crossBetween val="between"/>
      </c:valAx>
    </c:plotArea>
    <c:legend>
      <c:legendPos val="b"/>
      <c:overlay val="0"/>
    </c:legend>
    <c:plotVisOnly val="1"/>
    <c:dispBlanksAs val="gap"/>
    <c:showDLblsOverMax val="0"/>
  </c:chart>
  <c:printSettings>
    <c:headerFooter/>
    <c:pageMargins b="0.75000000000000089" l="0.70000000000000062" r="0.70000000000000062" t="0.75000000000000089"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'Hospital new figures_9899_1112'!$A$9</c:f>
              <c:strCache>
                <c:ptCount val="1"/>
                <c:pt idx="0">
                  <c:v>Electives - 80th percentile wait</c:v>
                </c:pt>
              </c:strCache>
            </c:strRef>
          </c:tx>
          <c:marker>
            <c:symbol val="circle"/>
            <c:size val="5"/>
          </c:marker>
          <c:cat>
            <c:strRef>
              <c:f>'Hospital new figures_9899_1112'!$B$4:$S$4</c:f>
              <c:strCache>
                <c:ptCount val="17"/>
                <c:pt idx="0">
                  <c:v>1998/99</c:v>
                </c:pt>
                <c:pt idx="1">
                  <c:v>1999/00</c:v>
                </c:pt>
                <c:pt idx="2">
                  <c:v>2000/01</c:v>
                </c:pt>
                <c:pt idx="3">
                  <c:v>2001/02</c:v>
                </c:pt>
                <c:pt idx="6">
                  <c:v>2002/03</c:v>
                </c:pt>
                <c:pt idx="7">
                  <c:v>2003/04</c:v>
                </c:pt>
                <c:pt idx="8">
                  <c:v>2004/05</c:v>
                </c:pt>
                <c:pt idx="9">
                  <c:v>2005/06</c:v>
                </c:pt>
                <c:pt idx="10">
                  <c:v>2006/07</c:v>
                </c:pt>
                <c:pt idx="12">
                  <c:v>2007/08</c:v>
                </c:pt>
                <c:pt idx="13">
                  <c:v>2008/09</c:v>
                </c:pt>
                <c:pt idx="14">
                  <c:v>2009/10</c:v>
                </c:pt>
                <c:pt idx="15">
                  <c:v>20010/11</c:v>
                </c:pt>
                <c:pt idx="16">
                  <c:v>20011/12</c:v>
                </c:pt>
              </c:strCache>
            </c:strRef>
          </c:cat>
          <c:val>
            <c:numRef>
              <c:f>'Hospital new figures_9899_1112'!$B$9:$S$9</c:f>
              <c:numCache>
                <c:formatCode>0</c:formatCode>
                <c:ptCount val="17"/>
                <c:pt idx="0">
                  <c:v>89.27378263038571</c:v>
                </c:pt>
                <c:pt idx="1">
                  <c:v>81.206543777191385</c:v>
                </c:pt>
                <c:pt idx="2">
                  <c:v>82.767833663267979</c:v>
                </c:pt>
                <c:pt idx="3">
                  <c:v>85.735177351994366</c:v>
                </c:pt>
                <c:pt idx="6">
                  <c:v>88.992216040380498</c:v>
                </c:pt>
                <c:pt idx="7" formatCode="_-* #,##0_-;\-* #,##0_-;_-* &quot;-&quot;??_-;_-@_-">
                  <c:v>77.848804008815989</c:v>
                </c:pt>
                <c:pt idx="8" formatCode="General">
                  <c:v>71</c:v>
                </c:pt>
                <c:pt idx="9" formatCode="General">
                  <c:v>67</c:v>
                </c:pt>
                <c:pt idx="10" formatCode="General">
                  <c:v>65</c:v>
                </c:pt>
                <c:pt idx="12" formatCode="General">
                  <c:v>57</c:v>
                </c:pt>
                <c:pt idx="13" formatCode="General">
                  <c:v>51</c:v>
                </c:pt>
                <c:pt idx="14" formatCode="General">
                  <c:v>57</c:v>
                </c:pt>
                <c:pt idx="15" formatCode="General">
                  <c:v>62</c:v>
                </c:pt>
                <c:pt idx="16" formatCode="General">
                  <c:v>67</c:v>
                </c:pt>
              </c:numCache>
            </c:numRef>
          </c:val>
          <c:smooth val="0"/>
        </c:ser>
        <c:ser>
          <c:idx val="1"/>
          <c:order val="1"/>
          <c:tx>
            <c:strRef>
              <c:f>'Hospital new figures_9899_1112'!$A$10</c:f>
              <c:strCache>
                <c:ptCount val="1"/>
                <c:pt idx="0">
                  <c:v>Electives - mean wait</c:v>
                </c:pt>
              </c:strCache>
            </c:strRef>
          </c:tx>
          <c:spPr>
            <a:ln>
              <a:prstDash val="sysDot"/>
            </a:ln>
          </c:spPr>
          <c:marker>
            <c:symbol val="square"/>
            <c:size val="4"/>
            <c:spPr>
              <a:ln w="9525"/>
            </c:spPr>
          </c:marker>
          <c:cat>
            <c:strRef>
              <c:f>'Hospital new figures_9899_1112'!$B$4:$S$4</c:f>
              <c:strCache>
                <c:ptCount val="17"/>
                <c:pt idx="0">
                  <c:v>1998/99</c:v>
                </c:pt>
                <c:pt idx="1">
                  <c:v>1999/00</c:v>
                </c:pt>
                <c:pt idx="2">
                  <c:v>2000/01</c:v>
                </c:pt>
                <c:pt idx="3">
                  <c:v>2001/02</c:v>
                </c:pt>
                <c:pt idx="6">
                  <c:v>2002/03</c:v>
                </c:pt>
                <c:pt idx="7">
                  <c:v>2003/04</c:v>
                </c:pt>
                <c:pt idx="8">
                  <c:v>2004/05</c:v>
                </c:pt>
                <c:pt idx="9">
                  <c:v>2005/06</c:v>
                </c:pt>
                <c:pt idx="10">
                  <c:v>2006/07</c:v>
                </c:pt>
                <c:pt idx="12">
                  <c:v>2007/08</c:v>
                </c:pt>
                <c:pt idx="13">
                  <c:v>2008/09</c:v>
                </c:pt>
                <c:pt idx="14">
                  <c:v>2009/10</c:v>
                </c:pt>
                <c:pt idx="15">
                  <c:v>20010/11</c:v>
                </c:pt>
                <c:pt idx="16">
                  <c:v>20011/12</c:v>
                </c:pt>
              </c:strCache>
            </c:strRef>
          </c:cat>
          <c:val>
            <c:numRef>
              <c:f>'Hospital new figures_9899_1112'!$B$10:$S$10</c:f>
              <c:numCache>
                <c:formatCode>0</c:formatCode>
                <c:ptCount val="17"/>
                <c:pt idx="0">
                  <c:v>89.27378263038571</c:v>
                </c:pt>
                <c:pt idx="1">
                  <c:v>81.206543777191385</c:v>
                </c:pt>
                <c:pt idx="2">
                  <c:v>82.767833663267979</c:v>
                </c:pt>
                <c:pt idx="3">
                  <c:v>85.735177351994366</c:v>
                </c:pt>
                <c:pt idx="6">
                  <c:v>88.992216040380498</c:v>
                </c:pt>
                <c:pt idx="7" formatCode="_-* #,##0_-;\-* #,##0_-;_-* &quot;-&quot;??_-;_-@_-">
                  <c:v>77.848804008815989</c:v>
                </c:pt>
                <c:pt idx="8" formatCode="General">
                  <c:v>71</c:v>
                </c:pt>
                <c:pt idx="9" formatCode="General">
                  <c:v>67</c:v>
                </c:pt>
                <c:pt idx="10" formatCode="General">
                  <c:v>65</c:v>
                </c:pt>
                <c:pt idx="12" formatCode="General">
                  <c:v>57</c:v>
                </c:pt>
                <c:pt idx="13" formatCode="General">
                  <c:v>51</c:v>
                </c:pt>
                <c:pt idx="14" formatCode="General">
                  <c:v>57</c:v>
                </c:pt>
                <c:pt idx="15" formatCode="General">
                  <c:v>62</c:v>
                </c:pt>
                <c:pt idx="16" formatCode="General">
                  <c:v>67</c:v>
                </c:pt>
              </c:numCache>
            </c:numRef>
          </c:val>
          <c:smooth val="0"/>
        </c:ser>
        <c:ser>
          <c:idx val="2"/>
          <c:order val="2"/>
          <c:tx>
            <c:strRef>
              <c:f>'Hospital new figures_9899_1112'!$A$33</c:f>
              <c:strCache>
                <c:ptCount val="1"/>
                <c:pt idx="0">
                  <c:v>Outpatient - mean wait (DH)</c:v>
                </c:pt>
              </c:strCache>
            </c:strRef>
          </c:tx>
          <c:spPr>
            <a:ln>
              <a:prstDash val="lgDashDotDot"/>
            </a:ln>
          </c:spPr>
          <c:marker>
            <c:symbol val="triangle"/>
            <c:size val="5"/>
          </c:marker>
          <c:cat>
            <c:strRef>
              <c:f>'Hospital new figures_9899_1112'!$B$4:$S$4</c:f>
              <c:strCache>
                <c:ptCount val="17"/>
                <c:pt idx="0">
                  <c:v>1998/99</c:v>
                </c:pt>
                <c:pt idx="1">
                  <c:v>1999/00</c:v>
                </c:pt>
                <c:pt idx="2">
                  <c:v>2000/01</c:v>
                </c:pt>
                <c:pt idx="3">
                  <c:v>2001/02</c:v>
                </c:pt>
                <c:pt idx="6">
                  <c:v>2002/03</c:v>
                </c:pt>
                <c:pt idx="7">
                  <c:v>2003/04</c:v>
                </c:pt>
                <c:pt idx="8">
                  <c:v>2004/05</c:v>
                </c:pt>
                <c:pt idx="9">
                  <c:v>2005/06</c:v>
                </c:pt>
                <c:pt idx="10">
                  <c:v>2006/07</c:v>
                </c:pt>
                <c:pt idx="12">
                  <c:v>2007/08</c:v>
                </c:pt>
                <c:pt idx="13">
                  <c:v>2008/09</c:v>
                </c:pt>
                <c:pt idx="14">
                  <c:v>2009/10</c:v>
                </c:pt>
                <c:pt idx="15">
                  <c:v>20010/11</c:v>
                </c:pt>
                <c:pt idx="16">
                  <c:v>20011/12</c:v>
                </c:pt>
              </c:strCache>
            </c:strRef>
          </c:cat>
          <c:val>
            <c:numRef>
              <c:f>'Hospital new figures_9899_1112'!$B$38:$S$38</c:f>
              <c:numCache>
                <c:formatCode>General</c:formatCode>
                <c:ptCount val="17"/>
                <c:pt idx="7">
                  <c:v>58.379935037747948</c:v>
                </c:pt>
                <c:pt idx="8">
                  <c:v>51.942307692307693</c:v>
                </c:pt>
                <c:pt idx="9">
                  <c:v>45.625</c:v>
                </c:pt>
                <c:pt idx="10">
                  <c:v>41.41346153846154</c:v>
                </c:pt>
                <c:pt idx="12">
                  <c:v>23.865384615384617</c:v>
                </c:pt>
                <c:pt idx="13">
                  <c:v>21.759615384615383</c:v>
                </c:pt>
                <c:pt idx="14">
                  <c:v>23.865384615384617</c:v>
                </c:pt>
              </c:numCache>
            </c:numRef>
          </c:val>
          <c:smooth val="0"/>
        </c:ser>
        <c:ser>
          <c:idx val="3"/>
          <c:order val="3"/>
          <c:tx>
            <c:strRef>
              <c:f>'Hospital new figures_9899_1112'!$A$39</c:f>
              <c:strCache>
                <c:ptCount val="1"/>
                <c:pt idx="0">
                  <c:v>Outpatient - mean wait (HES OMD)</c:v>
                </c:pt>
              </c:strCache>
            </c:strRef>
          </c:tx>
          <c:spPr>
            <a:ln>
              <a:prstDash val="lgDash"/>
            </a:ln>
          </c:spPr>
          <c:marker>
            <c:symbol val="diamond"/>
            <c:size val="5"/>
          </c:marker>
          <c:cat>
            <c:strRef>
              <c:f>'Hospital new figures_9899_1112'!$B$4:$S$4</c:f>
              <c:strCache>
                <c:ptCount val="17"/>
                <c:pt idx="0">
                  <c:v>1998/99</c:v>
                </c:pt>
                <c:pt idx="1">
                  <c:v>1999/00</c:v>
                </c:pt>
                <c:pt idx="2">
                  <c:v>2000/01</c:v>
                </c:pt>
                <c:pt idx="3">
                  <c:v>2001/02</c:v>
                </c:pt>
                <c:pt idx="6">
                  <c:v>2002/03</c:v>
                </c:pt>
                <c:pt idx="7">
                  <c:v>2003/04</c:v>
                </c:pt>
                <c:pt idx="8">
                  <c:v>2004/05</c:v>
                </c:pt>
                <c:pt idx="9">
                  <c:v>2005/06</c:v>
                </c:pt>
                <c:pt idx="10">
                  <c:v>2006/07</c:v>
                </c:pt>
                <c:pt idx="12">
                  <c:v>2007/08</c:v>
                </c:pt>
                <c:pt idx="13">
                  <c:v>2008/09</c:v>
                </c:pt>
                <c:pt idx="14">
                  <c:v>2009/10</c:v>
                </c:pt>
                <c:pt idx="15">
                  <c:v>20010/11</c:v>
                </c:pt>
                <c:pt idx="16">
                  <c:v>20011/12</c:v>
                </c:pt>
              </c:strCache>
            </c:strRef>
          </c:cat>
          <c:val>
            <c:numRef>
              <c:f>'Hospital new figures_9899_1112'!$B$39:$S$39</c:f>
              <c:numCache>
                <c:formatCode>General</c:formatCode>
                <c:ptCount val="17"/>
                <c:pt idx="12">
                  <c:v>37.20192307692308</c:v>
                </c:pt>
                <c:pt idx="13">
                  <c:v>33.692307692307693</c:v>
                </c:pt>
                <c:pt idx="14">
                  <c:v>35.79807692307692</c:v>
                </c:pt>
                <c:pt idx="15">
                  <c:v>37.20192307692308</c:v>
                </c:pt>
                <c:pt idx="16">
                  <c:v>37.20192307692308</c:v>
                </c:pt>
              </c:numCache>
            </c:numRef>
          </c:val>
          <c:smooth val="0"/>
        </c:ser>
        <c:dLbls>
          <c:showLegendKey val="0"/>
          <c:showVal val="0"/>
          <c:showCatName val="0"/>
          <c:showSerName val="0"/>
          <c:showPercent val="0"/>
          <c:showBubbleSize val="0"/>
        </c:dLbls>
        <c:marker val="1"/>
        <c:smooth val="0"/>
        <c:axId val="107197184"/>
        <c:axId val="107198720"/>
      </c:lineChart>
      <c:catAx>
        <c:axId val="107197184"/>
        <c:scaling>
          <c:orientation val="minMax"/>
        </c:scaling>
        <c:delete val="0"/>
        <c:axPos val="b"/>
        <c:numFmt formatCode="General" sourceLinked="1"/>
        <c:majorTickMark val="out"/>
        <c:minorTickMark val="none"/>
        <c:tickLblPos val="nextTo"/>
        <c:crossAx val="107198720"/>
        <c:crosses val="autoZero"/>
        <c:auto val="1"/>
        <c:lblAlgn val="ctr"/>
        <c:lblOffset val="100"/>
        <c:noMultiLvlLbl val="0"/>
      </c:catAx>
      <c:valAx>
        <c:axId val="107198720"/>
        <c:scaling>
          <c:orientation val="minMax"/>
        </c:scaling>
        <c:delete val="0"/>
        <c:axPos val="l"/>
        <c:majorGridlines/>
        <c:numFmt formatCode="0" sourceLinked="1"/>
        <c:majorTickMark val="out"/>
        <c:minorTickMark val="none"/>
        <c:tickLblPos val="nextTo"/>
        <c:crossAx val="107197184"/>
        <c:crosses val="autoZero"/>
        <c:crossBetween val="between"/>
        <c:majorUnit val="20"/>
      </c:valAx>
    </c:plotArea>
    <c:legend>
      <c:legendPos val="t"/>
      <c:legendEntry>
        <c:idx val="0"/>
        <c:txPr>
          <a:bodyPr/>
          <a:lstStyle/>
          <a:p>
            <a:pPr>
              <a:defRPr sz="800"/>
            </a:pPr>
            <a:endParaRPr lang="en-US"/>
          </a:p>
        </c:txPr>
      </c:legendEntry>
      <c:legendEntry>
        <c:idx val="1"/>
        <c:txPr>
          <a:bodyPr/>
          <a:lstStyle/>
          <a:p>
            <a:pPr>
              <a:defRPr sz="800"/>
            </a:pPr>
            <a:endParaRPr lang="en-US"/>
          </a:p>
        </c:txPr>
      </c:legendEntry>
      <c:legendEntry>
        <c:idx val="2"/>
        <c:txPr>
          <a:bodyPr/>
          <a:lstStyle/>
          <a:p>
            <a:pPr>
              <a:defRPr sz="800"/>
            </a:pPr>
            <a:endParaRPr lang="en-US"/>
          </a:p>
        </c:txPr>
      </c:legendEntry>
      <c:legendEntry>
        <c:idx val="3"/>
        <c:txPr>
          <a:bodyPr/>
          <a:lstStyle/>
          <a:p>
            <a:pPr>
              <a:defRPr sz="800"/>
            </a:pPr>
            <a:endParaRPr lang="en-US"/>
          </a:p>
        </c:txPr>
      </c:legendEntry>
      <c:overlay val="0"/>
    </c:legend>
    <c:plotVisOnly val="1"/>
    <c:dispBlanksAs val="gap"/>
    <c:showDLblsOverMax val="0"/>
  </c:chart>
  <c:printSettings>
    <c:headerFooter/>
    <c:pageMargins b="0.75000000000000056" l="0.70000000000000051" r="0.70000000000000051" t="0.75000000000000056" header="0.30000000000000027" footer="0.30000000000000027"/>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t>Hospital</a:t>
            </a:r>
            <a:r>
              <a:rPr lang="en-US" sz="1400" baseline="0"/>
              <a:t> Inpatient 80th percentile waiting time</a:t>
            </a:r>
            <a:endParaRPr lang="en-US" sz="1400"/>
          </a:p>
        </c:rich>
      </c:tx>
      <c:overlay val="0"/>
    </c:title>
    <c:autoTitleDeleted val="0"/>
    <c:plotArea>
      <c:layout>
        <c:manualLayout>
          <c:layoutTarget val="inner"/>
          <c:xMode val="edge"/>
          <c:yMode val="edge"/>
          <c:x val="7.2608836682887659E-2"/>
          <c:y val="0.21877056351562621"/>
          <c:w val="0.90161495249021861"/>
          <c:h val="0.58705276594523847"/>
        </c:manualLayout>
      </c:layout>
      <c:lineChart>
        <c:grouping val="standard"/>
        <c:varyColors val="0"/>
        <c:ser>
          <c:idx val="0"/>
          <c:order val="0"/>
          <c:tx>
            <c:v>80th percentile waiting times</c:v>
          </c:tx>
          <c:cat>
            <c:strLit>
              <c:ptCount val="14"/>
              <c:pt idx="0">
                <c:v>1998/99</c:v>
              </c:pt>
              <c:pt idx="1">
                <c:v>1999/00</c:v>
              </c:pt>
              <c:pt idx="2">
                <c:v>2000/01</c:v>
              </c:pt>
              <c:pt idx="3">
                <c:v>2001/02</c:v>
              </c:pt>
              <c:pt idx="4">
                <c:v>2002/03</c:v>
              </c:pt>
              <c:pt idx="5">
                <c:v>2003/04</c:v>
              </c:pt>
              <c:pt idx="6">
                <c:v>2004/05</c:v>
              </c:pt>
              <c:pt idx="7">
                <c:v>2005/06</c:v>
              </c:pt>
              <c:pt idx="8">
                <c:v>2006/07</c:v>
              </c:pt>
              <c:pt idx="9">
                <c:v>2007/08</c:v>
              </c:pt>
              <c:pt idx="10">
                <c:v>2008/09</c:v>
              </c:pt>
              <c:pt idx="11">
                <c:v>2009/10</c:v>
              </c:pt>
              <c:pt idx="12">
                <c:v>20010/11</c:v>
              </c:pt>
              <c:pt idx="13">
                <c:v>20011/12</c:v>
              </c:pt>
            </c:strLit>
          </c:cat>
          <c:val>
            <c:numLit>
              <c:formatCode>General</c:formatCode>
              <c:ptCount val="6"/>
              <c:pt idx="0">
                <c:v>88.72349903633355</c:v>
              </c:pt>
              <c:pt idx="1">
                <c:v>80.778152493315716</c:v>
              </c:pt>
              <c:pt idx="2">
                <c:v>82.304893177015529</c:v>
              </c:pt>
              <c:pt idx="3">
                <c:v>85.237862415005466</c:v>
              </c:pt>
              <c:pt idx="4">
                <c:v>88.498913740756933</c:v>
              </c:pt>
              <c:pt idx="5">
                <c:v>85.907327267949029</c:v>
              </c:pt>
            </c:numLit>
          </c:val>
          <c:smooth val="0"/>
        </c:ser>
        <c:ser>
          <c:idx val="1"/>
          <c:order val="1"/>
          <c:spPr>
            <a:ln>
              <a:solidFill>
                <a:schemeClr val="accent1"/>
              </a:solidFill>
            </a:ln>
          </c:spPr>
          <c:marker>
            <c:symbol val="diamond"/>
            <c:size val="7"/>
            <c:spPr>
              <a:solidFill>
                <a:schemeClr val="accent1"/>
              </a:solidFill>
              <a:ln>
                <a:solidFill>
                  <a:schemeClr val="accent1"/>
                </a:solidFill>
              </a:ln>
            </c:spPr>
          </c:marker>
          <c:cat>
            <c:strLit>
              <c:ptCount val="14"/>
              <c:pt idx="0">
                <c:v>1998/99</c:v>
              </c:pt>
              <c:pt idx="1">
                <c:v>1999/00</c:v>
              </c:pt>
              <c:pt idx="2">
                <c:v>2000/01</c:v>
              </c:pt>
              <c:pt idx="3">
                <c:v>2001/02</c:v>
              </c:pt>
              <c:pt idx="4">
                <c:v>2002/03</c:v>
              </c:pt>
              <c:pt idx="5">
                <c:v>2003/04</c:v>
              </c:pt>
              <c:pt idx="6">
                <c:v>2004/05</c:v>
              </c:pt>
              <c:pt idx="7">
                <c:v>2005/06</c:v>
              </c:pt>
              <c:pt idx="8">
                <c:v>2006/07</c:v>
              </c:pt>
              <c:pt idx="9">
                <c:v>2007/08</c:v>
              </c:pt>
              <c:pt idx="10">
                <c:v>2008/09</c:v>
              </c:pt>
              <c:pt idx="11">
                <c:v>2009/10</c:v>
              </c:pt>
              <c:pt idx="12">
                <c:v>20010/11</c:v>
              </c:pt>
              <c:pt idx="13">
                <c:v>20011/12</c:v>
              </c:pt>
            </c:strLit>
          </c:cat>
          <c:val>
            <c:numLit>
              <c:formatCode>General</c:formatCode>
              <c:ptCount val="14"/>
              <c:pt idx="5">
                <c:v>118.76313325009269</c:v>
              </c:pt>
              <c:pt idx="6">
                <c:v>104</c:v>
              </c:pt>
              <c:pt idx="7">
                <c:v>95</c:v>
              </c:pt>
              <c:pt idx="8">
                <c:v>89</c:v>
              </c:pt>
              <c:pt idx="9">
                <c:v>74</c:v>
              </c:pt>
              <c:pt idx="10">
                <c:v>60</c:v>
              </c:pt>
              <c:pt idx="11">
                <c:v>65</c:v>
              </c:pt>
              <c:pt idx="12">
                <c:v>76</c:v>
              </c:pt>
              <c:pt idx="13">
                <c:v>85</c:v>
              </c:pt>
            </c:numLit>
          </c:val>
          <c:smooth val="0"/>
        </c:ser>
        <c:dLbls>
          <c:showLegendKey val="0"/>
          <c:showVal val="0"/>
          <c:showCatName val="0"/>
          <c:showSerName val="0"/>
          <c:showPercent val="0"/>
          <c:showBubbleSize val="0"/>
        </c:dLbls>
        <c:marker val="1"/>
        <c:smooth val="0"/>
        <c:axId val="150583552"/>
        <c:axId val="150589824"/>
      </c:lineChart>
      <c:catAx>
        <c:axId val="150583552"/>
        <c:scaling>
          <c:orientation val="minMax"/>
        </c:scaling>
        <c:delete val="0"/>
        <c:axPos val="b"/>
        <c:numFmt formatCode="General" sourceLinked="0"/>
        <c:majorTickMark val="out"/>
        <c:minorTickMark val="none"/>
        <c:tickLblPos val="nextTo"/>
        <c:crossAx val="150589824"/>
        <c:crosses val="autoZero"/>
        <c:auto val="1"/>
        <c:lblAlgn val="ctr"/>
        <c:lblOffset val="100"/>
        <c:noMultiLvlLbl val="0"/>
      </c:catAx>
      <c:valAx>
        <c:axId val="150589824"/>
        <c:scaling>
          <c:orientation val="minMax"/>
        </c:scaling>
        <c:delete val="0"/>
        <c:axPos val="l"/>
        <c:majorGridlines/>
        <c:numFmt formatCode="General" sourceLinked="1"/>
        <c:majorTickMark val="out"/>
        <c:minorTickMark val="none"/>
        <c:tickLblPos val="nextTo"/>
        <c:crossAx val="150583552"/>
        <c:crosses val="autoZero"/>
        <c:crossBetween val="between"/>
      </c:valAx>
    </c:plotArea>
    <c:plotVisOnly val="1"/>
    <c:dispBlanksAs val="gap"/>
    <c:showDLblsOverMax val="0"/>
  </c:chart>
  <c:printSettings>
    <c:headerFooter/>
    <c:pageMargins b="0.75000000000000089" l="0.70000000000000062" r="0.70000000000000062" t="0.75000000000000089"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lineChart>
        <c:grouping val="standard"/>
        <c:varyColors val="0"/>
        <c:ser>
          <c:idx val="1"/>
          <c:order val="0"/>
          <c:tx>
            <c:v>Old method</c:v>
          </c:tx>
          <c:spPr>
            <a:ln>
              <a:solidFill>
                <a:schemeClr val="tx2"/>
              </a:solidFill>
              <a:prstDash val="sysDot"/>
            </a:ln>
          </c:spPr>
          <c:marker>
            <c:symbol val="none"/>
          </c:marker>
          <c:cat>
            <c:strRef>
              <c:f>'Sheet8 (2)'!$C$1:$P$1</c:f>
              <c:strCache>
                <c:ptCount val="14"/>
                <c:pt idx="0">
                  <c:v>1998/99</c:v>
                </c:pt>
                <c:pt idx="1">
                  <c:v>1999/00</c:v>
                </c:pt>
                <c:pt idx="2">
                  <c:v>2000/01</c:v>
                </c:pt>
                <c:pt idx="3">
                  <c:v>2001/02</c:v>
                </c:pt>
                <c:pt idx="4">
                  <c:v>2002/03</c:v>
                </c:pt>
                <c:pt idx="5">
                  <c:v>2003/04</c:v>
                </c:pt>
                <c:pt idx="6">
                  <c:v>2004/05</c:v>
                </c:pt>
                <c:pt idx="7">
                  <c:v>2005/06</c:v>
                </c:pt>
                <c:pt idx="8">
                  <c:v>2006/07</c:v>
                </c:pt>
                <c:pt idx="9">
                  <c:v>2007/08</c:v>
                </c:pt>
                <c:pt idx="10">
                  <c:v>2008/09</c:v>
                </c:pt>
                <c:pt idx="11">
                  <c:v>2009/10</c:v>
                </c:pt>
                <c:pt idx="12">
                  <c:v>20010/11</c:v>
                </c:pt>
                <c:pt idx="13">
                  <c:v>20011/12</c:v>
                </c:pt>
              </c:strCache>
            </c:strRef>
          </c:cat>
          <c:val>
            <c:numRef>
              <c:f>'Sheet8 (2)'!$C$18:$P$18</c:f>
              <c:numCache>
                <c:formatCode>_(* #,##0.00_);_(* \(#,##0.00\);_(* "-"??_);_(@_)</c:formatCode>
                <c:ptCount val="14"/>
                <c:pt idx="0">
                  <c:v>5.7837500000000004</c:v>
                </c:pt>
                <c:pt idx="1">
                  <c:v>5.6181660000000004</c:v>
                </c:pt>
                <c:pt idx="2">
                  <c:v>5.5956060000000001</c:v>
                </c:pt>
                <c:pt idx="3">
                  <c:v>5.6074840000000004</c:v>
                </c:pt>
                <c:pt idx="4">
                  <c:v>5.9637419999999999</c:v>
                </c:pt>
                <c:pt idx="5">
                  <c:v>6.4117769999999998</c:v>
                </c:pt>
              </c:numCache>
            </c:numRef>
          </c:val>
          <c:smooth val="0"/>
        </c:ser>
        <c:ser>
          <c:idx val="0"/>
          <c:order val="1"/>
          <c:tx>
            <c:v>New method</c:v>
          </c:tx>
          <c:spPr>
            <a:ln>
              <a:solidFill>
                <a:schemeClr val="accent1">
                  <a:lumMod val="60000"/>
                  <a:lumOff val="40000"/>
                </a:schemeClr>
              </a:solidFill>
            </a:ln>
          </c:spPr>
          <c:marker>
            <c:symbol val="none"/>
          </c:marker>
          <c:cat>
            <c:strRef>
              <c:f>'Sheet8 (2)'!$C$1:$P$1</c:f>
              <c:strCache>
                <c:ptCount val="14"/>
                <c:pt idx="0">
                  <c:v>1998/99</c:v>
                </c:pt>
                <c:pt idx="1">
                  <c:v>1999/00</c:v>
                </c:pt>
                <c:pt idx="2">
                  <c:v>2000/01</c:v>
                </c:pt>
                <c:pt idx="3">
                  <c:v>2001/02</c:v>
                </c:pt>
                <c:pt idx="4">
                  <c:v>2002/03</c:v>
                </c:pt>
                <c:pt idx="5">
                  <c:v>2003/04</c:v>
                </c:pt>
                <c:pt idx="6">
                  <c:v>2004/05</c:v>
                </c:pt>
                <c:pt idx="7">
                  <c:v>2005/06</c:v>
                </c:pt>
                <c:pt idx="8">
                  <c:v>2006/07</c:v>
                </c:pt>
                <c:pt idx="9">
                  <c:v>2007/08</c:v>
                </c:pt>
                <c:pt idx="10">
                  <c:v>2008/09</c:v>
                </c:pt>
                <c:pt idx="11">
                  <c:v>2009/10</c:v>
                </c:pt>
                <c:pt idx="12">
                  <c:v>20010/11</c:v>
                </c:pt>
                <c:pt idx="13">
                  <c:v>20011/12</c:v>
                </c:pt>
              </c:strCache>
            </c:strRef>
          </c:cat>
          <c:val>
            <c:numRef>
              <c:f>'Sheet8 (2)'!$C$19:$P$19</c:f>
              <c:numCache>
                <c:formatCode>_(* #,##0.00_);_(* \(#,##0.00\);_(* "-"??_);_(@_)</c:formatCode>
                <c:ptCount val="14"/>
                <c:pt idx="5">
                  <c:v>5.7238170000000004</c:v>
                </c:pt>
                <c:pt idx="6">
                  <c:v>6.0098019999999996</c:v>
                </c:pt>
                <c:pt idx="7">
                  <c:v>6.2911169999999998</c:v>
                </c:pt>
                <c:pt idx="8">
                  <c:v>6.3633879999999996</c:v>
                </c:pt>
                <c:pt idx="9">
                  <c:v>6.5931360000000003</c:v>
                </c:pt>
                <c:pt idx="10" formatCode="#,##0.00">
                  <c:v>6.8260350000000001</c:v>
                </c:pt>
                <c:pt idx="11" formatCode="#,##0.00">
                  <c:v>6.9513790000000002</c:v>
                </c:pt>
                <c:pt idx="12" formatCode="#,##0.00">
                  <c:v>7.1093580000000003</c:v>
                </c:pt>
                <c:pt idx="13" formatCode="#,##0.00">
                  <c:v>7.0542239999999996</c:v>
                </c:pt>
              </c:numCache>
            </c:numRef>
          </c:val>
          <c:smooth val="0"/>
        </c:ser>
        <c:dLbls>
          <c:showLegendKey val="0"/>
          <c:showVal val="0"/>
          <c:showCatName val="0"/>
          <c:showSerName val="0"/>
          <c:showPercent val="0"/>
          <c:showBubbleSize val="0"/>
        </c:dLbls>
        <c:marker val="1"/>
        <c:smooth val="0"/>
        <c:axId val="150660224"/>
        <c:axId val="150661760"/>
      </c:lineChart>
      <c:catAx>
        <c:axId val="150660224"/>
        <c:scaling>
          <c:orientation val="minMax"/>
        </c:scaling>
        <c:delete val="0"/>
        <c:axPos val="b"/>
        <c:numFmt formatCode="General" sourceLinked="1"/>
        <c:majorTickMark val="none"/>
        <c:minorTickMark val="none"/>
        <c:tickLblPos val="nextTo"/>
        <c:crossAx val="150661760"/>
        <c:crosses val="autoZero"/>
        <c:auto val="1"/>
        <c:lblAlgn val="ctr"/>
        <c:lblOffset val="100"/>
        <c:noMultiLvlLbl val="0"/>
      </c:catAx>
      <c:valAx>
        <c:axId val="150661760"/>
        <c:scaling>
          <c:orientation val="minMax"/>
          <c:max val="9"/>
          <c:min val="3"/>
        </c:scaling>
        <c:delete val="0"/>
        <c:axPos val="l"/>
        <c:numFmt formatCode="_(* #,##0.00_);_(* \(#,##0.00\);_(* &quot;-&quot;??_);_(@_)" sourceLinked="1"/>
        <c:majorTickMark val="none"/>
        <c:minorTickMark val="none"/>
        <c:tickLblPos val="nextTo"/>
        <c:crossAx val="150660224"/>
        <c:crosses val="autoZero"/>
        <c:crossBetween val="between"/>
      </c:valAx>
    </c:plotArea>
    <c:legend>
      <c:legendPos val="b"/>
      <c:overlay val="0"/>
    </c:legend>
    <c:plotVisOnly val="1"/>
    <c:dispBlanksAs val="gap"/>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0429731673740418"/>
          <c:y val="4.5626665087916705E-2"/>
          <c:w val="0.86908441345013476"/>
          <c:h val="0.57650662088291504"/>
        </c:manualLayout>
      </c:layout>
      <c:lineChart>
        <c:grouping val="standard"/>
        <c:varyColors val="0"/>
        <c:ser>
          <c:idx val="0"/>
          <c:order val="0"/>
          <c:tx>
            <c:v>Old method</c:v>
          </c:tx>
          <c:spPr>
            <a:ln>
              <a:solidFill>
                <a:schemeClr val="tx2"/>
              </a:solidFill>
              <a:prstDash val="sysDot"/>
            </a:ln>
          </c:spPr>
          <c:marker>
            <c:symbol val="none"/>
          </c:marker>
          <c:cat>
            <c:strRef>
              <c:f>'Sheet8 (2)'!$C$1:$P$1</c:f>
              <c:strCache>
                <c:ptCount val="14"/>
                <c:pt idx="0">
                  <c:v>1998/99</c:v>
                </c:pt>
                <c:pt idx="1">
                  <c:v>1999/00</c:v>
                </c:pt>
                <c:pt idx="2">
                  <c:v>2000/01</c:v>
                </c:pt>
                <c:pt idx="3">
                  <c:v>2001/02</c:v>
                </c:pt>
                <c:pt idx="4">
                  <c:v>2002/03</c:v>
                </c:pt>
                <c:pt idx="5">
                  <c:v>2003/04</c:v>
                </c:pt>
                <c:pt idx="6">
                  <c:v>2004/05</c:v>
                </c:pt>
                <c:pt idx="7">
                  <c:v>2005/06</c:v>
                </c:pt>
                <c:pt idx="8">
                  <c:v>2006/07</c:v>
                </c:pt>
                <c:pt idx="9">
                  <c:v>2007/08</c:v>
                </c:pt>
                <c:pt idx="10">
                  <c:v>2008/09</c:v>
                </c:pt>
                <c:pt idx="11">
                  <c:v>2009/10</c:v>
                </c:pt>
                <c:pt idx="12">
                  <c:v>20010/11</c:v>
                </c:pt>
                <c:pt idx="13">
                  <c:v>20011/12</c:v>
                </c:pt>
              </c:strCache>
            </c:strRef>
          </c:cat>
          <c:val>
            <c:numRef>
              <c:f>'Sheet8 (2)'!$C$9:$P$9</c:f>
              <c:numCache>
                <c:formatCode>_(* #,##0.00_);_(* \(#,##0.00\);_(* "-"??_);_(@_)</c:formatCode>
                <c:ptCount val="14"/>
                <c:pt idx="0">
                  <c:v>5.4270659999999999</c:v>
                </c:pt>
                <c:pt idx="1">
                  <c:v>5.4875790000000002</c:v>
                </c:pt>
                <c:pt idx="2">
                  <c:v>5.4796329999999998</c:v>
                </c:pt>
                <c:pt idx="3">
                  <c:v>5.3865749999999997</c:v>
                </c:pt>
                <c:pt idx="4">
                  <c:v>5.578093</c:v>
                </c:pt>
                <c:pt idx="5">
                  <c:v>5.7363309999999998</c:v>
                </c:pt>
              </c:numCache>
            </c:numRef>
          </c:val>
          <c:smooth val="0"/>
        </c:ser>
        <c:ser>
          <c:idx val="1"/>
          <c:order val="1"/>
          <c:tx>
            <c:v>New method</c:v>
          </c:tx>
          <c:marker>
            <c:symbol val="none"/>
          </c:marker>
          <c:cat>
            <c:strRef>
              <c:f>'Sheet8 (2)'!$C$1:$P$1</c:f>
              <c:strCache>
                <c:ptCount val="14"/>
                <c:pt idx="0">
                  <c:v>1998/99</c:v>
                </c:pt>
                <c:pt idx="1">
                  <c:v>1999/00</c:v>
                </c:pt>
                <c:pt idx="2">
                  <c:v>2000/01</c:v>
                </c:pt>
                <c:pt idx="3">
                  <c:v>2001/02</c:v>
                </c:pt>
                <c:pt idx="4">
                  <c:v>2002/03</c:v>
                </c:pt>
                <c:pt idx="5">
                  <c:v>2003/04</c:v>
                </c:pt>
                <c:pt idx="6">
                  <c:v>2004/05</c:v>
                </c:pt>
                <c:pt idx="7">
                  <c:v>2005/06</c:v>
                </c:pt>
                <c:pt idx="8">
                  <c:v>2006/07</c:v>
                </c:pt>
                <c:pt idx="9">
                  <c:v>2007/08</c:v>
                </c:pt>
                <c:pt idx="10">
                  <c:v>2008/09</c:v>
                </c:pt>
                <c:pt idx="11">
                  <c:v>2009/10</c:v>
                </c:pt>
                <c:pt idx="12">
                  <c:v>20010/11</c:v>
                </c:pt>
                <c:pt idx="13">
                  <c:v>20011/12</c:v>
                </c:pt>
              </c:strCache>
            </c:strRef>
          </c:cat>
          <c:val>
            <c:numRef>
              <c:f>'Sheet8 (2)'!$C$10:$P$10</c:f>
              <c:numCache>
                <c:formatCode>General</c:formatCode>
                <c:ptCount val="14"/>
                <c:pt idx="5" formatCode="_(* #,##0.00_);_(* \(#,##0.00\);_(* &quot;-&quot;??_);_(@_)">
                  <c:v>6.4015190000000004</c:v>
                </c:pt>
                <c:pt idx="6" formatCode="_(* #,##0.00_);_(* \(#,##0.00\);_(* &quot;-&quot;??_);_(@_)">
                  <c:v>6.4339329999999997</c:v>
                </c:pt>
                <c:pt idx="7" formatCode="_(* #,##0.00_);_(* \(#,##0.00\);_(* &quot;-&quot;??_);_(@_)">
                  <c:v>6.8646120000000002</c:v>
                </c:pt>
                <c:pt idx="8" formatCode="_(* #,##0.00_);_(* \(#,##0.00\);_(* &quot;-&quot;??_);_(@_)">
                  <c:v>7.1946969999999997</c:v>
                </c:pt>
                <c:pt idx="9" formatCode="_(* #,##0.00_);_(* \(#,##0.00\);_(* &quot;-&quot;??_);_(@_)">
                  <c:v>7.5987960000000001</c:v>
                </c:pt>
                <c:pt idx="10" formatCode="#,##0.00">
                  <c:v>8.1482290000000006</c:v>
                </c:pt>
                <c:pt idx="11" formatCode="#,##0.00">
                  <c:v>8.465757</c:v>
                </c:pt>
                <c:pt idx="12" formatCode="#,##0.00">
                  <c:v>8.7550810000000006</c:v>
                </c:pt>
                <c:pt idx="13" formatCode="#,##0.00">
                  <c:v>8.9471340000000001</c:v>
                </c:pt>
              </c:numCache>
            </c:numRef>
          </c:val>
          <c:smooth val="0"/>
        </c:ser>
        <c:dLbls>
          <c:showLegendKey val="0"/>
          <c:showVal val="0"/>
          <c:showCatName val="0"/>
          <c:showSerName val="0"/>
          <c:showPercent val="0"/>
          <c:showBubbleSize val="0"/>
        </c:dLbls>
        <c:marker val="1"/>
        <c:smooth val="0"/>
        <c:axId val="174083072"/>
        <c:axId val="174088960"/>
      </c:lineChart>
      <c:catAx>
        <c:axId val="174083072"/>
        <c:scaling>
          <c:orientation val="minMax"/>
        </c:scaling>
        <c:delete val="0"/>
        <c:axPos val="b"/>
        <c:numFmt formatCode="General" sourceLinked="0"/>
        <c:majorTickMark val="none"/>
        <c:minorTickMark val="none"/>
        <c:tickLblPos val="nextTo"/>
        <c:crossAx val="174088960"/>
        <c:crosses val="autoZero"/>
        <c:auto val="1"/>
        <c:lblAlgn val="ctr"/>
        <c:lblOffset val="100"/>
        <c:noMultiLvlLbl val="0"/>
      </c:catAx>
      <c:valAx>
        <c:axId val="174088960"/>
        <c:scaling>
          <c:orientation val="minMax"/>
          <c:min val="4"/>
        </c:scaling>
        <c:delete val="0"/>
        <c:axPos val="l"/>
        <c:numFmt formatCode="_(* #,##0.00_);_(* \(#,##0.00\);_(* &quot;-&quot;??_);_(@_)" sourceLinked="1"/>
        <c:majorTickMark val="none"/>
        <c:minorTickMark val="none"/>
        <c:tickLblPos val="nextTo"/>
        <c:crossAx val="174083072"/>
        <c:crosses val="autoZero"/>
        <c:crossBetween val="between"/>
      </c:valAx>
    </c:plotArea>
    <c:legend>
      <c:legendPos val="b"/>
      <c:overlay val="0"/>
    </c:legend>
    <c:plotVisOnly val="1"/>
    <c:dispBlanksAs val="gap"/>
    <c:showDLblsOverMax val="0"/>
  </c:chart>
  <c:printSettings>
    <c:headerFooter/>
    <c:pageMargins b="0.75000000000000078" l="0.70000000000000062" r="0.70000000000000062" t="0.75000000000000078"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lineChart>
        <c:grouping val="standard"/>
        <c:varyColors val="0"/>
        <c:ser>
          <c:idx val="0"/>
          <c:order val="0"/>
          <c:tx>
            <c:v>Old method</c:v>
          </c:tx>
          <c:spPr>
            <a:ln>
              <a:solidFill>
                <a:schemeClr val="tx2"/>
              </a:solidFill>
              <a:prstDash val="sysDot"/>
            </a:ln>
          </c:spPr>
          <c:marker>
            <c:symbol val="none"/>
          </c:marker>
          <c:cat>
            <c:strRef>
              <c:f>'Sheet8 (2)'!$C$1:$P$1</c:f>
              <c:strCache>
                <c:ptCount val="14"/>
                <c:pt idx="0">
                  <c:v>1998/99</c:v>
                </c:pt>
                <c:pt idx="1">
                  <c:v>1999/00</c:v>
                </c:pt>
                <c:pt idx="2">
                  <c:v>2000/01</c:v>
                </c:pt>
                <c:pt idx="3">
                  <c:v>2001/02</c:v>
                </c:pt>
                <c:pt idx="4">
                  <c:v>2002/03</c:v>
                </c:pt>
                <c:pt idx="5">
                  <c:v>2003/04</c:v>
                </c:pt>
                <c:pt idx="6">
                  <c:v>2004/05</c:v>
                </c:pt>
                <c:pt idx="7">
                  <c:v>2005/06</c:v>
                </c:pt>
                <c:pt idx="8">
                  <c:v>2006/07</c:v>
                </c:pt>
                <c:pt idx="9">
                  <c:v>2007/08</c:v>
                </c:pt>
                <c:pt idx="10">
                  <c:v>2008/09</c:v>
                </c:pt>
                <c:pt idx="11">
                  <c:v>2009/10</c:v>
                </c:pt>
                <c:pt idx="12">
                  <c:v>20010/11</c:v>
                </c:pt>
                <c:pt idx="13">
                  <c:v>20011/12</c:v>
                </c:pt>
              </c:strCache>
            </c:strRef>
          </c:cat>
          <c:val>
            <c:numRef>
              <c:f>'Sheet8 (2)'!$C$48:$O$48</c:f>
              <c:numCache>
                <c:formatCode>General</c:formatCode>
                <c:ptCount val="13"/>
                <c:pt idx="0">
                  <c:v>11.210816000000001</c:v>
                </c:pt>
                <c:pt idx="1">
                  <c:v>11.105745000000001</c:v>
                </c:pt>
                <c:pt idx="2">
                  <c:v>11.075239</c:v>
                </c:pt>
                <c:pt idx="3">
                  <c:v>10.994059</c:v>
                </c:pt>
                <c:pt idx="4">
                  <c:v>11.541834999999999</c:v>
                </c:pt>
                <c:pt idx="5">
                  <c:v>12.148108000000001</c:v>
                </c:pt>
              </c:numCache>
            </c:numRef>
          </c:val>
          <c:smooth val="0"/>
        </c:ser>
        <c:ser>
          <c:idx val="1"/>
          <c:order val="1"/>
          <c:tx>
            <c:v>New method</c:v>
          </c:tx>
          <c:marker>
            <c:symbol val="none"/>
          </c:marker>
          <c:cat>
            <c:strRef>
              <c:f>'Sheet8 (2)'!$C$1:$P$1</c:f>
              <c:strCache>
                <c:ptCount val="14"/>
                <c:pt idx="0">
                  <c:v>1998/99</c:v>
                </c:pt>
                <c:pt idx="1">
                  <c:v>1999/00</c:v>
                </c:pt>
                <c:pt idx="2">
                  <c:v>2000/01</c:v>
                </c:pt>
                <c:pt idx="3">
                  <c:v>2001/02</c:v>
                </c:pt>
                <c:pt idx="4">
                  <c:v>2002/03</c:v>
                </c:pt>
                <c:pt idx="5">
                  <c:v>2003/04</c:v>
                </c:pt>
                <c:pt idx="6">
                  <c:v>2004/05</c:v>
                </c:pt>
                <c:pt idx="7">
                  <c:v>2005/06</c:v>
                </c:pt>
                <c:pt idx="8">
                  <c:v>2006/07</c:v>
                </c:pt>
                <c:pt idx="9">
                  <c:v>2007/08</c:v>
                </c:pt>
                <c:pt idx="10">
                  <c:v>2008/09</c:v>
                </c:pt>
                <c:pt idx="11">
                  <c:v>2009/10</c:v>
                </c:pt>
                <c:pt idx="12">
                  <c:v>20010/11</c:v>
                </c:pt>
                <c:pt idx="13">
                  <c:v>20011/12</c:v>
                </c:pt>
              </c:strCache>
            </c:strRef>
          </c:cat>
          <c:val>
            <c:numRef>
              <c:f>'Sheet8 (2)'!$C$49:$O$49</c:f>
              <c:numCache>
                <c:formatCode>General</c:formatCode>
                <c:ptCount val="13"/>
                <c:pt idx="5">
                  <c:v>12.125336000000001</c:v>
                </c:pt>
                <c:pt idx="6">
                  <c:v>12.443735</c:v>
                </c:pt>
                <c:pt idx="7">
                  <c:v>13.155729000000001</c:v>
                </c:pt>
                <c:pt idx="8">
                  <c:v>13.558084999999998</c:v>
                </c:pt>
                <c:pt idx="9">
                  <c:v>14.191932000000001</c:v>
                </c:pt>
                <c:pt idx="10">
                  <c:v>14.974264000000002</c:v>
                </c:pt>
                <c:pt idx="11">
                  <c:v>15.417135999999999</c:v>
                </c:pt>
                <c:pt idx="12">
                  <c:v>15.864439000000001</c:v>
                </c:pt>
              </c:numCache>
            </c:numRef>
          </c:val>
          <c:smooth val="0"/>
        </c:ser>
        <c:dLbls>
          <c:showLegendKey val="0"/>
          <c:showVal val="0"/>
          <c:showCatName val="0"/>
          <c:showSerName val="0"/>
          <c:showPercent val="0"/>
          <c:showBubbleSize val="0"/>
        </c:dLbls>
        <c:marker val="1"/>
        <c:smooth val="0"/>
        <c:axId val="174118016"/>
        <c:axId val="174119552"/>
      </c:lineChart>
      <c:catAx>
        <c:axId val="174118016"/>
        <c:scaling>
          <c:orientation val="minMax"/>
        </c:scaling>
        <c:delete val="0"/>
        <c:axPos val="b"/>
        <c:numFmt formatCode="General" sourceLinked="0"/>
        <c:majorTickMark val="none"/>
        <c:minorTickMark val="none"/>
        <c:tickLblPos val="nextTo"/>
        <c:crossAx val="174119552"/>
        <c:crosses val="autoZero"/>
        <c:auto val="1"/>
        <c:lblAlgn val="ctr"/>
        <c:lblOffset val="100"/>
        <c:noMultiLvlLbl val="0"/>
      </c:catAx>
      <c:valAx>
        <c:axId val="174119552"/>
        <c:scaling>
          <c:orientation val="minMax"/>
          <c:min val="10"/>
        </c:scaling>
        <c:delete val="0"/>
        <c:axPos val="l"/>
        <c:numFmt formatCode="General" sourceLinked="1"/>
        <c:majorTickMark val="none"/>
        <c:minorTickMark val="none"/>
        <c:tickLblPos val="nextTo"/>
        <c:crossAx val="174118016"/>
        <c:crosses val="autoZero"/>
        <c:crossBetween val="between"/>
      </c:valAx>
    </c:plotArea>
    <c:legend>
      <c:legendPos val="b"/>
      <c:overlay val="0"/>
    </c:legend>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lineChart>
        <c:grouping val="standard"/>
        <c:varyColors val="0"/>
        <c:ser>
          <c:idx val="1"/>
          <c:order val="0"/>
          <c:tx>
            <c:v>Old method</c:v>
          </c:tx>
          <c:spPr>
            <a:ln>
              <a:solidFill>
                <a:schemeClr val="tx2"/>
              </a:solidFill>
              <a:prstDash val="sysDot"/>
            </a:ln>
          </c:spPr>
          <c:marker>
            <c:symbol val="none"/>
          </c:marker>
          <c:cat>
            <c:strRef>
              <c:f>'Sheet8 (2)'!$C$1:$P$1</c:f>
              <c:strCache>
                <c:ptCount val="14"/>
                <c:pt idx="0">
                  <c:v>1998/99</c:v>
                </c:pt>
                <c:pt idx="1">
                  <c:v>1999/00</c:v>
                </c:pt>
                <c:pt idx="2">
                  <c:v>2000/01</c:v>
                </c:pt>
                <c:pt idx="3">
                  <c:v>2001/02</c:v>
                </c:pt>
                <c:pt idx="4">
                  <c:v>2002/03</c:v>
                </c:pt>
                <c:pt idx="5">
                  <c:v>2003/04</c:v>
                </c:pt>
                <c:pt idx="6">
                  <c:v>2004/05</c:v>
                </c:pt>
                <c:pt idx="7">
                  <c:v>2005/06</c:v>
                </c:pt>
                <c:pt idx="8">
                  <c:v>2006/07</c:v>
                </c:pt>
                <c:pt idx="9">
                  <c:v>2007/08</c:v>
                </c:pt>
                <c:pt idx="10">
                  <c:v>2008/09</c:v>
                </c:pt>
                <c:pt idx="11">
                  <c:v>2009/10</c:v>
                </c:pt>
                <c:pt idx="12">
                  <c:v>20010/11</c:v>
                </c:pt>
                <c:pt idx="13">
                  <c:v>20011/12</c:v>
                </c:pt>
              </c:strCache>
            </c:strRef>
          </c:cat>
          <c:val>
            <c:numRef>
              <c:f>'Sheet8 (2)'!$C$18:$P$18</c:f>
              <c:numCache>
                <c:formatCode>_(* #,##0.00_);_(* \(#,##0.00\);_(* "-"??_);_(@_)</c:formatCode>
                <c:ptCount val="14"/>
                <c:pt idx="0">
                  <c:v>5.7837500000000004</c:v>
                </c:pt>
                <c:pt idx="1">
                  <c:v>5.6181660000000004</c:v>
                </c:pt>
                <c:pt idx="2">
                  <c:v>5.5956060000000001</c:v>
                </c:pt>
                <c:pt idx="3">
                  <c:v>5.6074840000000004</c:v>
                </c:pt>
                <c:pt idx="4">
                  <c:v>5.9637419999999999</c:v>
                </c:pt>
                <c:pt idx="5">
                  <c:v>6.4117769999999998</c:v>
                </c:pt>
              </c:numCache>
            </c:numRef>
          </c:val>
          <c:smooth val="0"/>
        </c:ser>
        <c:ser>
          <c:idx val="0"/>
          <c:order val="1"/>
          <c:tx>
            <c:v>New method</c:v>
          </c:tx>
          <c:spPr>
            <a:ln>
              <a:solidFill>
                <a:schemeClr val="accent1">
                  <a:lumMod val="60000"/>
                  <a:lumOff val="40000"/>
                </a:schemeClr>
              </a:solidFill>
            </a:ln>
          </c:spPr>
          <c:marker>
            <c:symbol val="none"/>
          </c:marker>
          <c:cat>
            <c:strRef>
              <c:f>'Sheet8 (2)'!$C$1:$P$1</c:f>
              <c:strCache>
                <c:ptCount val="14"/>
                <c:pt idx="0">
                  <c:v>1998/99</c:v>
                </c:pt>
                <c:pt idx="1">
                  <c:v>1999/00</c:v>
                </c:pt>
                <c:pt idx="2">
                  <c:v>2000/01</c:v>
                </c:pt>
                <c:pt idx="3">
                  <c:v>2001/02</c:v>
                </c:pt>
                <c:pt idx="4">
                  <c:v>2002/03</c:v>
                </c:pt>
                <c:pt idx="5">
                  <c:v>2003/04</c:v>
                </c:pt>
                <c:pt idx="6">
                  <c:v>2004/05</c:v>
                </c:pt>
                <c:pt idx="7">
                  <c:v>2005/06</c:v>
                </c:pt>
                <c:pt idx="8">
                  <c:v>2006/07</c:v>
                </c:pt>
                <c:pt idx="9">
                  <c:v>2007/08</c:v>
                </c:pt>
                <c:pt idx="10">
                  <c:v>2008/09</c:v>
                </c:pt>
                <c:pt idx="11">
                  <c:v>2009/10</c:v>
                </c:pt>
                <c:pt idx="12">
                  <c:v>20010/11</c:v>
                </c:pt>
                <c:pt idx="13">
                  <c:v>20011/12</c:v>
                </c:pt>
              </c:strCache>
            </c:strRef>
          </c:cat>
          <c:val>
            <c:numRef>
              <c:f>'Sheet8 (2)'!$C$19:$P$19</c:f>
              <c:numCache>
                <c:formatCode>_(* #,##0.00_);_(* \(#,##0.00\);_(* "-"??_);_(@_)</c:formatCode>
                <c:ptCount val="14"/>
                <c:pt idx="5">
                  <c:v>5.7238170000000004</c:v>
                </c:pt>
                <c:pt idx="6">
                  <c:v>6.0098019999999996</c:v>
                </c:pt>
                <c:pt idx="7">
                  <c:v>6.2911169999999998</c:v>
                </c:pt>
                <c:pt idx="8">
                  <c:v>6.3633879999999996</c:v>
                </c:pt>
                <c:pt idx="9">
                  <c:v>6.5931360000000003</c:v>
                </c:pt>
                <c:pt idx="10" formatCode="#,##0.00">
                  <c:v>6.8260350000000001</c:v>
                </c:pt>
                <c:pt idx="11" formatCode="#,##0.00">
                  <c:v>6.9513790000000002</c:v>
                </c:pt>
                <c:pt idx="12" formatCode="#,##0.00">
                  <c:v>7.1093580000000003</c:v>
                </c:pt>
                <c:pt idx="13" formatCode="#,##0.00">
                  <c:v>7.0542239999999996</c:v>
                </c:pt>
              </c:numCache>
            </c:numRef>
          </c:val>
          <c:smooth val="0"/>
        </c:ser>
        <c:dLbls>
          <c:showLegendKey val="0"/>
          <c:showVal val="0"/>
          <c:showCatName val="0"/>
          <c:showSerName val="0"/>
          <c:showPercent val="0"/>
          <c:showBubbleSize val="0"/>
        </c:dLbls>
        <c:marker val="1"/>
        <c:smooth val="0"/>
        <c:axId val="175451136"/>
        <c:axId val="175485696"/>
      </c:lineChart>
      <c:catAx>
        <c:axId val="175451136"/>
        <c:scaling>
          <c:orientation val="minMax"/>
        </c:scaling>
        <c:delete val="0"/>
        <c:axPos val="b"/>
        <c:numFmt formatCode="General" sourceLinked="1"/>
        <c:majorTickMark val="none"/>
        <c:minorTickMark val="none"/>
        <c:tickLblPos val="nextTo"/>
        <c:crossAx val="175485696"/>
        <c:crosses val="autoZero"/>
        <c:auto val="1"/>
        <c:lblAlgn val="ctr"/>
        <c:lblOffset val="100"/>
        <c:noMultiLvlLbl val="0"/>
      </c:catAx>
      <c:valAx>
        <c:axId val="175485696"/>
        <c:scaling>
          <c:orientation val="minMax"/>
          <c:max val="9"/>
          <c:min val="3"/>
        </c:scaling>
        <c:delete val="0"/>
        <c:axPos val="l"/>
        <c:numFmt formatCode="_(* #,##0.00_);_(* \(#,##0.00\);_(* &quot;-&quot;??_);_(@_)" sourceLinked="1"/>
        <c:majorTickMark val="none"/>
        <c:minorTickMark val="none"/>
        <c:tickLblPos val="nextTo"/>
        <c:crossAx val="175451136"/>
        <c:crosses val="autoZero"/>
        <c:crossBetween val="between"/>
      </c:valAx>
    </c:plotArea>
    <c:legend>
      <c:legendPos val="b"/>
      <c:overlay val="0"/>
    </c:legend>
    <c:plotVisOnly val="1"/>
    <c:dispBlanksAs val="gap"/>
    <c:showDLblsOverMax val="0"/>
  </c:chart>
  <c:spPr>
    <a:ln>
      <a:noFill/>
    </a:ln>
  </c:spPr>
  <c:printSettings>
    <c:headerFooter/>
    <c:pageMargins b="0.75000000000000078" l="0.70000000000000062" r="0.70000000000000062" t="0.75000000000000078"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t>Total hospital activity (million CIPS)</a:t>
            </a:r>
          </a:p>
        </c:rich>
      </c:tx>
      <c:overlay val="0"/>
    </c:title>
    <c:autoTitleDeleted val="0"/>
    <c:plotArea>
      <c:layout/>
      <c:lineChart>
        <c:grouping val="standard"/>
        <c:varyColors val="0"/>
        <c:ser>
          <c:idx val="0"/>
          <c:order val="0"/>
          <c:tx>
            <c:v>Total hospital activity</c:v>
          </c:tx>
          <c:cat>
            <c:strLit>
              <c:ptCount val="15"/>
              <c:pt idx="0">
                <c:v>1998/99</c:v>
              </c:pt>
              <c:pt idx="1">
                <c:v>1999/00</c:v>
              </c:pt>
              <c:pt idx="2">
                <c:v>2000/01</c:v>
              </c:pt>
              <c:pt idx="3">
                <c:v>2001/02</c:v>
              </c:pt>
              <c:pt idx="4">
                <c:v>2002/03</c:v>
              </c:pt>
              <c:pt idx="5">
                <c:v>2003/04</c:v>
              </c:pt>
              <c:pt idx="6">
                <c:v>2003/04</c:v>
              </c:pt>
              <c:pt idx="7">
                <c:v>2004/05</c:v>
              </c:pt>
              <c:pt idx="8">
                <c:v>2005/06</c:v>
              </c:pt>
              <c:pt idx="9">
                <c:v>2006/07</c:v>
              </c:pt>
              <c:pt idx="10">
                <c:v>2007/08</c:v>
              </c:pt>
              <c:pt idx="11">
                <c:v>2008/09</c:v>
              </c:pt>
              <c:pt idx="12">
                <c:v>2009/10</c:v>
              </c:pt>
              <c:pt idx="13">
                <c:v>20010/11</c:v>
              </c:pt>
              <c:pt idx="14">
                <c:v>20011/12</c:v>
              </c:pt>
            </c:strLit>
          </c:cat>
          <c:val>
            <c:numLit>
              <c:formatCode>General</c:formatCode>
              <c:ptCount val="15"/>
              <c:pt idx="0">
                <c:v>11.210816000000001</c:v>
              </c:pt>
              <c:pt idx="1">
                <c:v>11.105745000000002</c:v>
              </c:pt>
              <c:pt idx="2">
                <c:v>11.075239000000003</c:v>
              </c:pt>
              <c:pt idx="3">
                <c:v>10.994059</c:v>
              </c:pt>
              <c:pt idx="4">
                <c:v>11.541835000000001</c:v>
              </c:pt>
              <c:pt idx="5">
                <c:v>12.148107999999999</c:v>
              </c:pt>
              <c:pt idx="6">
                <c:v>12.125336000000004</c:v>
              </c:pt>
              <c:pt idx="7">
                <c:v>12.443735</c:v>
              </c:pt>
              <c:pt idx="8">
                <c:v>13.155729000000004</c:v>
              </c:pt>
              <c:pt idx="9">
                <c:v>13.558085000000002</c:v>
              </c:pt>
              <c:pt idx="10">
                <c:v>14.191932000000001</c:v>
              </c:pt>
              <c:pt idx="11">
                <c:v>14.974264000000002</c:v>
              </c:pt>
              <c:pt idx="12">
                <c:v>15.417136000000003</c:v>
              </c:pt>
              <c:pt idx="13">
                <c:v>15.864439000000006</c:v>
              </c:pt>
              <c:pt idx="14">
                <c:v>16.001358000000007</c:v>
              </c:pt>
            </c:numLit>
          </c:val>
          <c:smooth val="0"/>
        </c:ser>
        <c:dLbls>
          <c:showLegendKey val="0"/>
          <c:showVal val="0"/>
          <c:showCatName val="0"/>
          <c:showSerName val="0"/>
          <c:showPercent val="0"/>
          <c:showBubbleSize val="0"/>
        </c:dLbls>
        <c:marker val="1"/>
        <c:smooth val="0"/>
        <c:axId val="175514752"/>
        <c:axId val="175516288"/>
      </c:lineChart>
      <c:catAx>
        <c:axId val="175514752"/>
        <c:scaling>
          <c:orientation val="minMax"/>
        </c:scaling>
        <c:delete val="0"/>
        <c:axPos val="b"/>
        <c:numFmt formatCode="General" sourceLinked="0"/>
        <c:majorTickMark val="none"/>
        <c:minorTickMark val="none"/>
        <c:tickLblPos val="nextTo"/>
        <c:crossAx val="175516288"/>
        <c:crosses val="autoZero"/>
        <c:auto val="1"/>
        <c:lblAlgn val="ctr"/>
        <c:lblOffset val="100"/>
        <c:noMultiLvlLbl val="0"/>
      </c:catAx>
      <c:valAx>
        <c:axId val="175516288"/>
        <c:scaling>
          <c:orientation val="minMax"/>
          <c:max val="17"/>
          <c:min val="10.5"/>
        </c:scaling>
        <c:delete val="0"/>
        <c:axPos val="l"/>
        <c:majorGridlines/>
        <c:numFmt formatCode="General" sourceLinked="1"/>
        <c:majorTickMark val="none"/>
        <c:minorTickMark val="none"/>
        <c:tickLblPos val="nextTo"/>
        <c:spPr>
          <a:ln w="9525">
            <a:solidFill>
              <a:schemeClr val="bg1">
                <a:lumMod val="65000"/>
              </a:schemeClr>
            </a:solidFill>
          </a:ln>
        </c:spPr>
        <c:crossAx val="175514752"/>
        <c:crosses val="autoZero"/>
        <c:crossBetween val="between"/>
        <c:majorUnit val="1"/>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t>30 day survival rate</a:t>
            </a:r>
          </a:p>
        </c:rich>
      </c:tx>
      <c:overlay val="0"/>
    </c:title>
    <c:autoTitleDeleted val="0"/>
    <c:plotArea>
      <c:layout/>
      <c:lineChart>
        <c:grouping val="standard"/>
        <c:varyColors val="0"/>
        <c:ser>
          <c:idx val="0"/>
          <c:order val="0"/>
          <c:tx>
            <c:v>Elective and day cases</c:v>
          </c:tx>
          <c:cat>
            <c:strLit>
              <c:ptCount val="15"/>
              <c:pt idx="0">
                <c:v>1998/99</c:v>
              </c:pt>
              <c:pt idx="1">
                <c:v>1999/00</c:v>
              </c:pt>
              <c:pt idx="2">
                <c:v>2000/01</c:v>
              </c:pt>
              <c:pt idx="3">
                <c:v>2001/02</c:v>
              </c:pt>
              <c:pt idx="4">
                <c:v>2002/03</c:v>
              </c:pt>
              <c:pt idx="5">
                <c:v>2003/04</c:v>
              </c:pt>
              <c:pt idx="6">
                <c:v>2003/04</c:v>
              </c:pt>
              <c:pt idx="7">
                <c:v>2004/05</c:v>
              </c:pt>
              <c:pt idx="8">
                <c:v>2005/06</c:v>
              </c:pt>
              <c:pt idx="9">
                <c:v>2006/07</c:v>
              </c:pt>
              <c:pt idx="10">
                <c:v>2007/08</c:v>
              </c:pt>
              <c:pt idx="11">
                <c:v>2008/09</c:v>
              </c:pt>
              <c:pt idx="12">
                <c:v>2009/10</c:v>
              </c:pt>
              <c:pt idx="13">
                <c:v>20010/11</c:v>
              </c:pt>
              <c:pt idx="14">
                <c:v>20011/12</c:v>
              </c:pt>
            </c:strLit>
          </c:cat>
          <c:val>
            <c:numLit>
              <c:formatCode>General</c:formatCode>
              <c:ptCount val="15"/>
              <c:pt idx="0">
                <c:v>0.99297982552078445</c:v>
              </c:pt>
              <c:pt idx="1">
                <c:v>0.99344809833581349</c:v>
              </c:pt>
              <c:pt idx="2">
                <c:v>0.99381304818793037</c:v>
              </c:pt>
              <c:pt idx="3">
                <c:v>0.99412727750723706</c:v>
              </c:pt>
              <c:pt idx="4">
                <c:v>0.99427255281866567</c:v>
              </c:pt>
              <c:pt idx="5">
                <c:v>0.99478428089861648</c:v>
              </c:pt>
              <c:pt idx="6">
                <c:v>0.99357871155267996</c:v>
              </c:pt>
              <c:pt idx="7">
                <c:v>0.99380000000000002</c:v>
              </c:pt>
              <c:pt idx="8">
                <c:v>0.99470000000000003</c:v>
              </c:pt>
              <c:pt idx="9">
                <c:v>0.99509999999999998</c:v>
              </c:pt>
              <c:pt idx="10">
                <c:v>0.99719999999999998</c:v>
              </c:pt>
              <c:pt idx="11">
                <c:v>0.99739999999999973</c:v>
              </c:pt>
              <c:pt idx="12">
                <c:v>0.99760000000000004</c:v>
              </c:pt>
              <c:pt idx="13">
                <c:v>0.99780000000000002</c:v>
              </c:pt>
              <c:pt idx="14">
                <c:v>0.99780000000000002</c:v>
              </c:pt>
            </c:numLit>
          </c:val>
          <c:smooth val="0"/>
        </c:ser>
        <c:ser>
          <c:idx val="1"/>
          <c:order val="1"/>
          <c:tx>
            <c:v>Non-electives</c:v>
          </c:tx>
          <c:spPr>
            <a:ln>
              <a:prstDash val="dash"/>
            </a:ln>
          </c:spPr>
          <c:marker>
            <c:symbol val="square"/>
            <c:size val="5"/>
          </c:marker>
          <c:cat>
            <c:strLit>
              <c:ptCount val="15"/>
              <c:pt idx="0">
                <c:v>1998/99</c:v>
              </c:pt>
              <c:pt idx="1">
                <c:v>1999/00</c:v>
              </c:pt>
              <c:pt idx="2">
                <c:v>2000/01</c:v>
              </c:pt>
              <c:pt idx="3">
                <c:v>2001/02</c:v>
              </c:pt>
              <c:pt idx="4">
                <c:v>2002/03</c:v>
              </c:pt>
              <c:pt idx="5">
                <c:v>2003/04</c:v>
              </c:pt>
              <c:pt idx="6">
                <c:v>2003/04</c:v>
              </c:pt>
              <c:pt idx="7">
                <c:v>2004/05</c:v>
              </c:pt>
              <c:pt idx="8">
                <c:v>2005/06</c:v>
              </c:pt>
              <c:pt idx="9">
                <c:v>2006/07</c:v>
              </c:pt>
              <c:pt idx="10">
                <c:v>2007/08</c:v>
              </c:pt>
              <c:pt idx="11">
                <c:v>2008/09</c:v>
              </c:pt>
              <c:pt idx="12">
                <c:v>2009/10</c:v>
              </c:pt>
              <c:pt idx="13">
                <c:v>20010/11</c:v>
              </c:pt>
              <c:pt idx="14">
                <c:v>20011/12</c:v>
              </c:pt>
            </c:strLit>
          </c:cat>
          <c:val>
            <c:numLit>
              <c:formatCode>General</c:formatCode>
              <c:ptCount val="15"/>
              <c:pt idx="0">
                <c:v>0.94756780976717891</c:v>
              </c:pt>
              <c:pt idx="1">
                <c:v>0.94656187141177361</c:v>
              </c:pt>
              <c:pt idx="2">
                <c:v>0.948581619202433</c:v>
              </c:pt>
              <c:pt idx="3">
                <c:v>0.94760349278650835</c:v>
              </c:pt>
              <c:pt idx="4">
                <c:v>0.95054579485147772</c:v>
              </c:pt>
              <c:pt idx="5">
                <c:v>0.95289289026855695</c:v>
              </c:pt>
              <c:pt idx="6">
                <c:v>0.9491543842159873</c:v>
              </c:pt>
              <c:pt idx="7">
                <c:v>0.95160000000000022</c:v>
              </c:pt>
              <c:pt idx="8">
                <c:v>0.95490000000000019</c:v>
              </c:pt>
              <c:pt idx="9">
                <c:v>0.95650000000000002</c:v>
              </c:pt>
              <c:pt idx="10">
                <c:v>0.9579000000000002</c:v>
              </c:pt>
              <c:pt idx="11">
                <c:v>0.95850000000000002</c:v>
              </c:pt>
              <c:pt idx="12">
                <c:v>0.96070000000000022</c:v>
              </c:pt>
              <c:pt idx="13">
                <c:v>0.96050000000000002</c:v>
              </c:pt>
              <c:pt idx="14">
                <c:v>0.96120000000000005</c:v>
              </c:pt>
            </c:numLit>
          </c:val>
          <c:smooth val="0"/>
        </c:ser>
        <c:dLbls>
          <c:showLegendKey val="0"/>
          <c:showVal val="0"/>
          <c:showCatName val="0"/>
          <c:showSerName val="0"/>
          <c:showPercent val="0"/>
          <c:showBubbleSize val="0"/>
        </c:dLbls>
        <c:marker val="1"/>
        <c:smooth val="0"/>
        <c:axId val="175537152"/>
        <c:axId val="175551232"/>
      </c:lineChart>
      <c:catAx>
        <c:axId val="175537152"/>
        <c:scaling>
          <c:orientation val="minMax"/>
        </c:scaling>
        <c:delete val="0"/>
        <c:axPos val="b"/>
        <c:numFmt formatCode="General" sourceLinked="0"/>
        <c:majorTickMark val="none"/>
        <c:minorTickMark val="none"/>
        <c:tickLblPos val="nextTo"/>
        <c:crossAx val="175551232"/>
        <c:crosses val="autoZero"/>
        <c:auto val="1"/>
        <c:lblAlgn val="ctr"/>
        <c:lblOffset val="100"/>
        <c:noMultiLvlLbl val="0"/>
      </c:catAx>
      <c:valAx>
        <c:axId val="175551232"/>
        <c:scaling>
          <c:orientation val="minMax"/>
          <c:max val="1"/>
          <c:min val="0.93"/>
        </c:scaling>
        <c:delete val="0"/>
        <c:axPos val="l"/>
        <c:majorGridlines/>
        <c:numFmt formatCode="0%" sourceLinked="0"/>
        <c:majorTickMark val="none"/>
        <c:minorTickMark val="none"/>
        <c:tickLblPos val="nextTo"/>
        <c:spPr>
          <a:ln w="9525">
            <a:solidFill>
              <a:schemeClr val="bg1">
                <a:lumMod val="65000"/>
              </a:schemeClr>
            </a:solidFill>
          </a:ln>
        </c:spPr>
        <c:crossAx val="175537152"/>
        <c:crosses val="autoZero"/>
        <c:crossBetween val="between"/>
      </c:valAx>
    </c:plotArea>
    <c:legend>
      <c:legendPos val="b"/>
      <c:overlay val="0"/>
    </c:legend>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Mean</a:t>
            </a:r>
            <a:r>
              <a:rPr lang="en-US" sz="1400" baseline="0"/>
              <a:t> life expectancy</a:t>
            </a:r>
            <a:endParaRPr lang="en-US" sz="1400"/>
          </a:p>
        </c:rich>
      </c:tx>
      <c:overlay val="0"/>
    </c:title>
    <c:autoTitleDeleted val="0"/>
    <c:plotArea>
      <c:layout/>
      <c:lineChart>
        <c:grouping val="standard"/>
        <c:varyColors val="0"/>
        <c:ser>
          <c:idx val="0"/>
          <c:order val="0"/>
          <c:tx>
            <c:v>Elective and day cases</c:v>
          </c:tx>
          <c:cat>
            <c:strLit>
              <c:ptCount val="15"/>
              <c:pt idx="0">
                <c:v>1998/99</c:v>
              </c:pt>
              <c:pt idx="1">
                <c:v>1999/00</c:v>
              </c:pt>
              <c:pt idx="2">
                <c:v>2000/01</c:v>
              </c:pt>
              <c:pt idx="3">
                <c:v>2001/02</c:v>
              </c:pt>
              <c:pt idx="4">
                <c:v>2002/03</c:v>
              </c:pt>
              <c:pt idx="5">
                <c:v>2003/04</c:v>
              </c:pt>
              <c:pt idx="6">
                <c:v>2003/04</c:v>
              </c:pt>
              <c:pt idx="7">
                <c:v>2004/05</c:v>
              </c:pt>
              <c:pt idx="8">
                <c:v>2005/06</c:v>
              </c:pt>
              <c:pt idx="9">
                <c:v>2006/07</c:v>
              </c:pt>
              <c:pt idx="10">
                <c:v>2007/08</c:v>
              </c:pt>
              <c:pt idx="11">
                <c:v>2008/09</c:v>
              </c:pt>
              <c:pt idx="12">
                <c:v>2009/10</c:v>
              </c:pt>
              <c:pt idx="13">
                <c:v>20010/11</c:v>
              </c:pt>
              <c:pt idx="14">
                <c:v>20011/12</c:v>
              </c:pt>
            </c:strLit>
          </c:cat>
          <c:val>
            <c:numLit>
              <c:formatCode>General</c:formatCode>
              <c:ptCount val="15"/>
              <c:pt idx="0">
                <c:v>25.311743839819581</c:v>
              </c:pt>
              <c:pt idx="1">
                <c:v>24.835254072157774</c:v>
              </c:pt>
              <c:pt idx="2">
                <c:v>24.393908901190443</c:v>
              </c:pt>
              <c:pt idx="3">
                <c:v>24.160071730032158</c:v>
              </c:pt>
              <c:pt idx="4">
                <c:v>23.958833186583924</c:v>
              </c:pt>
              <c:pt idx="5">
                <c:v>23.652542243951576</c:v>
              </c:pt>
              <c:pt idx="6">
                <c:v>23.544394482986274</c:v>
              </c:pt>
              <c:pt idx="7">
                <c:v>23.74540709792992</c:v>
              </c:pt>
              <c:pt idx="8">
                <c:v>23.651527511178436</c:v>
              </c:pt>
              <c:pt idx="9">
                <c:v>23.592054258827048</c:v>
              </c:pt>
              <c:pt idx="10">
                <c:v>23.156540730776801</c:v>
              </c:pt>
              <c:pt idx="11">
                <c:v>23.2</c:v>
              </c:pt>
              <c:pt idx="12">
                <c:v>23.4</c:v>
              </c:pt>
              <c:pt idx="13">
                <c:v>23.4</c:v>
              </c:pt>
              <c:pt idx="14">
                <c:v>23.3</c:v>
              </c:pt>
            </c:numLit>
          </c:val>
          <c:smooth val="0"/>
        </c:ser>
        <c:ser>
          <c:idx val="1"/>
          <c:order val="1"/>
          <c:tx>
            <c:v>Non-electives</c:v>
          </c:tx>
          <c:spPr>
            <a:ln>
              <a:prstDash val="dash"/>
            </a:ln>
          </c:spPr>
          <c:marker>
            <c:symbol val="square"/>
            <c:size val="5"/>
          </c:marker>
          <c:cat>
            <c:strLit>
              <c:ptCount val="15"/>
              <c:pt idx="0">
                <c:v>1998/99</c:v>
              </c:pt>
              <c:pt idx="1">
                <c:v>1999/00</c:v>
              </c:pt>
              <c:pt idx="2">
                <c:v>2000/01</c:v>
              </c:pt>
              <c:pt idx="3">
                <c:v>2001/02</c:v>
              </c:pt>
              <c:pt idx="4">
                <c:v>2002/03</c:v>
              </c:pt>
              <c:pt idx="5">
                <c:v>2003/04</c:v>
              </c:pt>
              <c:pt idx="6">
                <c:v>2003/04</c:v>
              </c:pt>
              <c:pt idx="7">
                <c:v>2004/05</c:v>
              </c:pt>
              <c:pt idx="8">
                <c:v>2005/06</c:v>
              </c:pt>
              <c:pt idx="9">
                <c:v>2006/07</c:v>
              </c:pt>
              <c:pt idx="10">
                <c:v>2007/08</c:v>
              </c:pt>
              <c:pt idx="11">
                <c:v>2008/09</c:v>
              </c:pt>
              <c:pt idx="12">
                <c:v>2009/10</c:v>
              </c:pt>
              <c:pt idx="13">
                <c:v>20010/11</c:v>
              </c:pt>
              <c:pt idx="14">
                <c:v>20011/12</c:v>
              </c:pt>
            </c:strLit>
          </c:cat>
          <c:val>
            <c:numLit>
              <c:formatCode>General</c:formatCode>
              <c:ptCount val="15"/>
              <c:pt idx="0">
                <c:v>33.456565546794295</c:v>
              </c:pt>
              <c:pt idx="1">
                <c:v>33.885491759478342</c:v>
              </c:pt>
              <c:pt idx="2">
                <c:v>33.646748229643443</c:v>
              </c:pt>
              <c:pt idx="3">
                <c:v>33.631944570558957</c:v>
              </c:pt>
              <c:pt idx="4">
                <c:v>32.812823750123755</c:v>
              </c:pt>
              <c:pt idx="5">
                <c:v>32.448659204893154</c:v>
              </c:pt>
              <c:pt idx="6">
                <c:v>33.824360604467714</c:v>
              </c:pt>
              <c:pt idx="7">
                <c:v>34.1</c:v>
              </c:pt>
              <c:pt idx="8">
                <c:v>34.300000000000004</c:v>
              </c:pt>
              <c:pt idx="9">
                <c:v>34.6</c:v>
              </c:pt>
              <c:pt idx="10">
                <c:v>34.700000000000003</c:v>
              </c:pt>
              <c:pt idx="11">
                <c:v>34.4</c:v>
              </c:pt>
              <c:pt idx="12">
                <c:v>34.6</c:v>
              </c:pt>
              <c:pt idx="13">
                <c:v>34.800000000000004</c:v>
              </c:pt>
              <c:pt idx="14">
                <c:v>34.700000000000003</c:v>
              </c:pt>
            </c:numLit>
          </c:val>
          <c:smooth val="0"/>
        </c:ser>
        <c:dLbls>
          <c:showLegendKey val="0"/>
          <c:showVal val="0"/>
          <c:showCatName val="0"/>
          <c:showSerName val="0"/>
          <c:showPercent val="0"/>
          <c:showBubbleSize val="0"/>
        </c:dLbls>
        <c:marker val="1"/>
        <c:smooth val="0"/>
        <c:axId val="175248896"/>
        <c:axId val="175250432"/>
      </c:lineChart>
      <c:catAx>
        <c:axId val="175248896"/>
        <c:scaling>
          <c:orientation val="minMax"/>
        </c:scaling>
        <c:delete val="0"/>
        <c:axPos val="b"/>
        <c:numFmt formatCode="General" sourceLinked="0"/>
        <c:majorTickMark val="none"/>
        <c:minorTickMark val="none"/>
        <c:tickLblPos val="nextTo"/>
        <c:crossAx val="175250432"/>
        <c:crosses val="autoZero"/>
        <c:auto val="1"/>
        <c:lblAlgn val="ctr"/>
        <c:lblOffset val="100"/>
        <c:noMultiLvlLbl val="0"/>
      </c:catAx>
      <c:valAx>
        <c:axId val="175250432"/>
        <c:scaling>
          <c:orientation val="minMax"/>
        </c:scaling>
        <c:delete val="0"/>
        <c:axPos val="l"/>
        <c:majorGridlines/>
        <c:numFmt formatCode="General" sourceLinked="1"/>
        <c:majorTickMark val="none"/>
        <c:minorTickMark val="none"/>
        <c:tickLblPos val="nextTo"/>
        <c:spPr>
          <a:ln w="9525">
            <a:noFill/>
          </a:ln>
        </c:spPr>
        <c:crossAx val="175248896"/>
        <c:crosses val="autoZero"/>
        <c:crossBetween val="between"/>
      </c:valAx>
    </c:plotArea>
    <c:legend>
      <c:legendPos val="b"/>
      <c:overlay val="0"/>
    </c:legend>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t>Hospital</a:t>
            </a:r>
            <a:r>
              <a:rPr lang="en-US" sz="1400" baseline="0"/>
              <a:t> Inpatient 80th percentile waiting time</a:t>
            </a:r>
            <a:endParaRPr lang="en-US" sz="1400"/>
          </a:p>
        </c:rich>
      </c:tx>
      <c:overlay val="0"/>
    </c:title>
    <c:autoTitleDeleted val="0"/>
    <c:plotArea>
      <c:layout>
        <c:manualLayout>
          <c:layoutTarget val="inner"/>
          <c:xMode val="edge"/>
          <c:yMode val="edge"/>
          <c:x val="7.2608836682887659E-2"/>
          <c:y val="0.21877056351562621"/>
          <c:w val="0.90161495249021861"/>
          <c:h val="0.58705276594523792"/>
        </c:manualLayout>
      </c:layout>
      <c:lineChart>
        <c:grouping val="standard"/>
        <c:varyColors val="0"/>
        <c:ser>
          <c:idx val="0"/>
          <c:order val="0"/>
          <c:tx>
            <c:v>80th percentile waiting times</c:v>
          </c:tx>
          <c:cat>
            <c:strLit>
              <c:ptCount val="14"/>
              <c:pt idx="0">
                <c:v>1998/99</c:v>
              </c:pt>
              <c:pt idx="1">
                <c:v>1999/00</c:v>
              </c:pt>
              <c:pt idx="2">
                <c:v>2000/01</c:v>
              </c:pt>
              <c:pt idx="3">
                <c:v>2001/02</c:v>
              </c:pt>
              <c:pt idx="4">
                <c:v>2002/03</c:v>
              </c:pt>
              <c:pt idx="5">
                <c:v>2003/04</c:v>
              </c:pt>
              <c:pt idx="6">
                <c:v>2004/05</c:v>
              </c:pt>
              <c:pt idx="7">
                <c:v>2005/06</c:v>
              </c:pt>
              <c:pt idx="8">
                <c:v>2006/07</c:v>
              </c:pt>
              <c:pt idx="9">
                <c:v>2007/08</c:v>
              </c:pt>
              <c:pt idx="10">
                <c:v>2008/09</c:v>
              </c:pt>
              <c:pt idx="11">
                <c:v>2009/10</c:v>
              </c:pt>
              <c:pt idx="12">
                <c:v>20010/11</c:v>
              </c:pt>
              <c:pt idx="13">
                <c:v>20011/12</c:v>
              </c:pt>
            </c:strLit>
          </c:cat>
          <c:val>
            <c:numLit>
              <c:formatCode>General</c:formatCode>
              <c:ptCount val="6"/>
              <c:pt idx="0">
                <c:v>88.72349903633355</c:v>
              </c:pt>
              <c:pt idx="1">
                <c:v>80.778152493315716</c:v>
              </c:pt>
              <c:pt idx="2">
                <c:v>82.304893177015529</c:v>
              </c:pt>
              <c:pt idx="3">
                <c:v>85.237862415005466</c:v>
              </c:pt>
              <c:pt idx="4">
                <c:v>88.498913740756933</c:v>
              </c:pt>
              <c:pt idx="5">
                <c:v>85.907327267949029</c:v>
              </c:pt>
            </c:numLit>
          </c:val>
          <c:smooth val="0"/>
        </c:ser>
        <c:ser>
          <c:idx val="1"/>
          <c:order val="1"/>
          <c:spPr>
            <a:ln>
              <a:solidFill>
                <a:schemeClr val="accent1"/>
              </a:solidFill>
            </a:ln>
          </c:spPr>
          <c:marker>
            <c:symbol val="diamond"/>
            <c:size val="7"/>
            <c:spPr>
              <a:solidFill>
                <a:schemeClr val="accent1"/>
              </a:solidFill>
              <a:ln>
                <a:solidFill>
                  <a:schemeClr val="accent1"/>
                </a:solidFill>
              </a:ln>
            </c:spPr>
          </c:marker>
          <c:cat>
            <c:strLit>
              <c:ptCount val="14"/>
              <c:pt idx="0">
                <c:v>1998/99</c:v>
              </c:pt>
              <c:pt idx="1">
                <c:v>1999/00</c:v>
              </c:pt>
              <c:pt idx="2">
                <c:v>2000/01</c:v>
              </c:pt>
              <c:pt idx="3">
                <c:v>2001/02</c:v>
              </c:pt>
              <c:pt idx="4">
                <c:v>2002/03</c:v>
              </c:pt>
              <c:pt idx="5">
                <c:v>2003/04</c:v>
              </c:pt>
              <c:pt idx="6">
                <c:v>2004/05</c:v>
              </c:pt>
              <c:pt idx="7">
                <c:v>2005/06</c:v>
              </c:pt>
              <c:pt idx="8">
                <c:v>2006/07</c:v>
              </c:pt>
              <c:pt idx="9">
                <c:v>2007/08</c:v>
              </c:pt>
              <c:pt idx="10">
                <c:v>2008/09</c:v>
              </c:pt>
              <c:pt idx="11">
                <c:v>2009/10</c:v>
              </c:pt>
              <c:pt idx="12">
                <c:v>20010/11</c:v>
              </c:pt>
              <c:pt idx="13">
                <c:v>20011/12</c:v>
              </c:pt>
            </c:strLit>
          </c:cat>
          <c:val>
            <c:numLit>
              <c:formatCode>General</c:formatCode>
              <c:ptCount val="14"/>
              <c:pt idx="5">
                <c:v>118.76313325009269</c:v>
              </c:pt>
              <c:pt idx="6">
                <c:v>104</c:v>
              </c:pt>
              <c:pt idx="7">
                <c:v>95</c:v>
              </c:pt>
              <c:pt idx="8">
                <c:v>89</c:v>
              </c:pt>
              <c:pt idx="9">
                <c:v>74</c:v>
              </c:pt>
              <c:pt idx="10">
                <c:v>60</c:v>
              </c:pt>
              <c:pt idx="11">
                <c:v>65</c:v>
              </c:pt>
              <c:pt idx="12">
                <c:v>76</c:v>
              </c:pt>
              <c:pt idx="13">
                <c:v>85</c:v>
              </c:pt>
            </c:numLit>
          </c:val>
          <c:smooth val="0"/>
        </c:ser>
        <c:dLbls>
          <c:showLegendKey val="0"/>
          <c:showVal val="0"/>
          <c:showCatName val="0"/>
          <c:showSerName val="0"/>
          <c:showPercent val="0"/>
          <c:showBubbleSize val="0"/>
        </c:dLbls>
        <c:marker val="1"/>
        <c:smooth val="0"/>
        <c:axId val="175267200"/>
        <c:axId val="175281664"/>
      </c:lineChart>
      <c:catAx>
        <c:axId val="175267200"/>
        <c:scaling>
          <c:orientation val="minMax"/>
        </c:scaling>
        <c:delete val="0"/>
        <c:axPos val="b"/>
        <c:numFmt formatCode="General" sourceLinked="0"/>
        <c:majorTickMark val="out"/>
        <c:minorTickMark val="none"/>
        <c:tickLblPos val="nextTo"/>
        <c:crossAx val="175281664"/>
        <c:crosses val="autoZero"/>
        <c:auto val="1"/>
        <c:lblAlgn val="ctr"/>
        <c:lblOffset val="100"/>
        <c:noMultiLvlLbl val="0"/>
      </c:catAx>
      <c:valAx>
        <c:axId val="175281664"/>
        <c:scaling>
          <c:orientation val="minMax"/>
        </c:scaling>
        <c:delete val="0"/>
        <c:axPos val="l"/>
        <c:majorGridlines/>
        <c:numFmt formatCode="General" sourceLinked="1"/>
        <c:majorTickMark val="out"/>
        <c:minorTickMark val="none"/>
        <c:tickLblPos val="nextTo"/>
        <c:crossAx val="175267200"/>
        <c:crosses val="autoZero"/>
        <c:crossBetween val="between"/>
      </c:valAx>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599042766712887E-2"/>
          <c:y val="4.6194202809414373E-2"/>
          <c:w val="0.88957089187380989"/>
          <c:h val="0.7615774014124117"/>
        </c:manualLayout>
      </c:layout>
      <c:lineChart>
        <c:grouping val="standard"/>
        <c:varyColors val="0"/>
        <c:ser>
          <c:idx val="0"/>
          <c:order val="0"/>
          <c:tx>
            <c:v>Total Px</c:v>
          </c:tx>
          <c:spPr>
            <a:ln w="22225" cap="rnd" cmpd="sng" algn="ctr">
              <a:solidFill>
                <a:schemeClr val="accent1"/>
              </a:solidFill>
              <a:round/>
            </a:ln>
            <a:effectLst/>
          </c:spPr>
          <c:marker>
            <c:symbol val="none"/>
          </c:marker>
          <c:cat>
            <c:strRef>
              <c:f>Sheet1!$I$19:$I$33</c:f>
              <c:strCache>
                <c:ptCount val="15"/>
                <c:pt idx="0">
                  <c:v>1997/98</c:v>
                </c:pt>
                <c:pt idx="1">
                  <c:v>1998/99</c:v>
                </c:pt>
                <c:pt idx="2">
                  <c:v>1999/00</c:v>
                </c:pt>
                <c:pt idx="3">
                  <c:v>2000/01</c:v>
                </c:pt>
                <c:pt idx="4">
                  <c:v>2001/02</c:v>
                </c:pt>
                <c:pt idx="5">
                  <c:v>2002/03</c:v>
                </c:pt>
                <c:pt idx="6">
                  <c:v>2003/04</c:v>
                </c:pt>
                <c:pt idx="7">
                  <c:v>2004/05</c:v>
                </c:pt>
                <c:pt idx="8">
                  <c:v>2005/06</c:v>
                </c:pt>
                <c:pt idx="9">
                  <c:v>2006/07</c:v>
                </c:pt>
                <c:pt idx="10">
                  <c:v>2007/08</c:v>
                </c:pt>
                <c:pt idx="11">
                  <c:v>2008/09</c:v>
                </c:pt>
                <c:pt idx="12">
                  <c:v>2009/10</c:v>
                </c:pt>
                <c:pt idx="13">
                  <c:v>2010/11</c:v>
                </c:pt>
                <c:pt idx="14">
                  <c:v>2011/12</c:v>
                </c:pt>
              </c:strCache>
            </c:strRef>
          </c:cat>
          <c:val>
            <c:numRef>
              <c:f>Sheet1!$J$19:$J$33</c:f>
              <c:numCache>
                <c:formatCode>General</c:formatCode>
                <c:ptCount val="15"/>
                <c:pt idx="0">
                  <c:v>1</c:v>
                </c:pt>
                <c:pt idx="1">
                  <c:v>1.023324224589788</c:v>
                </c:pt>
                <c:pt idx="2">
                  <c:v>1.0585586496087509</c:v>
                </c:pt>
                <c:pt idx="3">
                  <c:v>1.112571843239692</c:v>
                </c:pt>
                <c:pt idx="4">
                  <c:v>1.17301551753986</c:v>
                </c:pt>
                <c:pt idx="5">
                  <c:v>1.2374466489418736</c:v>
                </c:pt>
                <c:pt idx="6">
                  <c:v>1.3068485526330527</c:v>
                </c:pt>
                <c:pt idx="7">
                  <c:v>1.3713561328796502</c:v>
                </c:pt>
                <c:pt idx="8">
                  <c:v>1.4527360032504018</c:v>
                </c:pt>
                <c:pt idx="9">
                  <c:v>1.5114407428078436</c:v>
                </c:pt>
                <c:pt idx="10">
                  <c:v>1.5920344786944784</c:v>
                </c:pt>
                <c:pt idx="11">
                  <c:v>1.6895132838349889</c:v>
                </c:pt>
                <c:pt idx="12">
                  <c:v>1.779183347059436</c:v>
                </c:pt>
                <c:pt idx="13">
                  <c:v>1.8565091950941675</c:v>
                </c:pt>
                <c:pt idx="14">
                  <c:v>1.9291205530360231</c:v>
                </c:pt>
              </c:numCache>
            </c:numRef>
          </c:val>
          <c:smooth val="0"/>
        </c:ser>
        <c:ser>
          <c:idx val="1"/>
          <c:order val="1"/>
          <c:tx>
            <c:v>Total Qty</c:v>
          </c:tx>
          <c:spPr>
            <a:ln w="22225" cap="rnd" cmpd="sng" algn="ctr">
              <a:solidFill>
                <a:schemeClr val="accent2"/>
              </a:solidFill>
              <a:round/>
            </a:ln>
            <a:effectLst/>
          </c:spPr>
          <c:marker>
            <c:symbol val="none"/>
          </c:marker>
          <c:cat>
            <c:strRef>
              <c:f>Sheet1!$I$19:$I$33</c:f>
              <c:strCache>
                <c:ptCount val="15"/>
                <c:pt idx="0">
                  <c:v>1997/98</c:v>
                </c:pt>
                <c:pt idx="1">
                  <c:v>1998/99</c:v>
                </c:pt>
                <c:pt idx="2">
                  <c:v>1999/00</c:v>
                </c:pt>
                <c:pt idx="3">
                  <c:v>2000/01</c:v>
                </c:pt>
                <c:pt idx="4">
                  <c:v>2001/02</c:v>
                </c:pt>
                <c:pt idx="5">
                  <c:v>2002/03</c:v>
                </c:pt>
                <c:pt idx="6">
                  <c:v>2003/04</c:v>
                </c:pt>
                <c:pt idx="7">
                  <c:v>2004/05</c:v>
                </c:pt>
                <c:pt idx="8">
                  <c:v>2005/06</c:v>
                </c:pt>
                <c:pt idx="9">
                  <c:v>2006/07</c:v>
                </c:pt>
                <c:pt idx="10">
                  <c:v>2007/08</c:v>
                </c:pt>
                <c:pt idx="11">
                  <c:v>2008/09</c:v>
                </c:pt>
                <c:pt idx="12">
                  <c:v>2009/10</c:v>
                </c:pt>
                <c:pt idx="13">
                  <c:v>2010/11</c:v>
                </c:pt>
                <c:pt idx="14">
                  <c:v>2011/12</c:v>
                </c:pt>
              </c:strCache>
            </c:strRef>
          </c:cat>
          <c:val>
            <c:numRef>
              <c:f>Sheet1!$K$19:$K$33</c:f>
              <c:numCache>
                <c:formatCode>General</c:formatCode>
                <c:ptCount val="15"/>
                <c:pt idx="0">
                  <c:v>1</c:v>
                </c:pt>
                <c:pt idx="1">
                  <c:v>1.0307195678748273</c:v>
                </c:pt>
                <c:pt idx="2">
                  <c:v>1.062827820236929</c:v>
                </c:pt>
                <c:pt idx="3">
                  <c:v>1.1021759908786963</c:v>
                </c:pt>
                <c:pt idx="4">
                  <c:v>1.1562104355234279</c:v>
                </c:pt>
                <c:pt idx="5">
                  <c:v>1.2061270142314717</c:v>
                </c:pt>
                <c:pt idx="6">
                  <c:v>1.2564036736494106</c:v>
                </c:pt>
                <c:pt idx="7">
                  <c:v>1.3049955235577069</c:v>
                </c:pt>
                <c:pt idx="8">
                  <c:v>1.3748088563825951</c:v>
                </c:pt>
                <c:pt idx="9">
                  <c:v>1.4339145349902362</c:v>
                </c:pt>
                <c:pt idx="10">
                  <c:v>1.4894234791510959</c:v>
                </c:pt>
                <c:pt idx="11">
                  <c:v>1.5764413996955604</c:v>
                </c:pt>
                <c:pt idx="12">
                  <c:v>1.6533873319680974</c:v>
                </c:pt>
                <c:pt idx="13">
                  <c:v>1.7063765567039417</c:v>
                </c:pt>
                <c:pt idx="14">
                  <c:v>1.7148397323600384</c:v>
                </c:pt>
              </c:numCache>
            </c:numRef>
          </c:val>
          <c:smooth val="0"/>
        </c:ser>
        <c:ser>
          <c:idx val="2"/>
          <c:order val="2"/>
          <c:tx>
            <c:v>Total Spend</c:v>
          </c:tx>
          <c:spPr>
            <a:ln w="22225" cap="rnd" cmpd="sng" algn="ctr">
              <a:solidFill>
                <a:schemeClr val="accent3"/>
              </a:solidFill>
              <a:round/>
            </a:ln>
            <a:effectLst/>
          </c:spPr>
          <c:marker>
            <c:symbol val="none"/>
          </c:marker>
          <c:cat>
            <c:strRef>
              <c:f>Sheet1!$I$19:$I$33</c:f>
              <c:strCache>
                <c:ptCount val="15"/>
                <c:pt idx="0">
                  <c:v>1997/98</c:v>
                </c:pt>
                <c:pt idx="1">
                  <c:v>1998/99</c:v>
                </c:pt>
                <c:pt idx="2">
                  <c:v>1999/00</c:v>
                </c:pt>
                <c:pt idx="3">
                  <c:v>2000/01</c:v>
                </c:pt>
                <c:pt idx="4">
                  <c:v>2001/02</c:v>
                </c:pt>
                <c:pt idx="5">
                  <c:v>2002/03</c:v>
                </c:pt>
                <c:pt idx="6">
                  <c:v>2003/04</c:v>
                </c:pt>
                <c:pt idx="7">
                  <c:v>2004/05</c:v>
                </c:pt>
                <c:pt idx="8">
                  <c:v>2005/06</c:v>
                </c:pt>
                <c:pt idx="9">
                  <c:v>2006/07</c:v>
                </c:pt>
                <c:pt idx="10">
                  <c:v>2007/08</c:v>
                </c:pt>
                <c:pt idx="11">
                  <c:v>2008/09</c:v>
                </c:pt>
                <c:pt idx="12">
                  <c:v>2009/10</c:v>
                </c:pt>
                <c:pt idx="13">
                  <c:v>2010/11</c:v>
                </c:pt>
                <c:pt idx="14">
                  <c:v>2011/12</c:v>
                </c:pt>
              </c:strCache>
            </c:strRef>
          </c:cat>
          <c:val>
            <c:numRef>
              <c:f>Sheet1!$L$19:$L$33</c:f>
              <c:numCache>
                <c:formatCode>General</c:formatCode>
                <c:ptCount val="15"/>
                <c:pt idx="0">
                  <c:v>1</c:v>
                </c:pt>
                <c:pt idx="1">
                  <c:v>1.0749407381446441</c:v>
                </c:pt>
                <c:pt idx="2">
                  <c:v>1.2173235390609509</c:v>
                </c:pt>
                <c:pt idx="3">
                  <c:v>1.265731342253501</c:v>
                </c:pt>
                <c:pt idx="4">
                  <c:v>1.40678001954193</c:v>
                </c:pt>
                <c:pt idx="5">
                  <c:v>1.5719561300173344</c:v>
                </c:pt>
                <c:pt idx="6">
                  <c:v>1.7167384954423206</c:v>
                </c:pt>
                <c:pt idx="7">
                  <c:v>1.8128632655669767</c:v>
                </c:pt>
                <c:pt idx="8">
                  <c:v>1.7947906327897318</c:v>
                </c:pt>
                <c:pt idx="9">
                  <c:v>1.8478361560168959</c:v>
                </c:pt>
                <c:pt idx="10">
                  <c:v>1.8597462859389204</c:v>
                </c:pt>
                <c:pt idx="11">
                  <c:v>1.8760432281864994</c:v>
                </c:pt>
                <c:pt idx="12">
                  <c:v>1.9309513040789468</c:v>
                </c:pt>
                <c:pt idx="13">
                  <c:v>1.9890302579009724</c:v>
                </c:pt>
                <c:pt idx="14">
                  <c:v>1.9660126011708923</c:v>
                </c:pt>
              </c:numCache>
            </c:numRef>
          </c:val>
          <c:smooth val="0"/>
        </c:ser>
        <c:ser>
          <c:idx val="3"/>
          <c:order val="3"/>
          <c:tx>
            <c:v>Average price</c:v>
          </c:tx>
          <c:spPr>
            <a:ln w="22225" cap="rnd" cmpd="sng" algn="ctr">
              <a:solidFill>
                <a:schemeClr val="accent4"/>
              </a:solidFill>
              <a:round/>
            </a:ln>
            <a:effectLst/>
          </c:spPr>
          <c:marker>
            <c:symbol val="none"/>
          </c:marker>
          <c:val>
            <c:numRef>
              <c:f>Sheet1!$M$19:$M$33</c:f>
              <c:numCache>
                <c:formatCode>General</c:formatCode>
                <c:ptCount val="15"/>
                <c:pt idx="0">
                  <c:v>1</c:v>
                </c:pt>
                <c:pt idx="1">
                  <c:v>1.0504400387624431</c:v>
                </c:pt>
                <c:pt idx="2">
                  <c:v>1.1499821379862898</c:v>
                </c:pt>
                <c:pt idx="3">
                  <c:v>1.1376625697876954</c:v>
                </c:pt>
                <c:pt idx="4">
                  <c:v>1.1992850891626219</c:v>
                </c:pt>
                <c:pt idx="5">
                  <c:v>1.2703223459059796</c:v>
                </c:pt>
                <c:pt idx="6">
                  <c:v>1.3136476235011449</c:v>
                </c:pt>
                <c:pt idx="7">
                  <c:v>1.3219492895402927</c:v>
                </c:pt>
                <c:pt idx="8">
                  <c:v>1.2354554638791944</c:v>
                </c:pt>
                <c:pt idx="9">
                  <c:v>1.2225660614283305</c:v>
                </c:pt>
                <c:pt idx="10">
                  <c:v>1.1681570410861795</c:v>
                </c:pt>
                <c:pt idx="11">
                  <c:v>1.1104045443952417</c:v>
                </c:pt>
                <c:pt idx="12">
                  <c:v>1.0853020332448293</c:v>
                </c:pt>
                <c:pt idx="13">
                  <c:v>1.0713818510336455</c:v>
                </c:pt>
                <c:pt idx="14">
                  <c:v>1.019123765011372</c:v>
                </c:pt>
              </c:numCache>
            </c:numRef>
          </c:val>
          <c:smooth val="0"/>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marker val="1"/>
        <c:smooth val="0"/>
        <c:axId val="151458176"/>
        <c:axId val="151459712"/>
      </c:lineChart>
      <c:catAx>
        <c:axId val="151458176"/>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solidFill>
                <a:latin typeface="+mn-lt"/>
                <a:ea typeface="+mn-ea"/>
                <a:cs typeface="+mn-cs"/>
              </a:defRPr>
            </a:pPr>
            <a:endParaRPr lang="en-US"/>
          </a:p>
        </c:txPr>
        <c:crossAx val="151459712"/>
        <c:crosses val="autoZero"/>
        <c:auto val="1"/>
        <c:lblAlgn val="ctr"/>
        <c:lblOffset val="100"/>
        <c:noMultiLvlLbl val="0"/>
      </c:catAx>
      <c:valAx>
        <c:axId val="151459712"/>
        <c:scaling>
          <c:orientation val="minMax"/>
          <c:min val="0.8"/>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solidFill>
                <a:latin typeface="+mn-lt"/>
                <a:ea typeface="+mn-ea"/>
                <a:cs typeface="+mn-cs"/>
              </a:defRPr>
            </a:pPr>
            <a:endParaRPr lang="en-US"/>
          </a:p>
        </c:txPr>
        <c:crossAx val="151458176"/>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chemeClr val="dk1"/>
          </a:solidFill>
        </a:defRPr>
      </a:pPr>
      <a:endParaRPr lang="en-US"/>
    </a:p>
  </c:tx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'Hospital new figures_9899_1112'!$A$5</c:f>
              <c:strCache>
                <c:ptCount val="1"/>
                <c:pt idx="0">
                  <c:v>Elective and day cases</c:v>
                </c:pt>
              </c:strCache>
            </c:strRef>
          </c:tx>
          <c:cat>
            <c:strRef>
              <c:f>'Hospital new figures_9899_1112'!$B$4:$S$4</c:f>
              <c:strCache>
                <c:ptCount val="17"/>
                <c:pt idx="0">
                  <c:v>1998/99</c:v>
                </c:pt>
                <c:pt idx="1">
                  <c:v>1999/00</c:v>
                </c:pt>
                <c:pt idx="2">
                  <c:v>2000/01</c:v>
                </c:pt>
                <c:pt idx="3">
                  <c:v>2001/02</c:v>
                </c:pt>
                <c:pt idx="6">
                  <c:v>2002/03</c:v>
                </c:pt>
                <c:pt idx="7">
                  <c:v>2003/04</c:v>
                </c:pt>
                <c:pt idx="8">
                  <c:v>2004/05</c:v>
                </c:pt>
                <c:pt idx="9">
                  <c:v>2005/06</c:v>
                </c:pt>
                <c:pt idx="10">
                  <c:v>2006/07</c:v>
                </c:pt>
                <c:pt idx="12">
                  <c:v>2007/08</c:v>
                </c:pt>
                <c:pt idx="13">
                  <c:v>2008/09</c:v>
                </c:pt>
                <c:pt idx="14">
                  <c:v>2009/10</c:v>
                </c:pt>
                <c:pt idx="15">
                  <c:v>20010/11</c:v>
                </c:pt>
                <c:pt idx="16">
                  <c:v>20011/12</c:v>
                </c:pt>
              </c:strCache>
            </c:strRef>
          </c:cat>
          <c:val>
            <c:numRef>
              <c:f>'Hospital new figures_9899_1112'!$B$7:$S$7</c:f>
              <c:numCache>
                <c:formatCode>0.00%</c:formatCode>
                <c:ptCount val="17"/>
                <c:pt idx="0">
                  <c:v>0.9929278958133021</c:v>
                </c:pt>
                <c:pt idx="1">
                  <c:v>0.99340369088134506</c:v>
                </c:pt>
                <c:pt idx="2">
                  <c:v>0.99376894490859113</c:v>
                </c:pt>
                <c:pt idx="3">
                  <c:v>0.99408281881012039</c:v>
                </c:pt>
                <c:pt idx="6">
                  <c:v>0.99422764515030193</c:v>
                </c:pt>
                <c:pt idx="7">
                  <c:v>0.99357871155267996</c:v>
                </c:pt>
                <c:pt idx="8">
                  <c:v>0.99380000000000002</c:v>
                </c:pt>
                <c:pt idx="9">
                  <c:v>0.99470000000000003</c:v>
                </c:pt>
                <c:pt idx="10">
                  <c:v>0.99509999999999998</c:v>
                </c:pt>
                <c:pt idx="12">
                  <c:v>0.99719999999999998</c:v>
                </c:pt>
                <c:pt idx="13">
                  <c:v>0.99739999999999995</c:v>
                </c:pt>
                <c:pt idx="14">
                  <c:v>0.99760000000000004</c:v>
                </c:pt>
                <c:pt idx="15">
                  <c:v>0.99775999999999998</c:v>
                </c:pt>
                <c:pt idx="16">
                  <c:v>0.99783999999999995</c:v>
                </c:pt>
              </c:numCache>
            </c:numRef>
          </c:val>
          <c:smooth val="0"/>
        </c:ser>
        <c:ser>
          <c:idx val="1"/>
          <c:order val="1"/>
          <c:tx>
            <c:strRef>
              <c:f>'Hospital new figures_9899_1112'!$A$13</c:f>
              <c:strCache>
                <c:ptCount val="1"/>
                <c:pt idx="0">
                  <c:v>Non-electives</c:v>
                </c:pt>
              </c:strCache>
            </c:strRef>
          </c:tx>
          <c:spPr>
            <a:ln>
              <a:prstDash val="sysDash"/>
            </a:ln>
          </c:spPr>
          <c:marker>
            <c:symbol val="circle"/>
            <c:size val="5"/>
          </c:marker>
          <c:cat>
            <c:strRef>
              <c:f>'Hospital new figures_9899_1112'!$B$4:$S$4</c:f>
              <c:strCache>
                <c:ptCount val="17"/>
                <c:pt idx="0">
                  <c:v>1998/99</c:v>
                </c:pt>
                <c:pt idx="1">
                  <c:v>1999/00</c:v>
                </c:pt>
                <c:pt idx="2">
                  <c:v>2000/01</c:v>
                </c:pt>
                <c:pt idx="3">
                  <c:v>2001/02</c:v>
                </c:pt>
                <c:pt idx="6">
                  <c:v>2002/03</c:v>
                </c:pt>
                <c:pt idx="7">
                  <c:v>2003/04</c:v>
                </c:pt>
                <c:pt idx="8">
                  <c:v>2004/05</c:v>
                </c:pt>
                <c:pt idx="9">
                  <c:v>2005/06</c:v>
                </c:pt>
                <c:pt idx="10">
                  <c:v>2006/07</c:v>
                </c:pt>
                <c:pt idx="12">
                  <c:v>2007/08</c:v>
                </c:pt>
                <c:pt idx="13">
                  <c:v>2008/09</c:v>
                </c:pt>
                <c:pt idx="14">
                  <c:v>2009/10</c:v>
                </c:pt>
                <c:pt idx="15">
                  <c:v>20010/11</c:v>
                </c:pt>
                <c:pt idx="16">
                  <c:v>20011/12</c:v>
                </c:pt>
              </c:strCache>
            </c:strRef>
          </c:cat>
          <c:val>
            <c:numRef>
              <c:f>'Hospital new figures_9899_1112'!$B$15:$S$15</c:f>
              <c:numCache>
                <c:formatCode>0.00%</c:formatCode>
                <c:ptCount val="17"/>
                <c:pt idx="0">
                  <c:v>0.94722776226359906</c:v>
                </c:pt>
                <c:pt idx="1">
                  <c:v>0.94623189893312132</c:v>
                </c:pt>
                <c:pt idx="2">
                  <c:v>0.94831173068293295</c:v>
                </c:pt>
                <c:pt idx="3">
                  <c:v>0.94734145131765835</c:v>
                </c:pt>
                <c:pt idx="6">
                  <c:v>0.95023673565733124</c:v>
                </c:pt>
                <c:pt idx="7">
                  <c:v>0.9491543842159873</c:v>
                </c:pt>
                <c:pt idx="8">
                  <c:v>0.9516</c:v>
                </c:pt>
                <c:pt idx="9">
                  <c:v>0.95489999999999997</c:v>
                </c:pt>
                <c:pt idx="10">
                  <c:v>0.95650000000000002</c:v>
                </c:pt>
                <c:pt idx="12">
                  <c:v>0.95789999999999997</c:v>
                </c:pt>
                <c:pt idx="13">
                  <c:v>0.95850000000000002</c:v>
                </c:pt>
                <c:pt idx="14">
                  <c:v>0.9607</c:v>
                </c:pt>
                <c:pt idx="15">
                  <c:v>0.96050000000000002</c:v>
                </c:pt>
                <c:pt idx="16">
                  <c:v>0.96120000000000005</c:v>
                </c:pt>
              </c:numCache>
            </c:numRef>
          </c:val>
          <c:smooth val="0"/>
        </c:ser>
        <c:dLbls>
          <c:showLegendKey val="0"/>
          <c:showVal val="0"/>
          <c:showCatName val="0"/>
          <c:showSerName val="0"/>
          <c:showPercent val="0"/>
          <c:showBubbleSize val="0"/>
        </c:dLbls>
        <c:marker val="1"/>
        <c:smooth val="0"/>
        <c:axId val="108028288"/>
        <c:axId val="108029824"/>
      </c:lineChart>
      <c:catAx>
        <c:axId val="108028288"/>
        <c:scaling>
          <c:orientation val="minMax"/>
        </c:scaling>
        <c:delete val="0"/>
        <c:axPos val="b"/>
        <c:numFmt formatCode="General" sourceLinked="1"/>
        <c:majorTickMark val="out"/>
        <c:minorTickMark val="none"/>
        <c:tickLblPos val="nextTo"/>
        <c:txPr>
          <a:bodyPr/>
          <a:lstStyle/>
          <a:p>
            <a:pPr>
              <a:defRPr sz="900"/>
            </a:pPr>
            <a:endParaRPr lang="en-US"/>
          </a:p>
        </c:txPr>
        <c:crossAx val="108029824"/>
        <c:crosses val="autoZero"/>
        <c:auto val="1"/>
        <c:lblAlgn val="ctr"/>
        <c:lblOffset val="100"/>
        <c:noMultiLvlLbl val="0"/>
      </c:catAx>
      <c:valAx>
        <c:axId val="108029824"/>
        <c:scaling>
          <c:orientation val="minMax"/>
          <c:min val="0.93"/>
        </c:scaling>
        <c:delete val="0"/>
        <c:axPos val="l"/>
        <c:majorGridlines/>
        <c:numFmt formatCode="0%" sourceLinked="0"/>
        <c:majorTickMark val="out"/>
        <c:minorTickMark val="none"/>
        <c:tickLblPos val="nextTo"/>
        <c:txPr>
          <a:bodyPr/>
          <a:lstStyle/>
          <a:p>
            <a:pPr>
              <a:defRPr sz="900"/>
            </a:pPr>
            <a:endParaRPr lang="en-US"/>
          </a:p>
        </c:txPr>
        <c:crossAx val="108028288"/>
        <c:crosses val="autoZero"/>
        <c:crossBetween val="between"/>
      </c:valAx>
    </c:plotArea>
    <c:legend>
      <c:legendPos val="t"/>
      <c:overlay val="0"/>
    </c:legend>
    <c:plotVisOnly val="1"/>
    <c:dispBlanksAs val="gap"/>
    <c:showDLblsOverMax val="0"/>
  </c:chart>
  <c:printSettings>
    <c:headerFooter/>
    <c:pageMargins b="0.75000000000000056" l="0.70000000000000051" r="0.70000000000000051" t="0.75000000000000056" header="0.30000000000000027" footer="0.30000000000000027"/>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NHS Staff - Constant</c:v>
          </c:tx>
          <c:invertIfNegative val="0"/>
          <c:val>
            <c:numRef>
              <c:f>Deflators!$D$26:$J$26</c:f>
              <c:numCache>
                <c:formatCode>General</c:formatCode>
                <c:ptCount val="7"/>
                <c:pt idx="0">
                  <c:v>31334252.480110005</c:v>
                </c:pt>
                <c:pt idx="1">
                  <c:v>33926746.314999998</c:v>
                </c:pt>
                <c:pt idx="2">
                  <c:v>35177509.125</c:v>
                </c:pt>
                <c:pt idx="3">
                  <c:v>36539983.701629996</c:v>
                </c:pt>
                <c:pt idx="4">
                  <c:v>39213453.649081036</c:v>
                </c:pt>
                <c:pt idx="5">
                  <c:v>42145100.102129996</c:v>
                </c:pt>
                <c:pt idx="6">
                  <c:v>43513839</c:v>
                </c:pt>
              </c:numCache>
            </c:numRef>
          </c:val>
        </c:ser>
        <c:ser>
          <c:idx val="1"/>
          <c:order val="1"/>
          <c:tx>
            <c:v>NHS Staff - Current</c:v>
          </c:tx>
          <c:invertIfNegative val="0"/>
          <c:val>
            <c:numRef>
              <c:f>Deflators!$D$39:$J$39</c:f>
              <c:numCache>
                <c:formatCode>General</c:formatCode>
                <c:ptCount val="7"/>
                <c:pt idx="0">
                  <c:v>38212088</c:v>
                </c:pt>
                <c:pt idx="1">
                  <c:v>39516362</c:v>
                </c:pt>
                <c:pt idx="2">
                  <c:v>39359457</c:v>
                </c:pt>
                <c:pt idx="3">
                  <c:v>39525586</c:v>
                </c:pt>
                <c:pt idx="4">
                  <c:v>41200614</c:v>
                </c:pt>
                <c:pt idx="5">
                  <c:v>43406879</c:v>
                </c:pt>
                <c:pt idx="6">
                  <c:v>43513839</c:v>
                </c:pt>
              </c:numCache>
            </c:numRef>
          </c:val>
        </c:ser>
        <c:ser>
          <c:idx val="2"/>
          <c:order val="2"/>
          <c:tx>
            <c:v>Agency staff - current</c:v>
          </c:tx>
          <c:invertIfNegative val="0"/>
          <c:val>
            <c:numRef>
              <c:f>Deflators!$D$27:$J$27</c:f>
              <c:numCache>
                <c:formatCode>General</c:formatCode>
                <c:ptCount val="7"/>
                <c:pt idx="0">
                  <c:v>1557282.4487299998</c:v>
                </c:pt>
                <c:pt idx="1">
                  <c:v>1459935.5</c:v>
                </c:pt>
                <c:pt idx="2">
                  <c:v>1185244</c:v>
                </c:pt>
                <c:pt idx="3">
                  <c:v>1354520.29837</c:v>
                </c:pt>
                <c:pt idx="4">
                  <c:v>1895451.8837600001</c:v>
                </c:pt>
                <c:pt idx="5">
                  <c:v>2195295.3909299998</c:v>
                </c:pt>
                <c:pt idx="6">
                  <c:v>2127889</c:v>
                </c:pt>
              </c:numCache>
            </c:numRef>
          </c:val>
        </c:ser>
        <c:ser>
          <c:idx val="3"/>
          <c:order val="3"/>
          <c:tx>
            <c:v>Agency staff - constant</c:v>
          </c:tx>
          <c:invertIfNegative val="0"/>
          <c:val>
            <c:numRef>
              <c:f>Deflators!$D$40:$J$40</c:f>
              <c:numCache>
                <c:formatCode>General</c:formatCode>
                <c:ptCount val="7"/>
                <c:pt idx="0">
                  <c:v>1669078</c:v>
                </c:pt>
                <c:pt idx="1">
                  <c:v>1440740</c:v>
                </c:pt>
                <c:pt idx="2">
                  <c:v>1089513</c:v>
                </c:pt>
                <c:pt idx="3">
                  <c:v>1305572</c:v>
                </c:pt>
                <c:pt idx="4">
                  <c:v>1988902</c:v>
                </c:pt>
                <c:pt idx="5">
                  <c:v>2373791</c:v>
                </c:pt>
                <c:pt idx="6">
                  <c:v>2127889</c:v>
                </c:pt>
              </c:numCache>
            </c:numRef>
          </c:val>
        </c:ser>
        <c:dLbls>
          <c:showLegendKey val="0"/>
          <c:showVal val="0"/>
          <c:showCatName val="0"/>
          <c:showSerName val="0"/>
          <c:showPercent val="0"/>
          <c:showBubbleSize val="0"/>
        </c:dLbls>
        <c:gapWidth val="150"/>
        <c:axId val="116868608"/>
        <c:axId val="116870144"/>
      </c:barChart>
      <c:catAx>
        <c:axId val="116868608"/>
        <c:scaling>
          <c:orientation val="minMax"/>
        </c:scaling>
        <c:delete val="0"/>
        <c:axPos val="b"/>
        <c:majorTickMark val="out"/>
        <c:minorTickMark val="none"/>
        <c:tickLblPos val="nextTo"/>
        <c:crossAx val="116870144"/>
        <c:crosses val="autoZero"/>
        <c:auto val="1"/>
        <c:lblAlgn val="ctr"/>
        <c:lblOffset val="100"/>
        <c:noMultiLvlLbl val="0"/>
      </c:catAx>
      <c:valAx>
        <c:axId val="116870144"/>
        <c:scaling>
          <c:orientation val="minMax"/>
        </c:scaling>
        <c:delete val="0"/>
        <c:axPos val="l"/>
        <c:majorGridlines/>
        <c:numFmt formatCode="General" sourceLinked="1"/>
        <c:majorTickMark val="out"/>
        <c:minorTickMark val="none"/>
        <c:tickLblPos val="nextTo"/>
        <c:crossAx val="116868608"/>
        <c:crosses val="autoZero"/>
        <c:crossBetween val="between"/>
      </c:valAx>
    </c:plotArea>
    <c:legend>
      <c:legendPos val="r"/>
      <c:overlay val="0"/>
    </c:legend>
    <c:plotVisOnly val="1"/>
    <c:dispBlanksAs val="gap"/>
    <c:showDLblsOverMax val="0"/>
  </c:chart>
  <c:printSettings>
    <c:headerFooter/>
    <c:pageMargins b="0.75000000000000266" l="0.70000000000000062" r="0.70000000000000062" t="0.75000000000000266"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dLbls>
          <c:showLegendKey val="0"/>
          <c:showVal val="0"/>
          <c:showCatName val="0"/>
          <c:showSerName val="0"/>
          <c:showPercent val="0"/>
          <c:showBubbleSize val="0"/>
        </c:dLbls>
        <c:gapWidth val="150"/>
        <c:axId val="116881280"/>
        <c:axId val="116882816"/>
      </c:barChart>
      <c:catAx>
        <c:axId val="116881280"/>
        <c:scaling>
          <c:orientation val="minMax"/>
        </c:scaling>
        <c:delete val="0"/>
        <c:axPos val="b"/>
        <c:majorTickMark val="out"/>
        <c:minorTickMark val="none"/>
        <c:tickLblPos val="nextTo"/>
        <c:crossAx val="116882816"/>
        <c:crosses val="autoZero"/>
        <c:auto val="1"/>
        <c:lblAlgn val="ctr"/>
        <c:lblOffset val="100"/>
        <c:noMultiLvlLbl val="0"/>
      </c:catAx>
      <c:valAx>
        <c:axId val="116882816"/>
        <c:scaling>
          <c:orientation val="minMax"/>
        </c:scaling>
        <c:delete val="0"/>
        <c:axPos val="l"/>
        <c:majorGridlines/>
        <c:numFmt formatCode="General" sourceLinked="1"/>
        <c:majorTickMark val="out"/>
        <c:minorTickMark val="none"/>
        <c:tickLblPos val="nextTo"/>
        <c:crossAx val="116881280"/>
        <c:crosses val="autoZero"/>
        <c:crossBetween val="between"/>
      </c:valAx>
    </c:plotArea>
    <c:legend>
      <c:legendPos val="r"/>
      <c:overlay val="0"/>
    </c:legend>
    <c:plotVisOnly val="1"/>
    <c:dispBlanksAs val="gap"/>
    <c:showDLblsOverMax val="0"/>
  </c:chart>
  <c:printSettings>
    <c:headerFooter/>
    <c:pageMargins b="0.75000000000000266" l="0.70000000000000062" r="0.70000000000000062" t="0.75000000000000266"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Productivity_growth!$D$61</c:f>
              <c:strCache>
                <c:ptCount val="1"/>
                <c:pt idx="0">
                  <c:v>Output growth Index</c:v>
                </c:pt>
              </c:strCache>
            </c:strRef>
          </c:tx>
          <c:marker>
            <c:symbol val="none"/>
          </c:marker>
          <c:cat>
            <c:strRef>
              <c:f>Productivity_growth!$B$62:$B$75</c:f>
              <c:strCache>
                <c:ptCount val="14"/>
                <c:pt idx="0">
                  <c:v>1998/99</c:v>
                </c:pt>
                <c:pt idx="1">
                  <c:v>1999/00</c:v>
                </c:pt>
                <c:pt idx="2">
                  <c:v>2000/01</c:v>
                </c:pt>
                <c:pt idx="3">
                  <c:v>2001/02</c:v>
                </c:pt>
                <c:pt idx="4">
                  <c:v>2002/03</c:v>
                </c:pt>
                <c:pt idx="5">
                  <c:v>2003/04</c:v>
                </c:pt>
                <c:pt idx="6">
                  <c:v>2004/05</c:v>
                </c:pt>
                <c:pt idx="7">
                  <c:v>2005/06</c:v>
                </c:pt>
                <c:pt idx="8">
                  <c:v>2006/07</c:v>
                </c:pt>
                <c:pt idx="9">
                  <c:v>2007/08</c:v>
                </c:pt>
                <c:pt idx="10">
                  <c:v>2008/09</c:v>
                </c:pt>
                <c:pt idx="11">
                  <c:v>2009/10</c:v>
                </c:pt>
                <c:pt idx="12">
                  <c:v>2010/11</c:v>
                </c:pt>
                <c:pt idx="13">
                  <c:v>2011/12</c:v>
                </c:pt>
              </c:strCache>
            </c:strRef>
          </c:cat>
          <c:val>
            <c:numRef>
              <c:f>Productivity_growth!$D$62:$D$75</c:f>
              <c:numCache>
                <c:formatCode>General</c:formatCode>
                <c:ptCount val="14"/>
                <c:pt idx="0">
                  <c:v>1</c:v>
                </c:pt>
                <c:pt idx="1">
                  <c:v>1.0222</c:v>
                </c:pt>
                <c:pt idx="2">
                  <c:v>1.0453017199999999</c:v>
                </c:pt>
                <c:pt idx="3">
                  <c:v>1.0843960043279999</c:v>
                </c:pt>
                <c:pt idx="4">
                  <c:v>1.1470740933781582</c:v>
                </c:pt>
                <c:pt idx="5">
                  <c:v>1.2036248461817014</c:v>
                </c:pt>
                <c:pt idx="6">
                  <c:v>1.281138286275803</c:v>
                </c:pt>
                <c:pt idx="7">
                  <c:v>1.3722272184300124</c:v>
                </c:pt>
                <c:pt idx="8">
                  <c:v>1.461421987627963</c:v>
                </c:pt>
                <c:pt idx="9">
                  <c:v>1.5149100323751465</c:v>
                </c:pt>
                <c:pt idx="10">
                  <c:v>1.6017143772302422</c:v>
                </c:pt>
                <c:pt idx="11">
                  <c:v>1.6675448381344051</c:v>
                </c:pt>
                <c:pt idx="12">
                  <c:v>1.7437516372371475</c:v>
                </c:pt>
                <c:pt idx="13">
                  <c:v>1.7986798138101179</c:v>
                </c:pt>
              </c:numCache>
            </c:numRef>
          </c:val>
          <c:smooth val="0"/>
        </c:ser>
        <c:ser>
          <c:idx val="1"/>
          <c:order val="1"/>
          <c:tx>
            <c:strRef>
              <c:f>Productivity_growth!$F$61</c:f>
              <c:strCache>
                <c:ptCount val="1"/>
                <c:pt idx="0">
                  <c:v>Input growth Index</c:v>
                </c:pt>
              </c:strCache>
            </c:strRef>
          </c:tx>
          <c:marker>
            <c:symbol val="none"/>
          </c:marker>
          <c:cat>
            <c:strRef>
              <c:f>Productivity_growth!$B$62:$B$75</c:f>
              <c:strCache>
                <c:ptCount val="14"/>
                <c:pt idx="0">
                  <c:v>1998/99</c:v>
                </c:pt>
                <c:pt idx="1">
                  <c:v>1999/00</c:v>
                </c:pt>
                <c:pt idx="2">
                  <c:v>2000/01</c:v>
                </c:pt>
                <c:pt idx="3">
                  <c:v>2001/02</c:v>
                </c:pt>
                <c:pt idx="4">
                  <c:v>2002/03</c:v>
                </c:pt>
                <c:pt idx="5">
                  <c:v>2003/04</c:v>
                </c:pt>
                <c:pt idx="6">
                  <c:v>2004/05</c:v>
                </c:pt>
                <c:pt idx="7">
                  <c:v>2005/06</c:v>
                </c:pt>
                <c:pt idx="8">
                  <c:v>2006/07</c:v>
                </c:pt>
                <c:pt idx="9">
                  <c:v>2007/08</c:v>
                </c:pt>
                <c:pt idx="10">
                  <c:v>2008/09</c:v>
                </c:pt>
                <c:pt idx="11">
                  <c:v>2009/10</c:v>
                </c:pt>
                <c:pt idx="12">
                  <c:v>2010/11</c:v>
                </c:pt>
                <c:pt idx="13">
                  <c:v>2011/12</c:v>
                </c:pt>
              </c:strCache>
            </c:strRef>
          </c:cat>
          <c:val>
            <c:numRef>
              <c:f>Productivity_growth!$F$62:$F$75</c:f>
              <c:numCache>
                <c:formatCode>General</c:formatCode>
                <c:ptCount val="14"/>
                <c:pt idx="0">
                  <c:v>1</c:v>
                </c:pt>
                <c:pt idx="1">
                  <c:v>1.0506</c:v>
                </c:pt>
                <c:pt idx="2">
                  <c:v>1.0668843000000001</c:v>
                </c:pt>
                <c:pt idx="3">
                  <c:v>1.1319642423</c:v>
                </c:pt>
                <c:pt idx="4">
                  <c:v>1.2118809178063801</c:v>
                </c:pt>
                <c:pt idx="5">
                  <c:v>1.304347431835007</c:v>
                </c:pt>
                <c:pt idx="6">
                  <c:v>1.3891300149042825</c:v>
                </c:pt>
                <c:pt idx="7">
                  <c:v>1.4890084629759004</c:v>
                </c:pt>
                <c:pt idx="8">
                  <c:v>1.5175974254650377</c:v>
                </c:pt>
                <c:pt idx="9">
                  <c:v>1.5764802055730811</c:v>
                </c:pt>
                <c:pt idx="10">
                  <c:v>1.6431653182688224</c:v>
                </c:pt>
                <c:pt idx="11">
                  <c:v>1.7323891950508195</c:v>
                </c:pt>
                <c:pt idx="12">
                  <c:v>1.7554299713449955</c:v>
                </c:pt>
                <c:pt idx="13">
                  <c:v>1.7729842710584454</c:v>
                </c:pt>
              </c:numCache>
            </c:numRef>
          </c:val>
          <c:smooth val="0"/>
        </c:ser>
        <c:ser>
          <c:idx val="2"/>
          <c:order val="2"/>
          <c:tx>
            <c:strRef>
              <c:f>Productivity_growth!$H$61</c:f>
              <c:strCache>
                <c:ptCount val="1"/>
                <c:pt idx="0">
                  <c:v>Productivity Index</c:v>
                </c:pt>
              </c:strCache>
            </c:strRef>
          </c:tx>
          <c:marker>
            <c:symbol val="none"/>
          </c:marker>
          <c:cat>
            <c:strRef>
              <c:f>Productivity_growth!$B$62:$B$75</c:f>
              <c:strCache>
                <c:ptCount val="14"/>
                <c:pt idx="0">
                  <c:v>1998/99</c:v>
                </c:pt>
                <c:pt idx="1">
                  <c:v>1999/00</c:v>
                </c:pt>
                <c:pt idx="2">
                  <c:v>2000/01</c:v>
                </c:pt>
                <c:pt idx="3">
                  <c:v>2001/02</c:v>
                </c:pt>
                <c:pt idx="4">
                  <c:v>2002/03</c:v>
                </c:pt>
                <c:pt idx="5">
                  <c:v>2003/04</c:v>
                </c:pt>
                <c:pt idx="6">
                  <c:v>2004/05</c:v>
                </c:pt>
                <c:pt idx="7">
                  <c:v>2005/06</c:v>
                </c:pt>
                <c:pt idx="8">
                  <c:v>2006/07</c:v>
                </c:pt>
                <c:pt idx="9">
                  <c:v>2007/08</c:v>
                </c:pt>
                <c:pt idx="10">
                  <c:v>2008/09</c:v>
                </c:pt>
                <c:pt idx="11">
                  <c:v>2009/10</c:v>
                </c:pt>
                <c:pt idx="12">
                  <c:v>2010/11</c:v>
                </c:pt>
                <c:pt idx="13">
                  <c:v>2011/12</c:v>
                </c:pt>
              </c:strCache>
            </c:strRef>
          </c:cat>
          <c:val>
            <c:numRef>
              <c:f>Productivity_growth!$H$62:$H$75</c:f>
              <c:numCache>
                <c:formatCode>General</c:formatCode>
                <c:ptCount val="14"/>
                <c:pt idx="0">
                  <c:v>1</c:v>
                </c:pt>
                <c:pt idx="1">
                  <c:v>0.97289999999999999</c:v>
                </c:pt>
                <c:pt idx="2">
                  <c:v>0.9796130099999999</c:v>
                </c:pt>
                <c:pt idx="3">
                  <c:v>0.9578656011779999</c:v>
                </c:pt>
                <c:pt idx="4">
                  <c:v>0.94646700052398169</c:v>
                </c:pt>
                <c:pt idx="5">
                  <c:v>0.92271067881082969</c:v>
                </c:pt>
                <c:pt idx="6">
                  <c:v>0.91883529395982422</c:v>
                </c:pt>
                <c:pt idx="7">
                  <c:v>0.91819210925405226</c:v>
                </c:pt>
                <c:pt idx="8">
                  <c:v>0.95951075417048459</c:v>
                </c:pt>
                <c:pt idx="9">
                  <c:v>0.95749578158672655</c:v>
                </c:pt>
                <c:pt idx="10">
                  <c:v>0.97128372084157533</c:v>
                </c:pt>
                <c:pt idx="11">
                  <c:v>0.95914267433105571</c:v>
                </c:pt>
                <c:pt idx="12">
                  <c:v>0.98993115417708266</c:v>
                </c:pt>
                <c:pt idx="13">
                  <c:v>1.0110166877610547</c:v>
                </c:pt>
              </c:numCache>
            </c:numRef>
          </c:val>
          <c:smooth val="0"/>
        </c:ser>
        <c:dLbls>
          <c:showLegendKey val="0"/>
          <c:showVal val="0"/>
          <c:showCatName val="0"/>
          <c:showSerName val="0"/>
          <c:showPercent val="0"/>
          <c:showBubbleSize val="0"/>
        </c:dLbls>
        <c:marker val="1"/>
        <c:smooth val="0"/>
        <c:axId val="176071424"/>
        <c:axId val="176072960"/>
      </c:lineChart>
      <c:catAx>
        <c:axId val="176071424"/>
        <c:scaling>
          <c:orientation val="minMax"/>
        </c:scaling>
        <c:delete val="0"/>
        <c:axPos val="b"/>
        <c:numFmt formatCode="General" sourceLinked="0"/>
        <c:majorTickMark val="out"/>
        <c:minorTickMark val="none"/>
        <c:tickLblPos val="nextTo"/>
        <c:crossAx val="176072960"/>
        <c:crosses val="autoZero"/>
        <c:auto val="1"/>
        <c:lblAlgn val="ctr"/>
        <c:lblOffset val="100"/>
        <c:noMultiLvlLbl val="0"/>
      </c:catAx>
      <c:valAx>
        <c:axId val="176072960"/>
        <c:scaling>
          <c:orientation val="minMax"/>
          <c:min val="0.8"/>
        </c:scaling>
        <c:delete val="0"/>
        <c:axPos val="l"/>
        <c:majorGridlines/>
        <c:numFmt formatCode="General" sourceLinked="1"/>
        <c:majorTickMark val="out"/>
        <c:minorTickMark val="none"/>
        <c:tickLblPos val="nextTo"/>
        <c:crossAx val="176071424"/>
        <c:crosses val="autoZero"/>
        <c:crossBetween val="between"/>
      </c:valAx>
    </c:plotArea>
    <c:legend>
      <c:legendPos val="b"/>
      <c:overlay val="0"/>
    </c:legend>
    <c:plotVisOnly val="1"/>
    <c:dispBlanksAs val="gap"/>
    <c:showDLblsOverMax val="0"/>
  </c:chart>
  <c:spPr>
    <a:ln>
      <a:noFill/>
    </a:ln>
  </c:spPr>
  <c:printSettings>
    <c:headerFooter/>
    <c:pageMargins b="0.75000000000000033" l="0.70000000000000029" r="0.70000000000000029" t="0.75000000000000033" header="0.30000000000000016" footer="0.30000000000000016"/>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08084919336774E-2"/>
          <c:y val="1.5463245241613291E-2"/>
          <c:w val="0.91603670314157593"/>
          <c:h val="0.73921234905019251"/>
        </c:manualLayout>
      </c:layout>
      <c:lineChart>
        <c:grouping val="standard"/>
        <c:varyColors val="0"/>
        <c:ser>
          <c:idx val="0"/>
          <c:order val="0"/>
          <c:tx>
            <c:strRef>
              <c:f>Deflt!$C$11</c:f>
              <c:strCache>
                <c:ptCount val="1"/>
                <c:pt idx="0">
                  <c:v>Pay Index</c:v>
                </c:pt>
              </c:strCache>
            </c:strRef>
          </c:tx>
          <c:marker>
            <c:symbol val="none"/>
          </c:marker>
          <c:cat>
            <c:strRef>
              <c:f>Deflt!$B$12:$B$15</c:f>
              <c:strCache>
                <c:ptCount val="4"/>
                <c:pt idx="0">
                  <c:v>2007/08</c:v>
                </c:pt>
                <c:pt idx="1">
                  <c:v>2008/09</c:v>
                </c:pt>
                <c:pt idx="2">
                  <c:v>2009/10</c:v>
                </c:pt>
                <c:pt idx="3">
                  <c:v>2010/11</c:v>
                </c:pt>
              </c:strCache>
            </c:strRef>
          </c:cat>
          <c:val>
            <c:numRef>
              <c:f>Deflt!$C$12:$C$15</c:f>
              <c:numCache>
                <c:formatCode>0.00</c:formatCode>
                <c:ptCount val="4"/>
                <c:pt idx="0">
                  <c:v>0.92500000000000004</c:v>
                </c:pt>
                <c:pt idx="1">
                  <c:v>0.95299999999999996</c:v>
                </c:pt>
                <c:pt idx="2">
                  <c:v>0.97</c:v>
                </c:pt>
                <c:pt idx="3">
                  <c:v>1</c:v>
                </c:pt>
              </c:numCache>
            </c:numRef>
          </c:val>
          <c:smooth val="0"/>
        </c:ser>
        <c:ser>
          <c:idx val="1"/>
          <c:order val="1"/>
          <c:tx>
            <c:strRef>
              <c:f>Deflt!$D$11</c:f>
              <c:strCache>
                <c:ptCount val="1"/>
                <c:pt idx="0">
                  <c:v>Prices Index</c:v>
                </c:pt>
              </c:strCache>
            </c:strRef>
          </c:tx>
          <c:marker>
            <c:symbol val="none"/>
          </c:marker>
          <c:cat>
            <c:strRef>
              <c:f>Deflt!$B$12:$B$15</c:f>
              <c:strCache>
                <c:ptCount val="4"/>
                <c:pt idx="0">
                  <c:v>2007/08</c:v>
                </c:pt>
                <c:pt idx="1">
                  <c:v>2008/09</c:v>
                </c:pt>
                <c:pt idx="2">
                  <c:v>2009/10</c:v>
                </c:pt>
                <c:pt idx="3">
                  <c:v>2010/11</c:v>
                </c:pt>
              </c:strCache>
            </c:strRef>
          </c:cat>
          <c:val>
            <c:numRef>
              <c:f>Deflt!$D$12:$D$15</c:f>
              <c:numCache>
                <c:formatCode>0.00</c:formatCode>
                <c:ptCount val="4"/>
                <c:pt idx="0">
                  <c:v>0.93700000000000006</c:v>
                </c:pt>
                <c:pt idx="1">
                  <c:v>0.98599999999999999</c:v>
                </c:pt>
                <c:pt idx="2">
                  <c:v>0.97299999999999998</c:v>
                </c:pt>
                <c:pt idx="3">
                  <c:v>1</c:v>
                </c:pt>
              </c:numCache>
            </c:numRef>
          </c:val>
          <c:smooth val="0"/>
        </c:ser>
        <c:ser>
          <c:idx val="2"/>
          <c:order val="2"/>
          <c:tx>
            <c:strRef>
              <c:f>Deflt!$E$11</c:f>
              <c:strCache>
                <c:ptCount val="1"/>
                <c:pt idx="0">
                  <c:v>Pay &amp; Prices index</c:v>
                </c:pt>
              </c:strCache>
            </c:strRef>
          </c:tx>
          <c:marker>
            <c:symbol val="none"/>
          </c:marker>
          <c:cat>
            <c:strRef>
              <c:f>Deflt!$B$12:$B$15</c:f>
              <c:strCache>
                <c:ptCount val="4"/>
                <c:pt idx="0">
                  <c:v>2007/08</c:v>
                </c:pt>
                <c:pt idx="1">
                  <c:v>2008/09</c:v>
                </c:pt>
                <c:pt idx="2">
                  <c:v>2009/10</c:v>
                </c:pt>
                <c:pt idx="3">
                  <c:v>2010/11</c:v>
                </c:pt>
              </c:strCache>
            </c:strRef>
          </c:cat>
          <c:val>
            <c:numRef>
              <c:f>Deflt!$E$12:$E$15</c:f>
              <c:numCache>
                <c:formatCode>0.00</c:formatCode>
                <c:ptCount val="4"/>
                <c:pt idx="0">
                  <c:v>0.92900000000000005</c:v>
                </c:pt>
                <c:pt idx="1">
                  <c:v>0.96499999999999997</c:v>
                </c:pt>
                <c:pt idx="2">
                  <c:v>0.97099999999999997</c:v>
                </c:pt>
                <c:pt idx="3">
                  <c:v>1</c:v>
                </c:pt>
              </c:numCache>
            </c:numRef>
          </c:val>
          <c:smooth val="0"/>
        </c:ser>
        <c:ser>
          <c:idx val="3"/>
          <c:order val="3"/>
          <c:tx>
            <c:strRef>
              <c:f>Deflt!$F$11</c:f>
              <c:strCache>
                <c:ptCount val="1"/>
                <c:pt idx="0">
                  <c:v>CHE drugs index</c:v>
                </c:pt>
              </c:strCache>
            </c:strRef>
          </c:tx>
          <c:marker>
            <c:symbol val="none"/>
          </c:marker>
          <c:cat>
            <c:strRef>
              <c:f>Deflt!$B$12:$B$15</c:f>
              <c:strCache>
                <c:ptCount val="4"/>
                <c:pt idx="0">
                  <c:v>2007/08</c:v>
                </c:pt>
                <c:pt idx="1">
                  <c:v>2008/09</c:v>
                </c:pt>
                <c:pt idx="2">
                  <c:v>2009/10</c:v>
                </c:pt>
                <c:pt idx="3">
                  <c:v>2010/11</c:v>
                </c:pt>
              </c:strCache>
            </c:strRef>
          </c:cat>
          <c:val>
            <c:numRef>
              <c:f>Deflt!$F$12:$F$15</c:f>
              <c:numCache>
                <c:formatCode>General</c:formatCode>
                <c:ptCount val="4"/>
              </c:numCache>
            </c:numRef>
          </c:val>
          <c:smooth val="0"/>
        </c:ser>
        <c:ser>
          <c:idx val="4"/>
          <c:order val="4"/>
          <c:tx>
            <c:strRef>
              <c:f>Deflt!$G$11</c:f>
              <c:strCache>
                <c:ptCount val="1"/>
                <c:pt idx="0">
                  <c:v>Medical equipment </c:v>
                </c:pt>
              </c:strCache>
            </c:strRef>
          </c:tx>
          <c:marker>
            <c:symbol val="none"/>
          </c:marker>
          <c:cat>
            <c:strRef>
              <c:f>Deflt!$B$12:$B$15</c:f>
              <c:strCache>
                <c:ptCount val="4"/>
                <c:pt idx="0">
                  <c:v>2007/08</c:v>
                </c:pt>
                <c:pt idx="1">
                  <c:v>2008/09</c:v>
                </c:pt>
                <c:pt idx="2">
                  <c:v>2009/10</c:v>
                </c:pt>
                <c:pt idx="3">
                  <c:v>2010/11</c:v>
                </c:pt>
              </c:strCache>
            </c:strRef>
          </c:cat>
          <c:val>
            <c:numRef>
              <c:f>Deflt!$G$12:$G$15</c:f>
              <c:numCache>
                <c:formatCode>General</c:formatCode>
                <c:ptCount val="4"/>
                <c:pt idx="0">
                  <c:v>0.91</c:v>
                </c:pt>
                <c:pt idx="1">
                  <c:v>0.95</c:v>
                </c:pt>
                <c:pt idx="2">
                  <c:v>0.97</c:v>
                </c:pt>
                <c:pt idx="3" formatCode="0.00">
                  <c:v>1</c:v>
                </c:pt>
              </c:numCache>
            </c:numRef>
          </c:val>
          <c:smooth val="0"/>
        </c:ser>
        <c:ser>
          <c:idx val="5"/>
          <c:order val="5"/>
          <c:tx>
            <c:strRef>
              <c:f>Deflt!$H$11</c:f>
              <c:strCache>
                <c:ptCount val="1"/>
                <c:pt idx="0">
                  <c:v>Computer machinery</c:v>
                </c:pt>
              </c:strCache>
            </c:strRef>
          </c:tx>
          <c:marker>
            <c:symbol val="none"/>
          </c:marker>
          <c:cat>
            <c:strRef>
              <c:f>Deflt!$B$12:$B$15</c:f>
              <c:strCache>
                <c:ptCount val="4"/>
                <c:pt idx="0">
                  <c:v>2007/08</c:v>
                </c:pt>
                <c:pt idx="1">
                  <c:v>2008/09</c:v>
                </c:pt>
                <c:pt idx="2">
                  <c:v>2009/10</c:v>
                </c:pt>
                <c:pt idx="3">
                  <c:v>2010/11</c:v>
                </c:pt>
              </c:strCache>
            </c:strRef>
          </c:cat>
          <c:val>
            <c:numRef>
              <c:f>Deflt!$H$12:$H$15</c:f>
              <c:numCache>
                <c:formatCode>0.00</c:formatCode>
                <c:ptCount val="4"/>
                <c:pt idx="0">
                  <c:v>0.97</c:v>
                </c:pt>
                <c:pt idx="1">
                  <c:v>0.94</c:v>
                </c:pt>
                <c:pt idx="2" formatCode="General">
                  <c:v>0.98</c:v>
                </c:pt>
                <c:pt idx="3">
                  <c:v>1</c:v>
                </c:pt>
              </c:numCache>
            </c:numRef>
          </c:val>
          <c:smooth val="0"/>
        </c:ser>
        <c:ser>
          <c:idx val="6"/>
          <c:order val="6"/>
          <c:tx>
            <c:strRef>
              <c:f>Deflt!$I$11</c:f>
              <c:strCache>
                <c:ptCount val="1"/>
                <c:pt idx="0">
                  <c:v>Electrical Machinery</c:v>
                </c:pt>
              </c:strCache>
            </c:strRef>
          </c:tx>
          <c:marker>
            <c:symbol val="none"/>
          </c:marker>
          <c:cat>
            <c:strRef>
              <c:f>Deflt!$B$12:$B$15</c:f>
              <c:strCache>
                <c:ptCount val="4"/>
                <c:pt idx="0">
                  <c:v>2007/08</c:v>
                </c:pt>
                <c:pt idx="1">
                  <c:v>2008/09</c:v>
                </c:pt>
                <c:pt idx="2">
                  <c:v>2009/10</c:v>
                </c:pt>
                <c:pt idx="3">
                  <c:v>2010/11</c:v>
                </c:pt>
              </c:strCache>
            </c:strRef>
          </c:cat>
          <c:val>
            <c:numRef>
              <c:f>Deflt!$I$12:$I$15</c:f>
              <c:numCache>
                <c:formatCode>General</c:formatCode>
                <c:ptCount val="4"/>
                <c:pt idx="0">
                  <c:v>0.89</c:v>
                </c:pt>
                <c:pt idx="1">
                  <c:v>0.95</c:v>
                </c:pt>
                <c:pt idx="2">
                  <c:v>0.98</c:v>
                </c:pt>
                <c:pt idx="3" formatCode="0.00">
                  <c:v>1</c:v>
                </c:pt>
              </c:numCache>
            </c:numRef>
          </c:val>
          <c:smooth val="0"/>
        </c:ser>
        <c:dLbls>
          <c:showLegendKey val="0"/>
          <c:showVal val="0"/>
          <c:showCatName val="0"/>
          <c:showSerName val="0"/>
          <c:showPercent val="0"/>
          <c:showBubbleSize val="0"/>
        </c:dLbls>
        <c:marker val="1"/>
        <c:smooth val="0"/>
        <c:axId val="180769536"/>
        <c:axId val="180771072"/>
      </c:lineChart>
      <c:catAx>
        <c:axId val="180769536"/>
        <c:scaling>
          <c:orientation val="minMax"/>
        </c:scaling>
        <c:delete val="0"/>
        <c:axPos val="b"/>
        <c:numFmt formatCode="General" sourceLinked="0"/>
        <c:majorTickMark val="out"/>
        <c:minorTickMark val="none"/>
        <c:tickLblPos val="nextTo"/>
        <c:txPr>
          <a:bodyPr/>
          <a:lstStyle/>
          <a:p>
            <a:pPr>
              <a:defRPr sz="800"/>
            </a:pPr>
            <a:endParaRPr lang="en-US"/>
          </a:p>
        </c:txPr>
        <c:crossAx val="180771072"/>
        <c:crosses val="autoZero"/>
        <c:auto val="1"/>
        <c:lblAlgn val="ctr"/>
        <c:lblOffset val="100"/>
        <c:noMultiLvlLbl val="0"/>
      </c:catAx>
      <c:valAx>
        <c:axId val="180771072"/>
        <c:scaling>
          <c:orientation val="minMax"/>
          <c:min val="0.88"/>
        </c:scaling>
        <c:delete val="0"/>
        <c:axPos val="l"/>
        <c:majorGridlines/>
        <c:numFmt formatCode="0.00" sourceLinked="1"/>
        <c:majorTickMark val="out"/>
        <c:minorTickMark val="none"/>
        <c:tickLblPos val="nextTo"/>
        <c:txPr>
          <a:bodyPr/>
          <a:lstStyle/>
          <a:p>
            <a:pPr>
              <a:defRPr sz="800"/>
            </a:pPr>
            <a:endParaRPr lang="en-US"/>
          </a:p>
        </c:txPr>
        <c:crossAx val="180769536"/>
        <c:crosses val="autoZero"/>
        <c:crossBetween val="between"/>
        <c:minorUnit val="2.0000000000000052E-3"/>
      </c:valAx>
      <c:spPr>
        <a:noFill/>
        <a:ln w="25400">
          <a:noFill/>
        </a:ln>
      </c:spPr>
    </c:plotArea>
    <c:legend>
      <c:legendPos val="b"/>
      <c:overlay val="0"/>
      <c:txPr>
        <a:bodyPr/>
        <a:lstStyle/>
        <a:p>
          <a:pPr>
            <a:defRPr sz="800">
              <a:latin typeface="Arial Rounded MT Bold" pitchFamily="34" charset="0"/>
            </a:defRPr>
          </a:pPr>
          <a:endParaRPr lang="en-US"/>
        </a:p>
      </c:txPr>
    </c:legend>
    <c:plotVisOnly val="1"/>
    <c:dispBlanksAs val="gap"/>
    <c:showDLblsOverMax val="0"/>
  </c:chart>
  <c:spPr>
    <a:ln>
      <a:noFill/>
    </a:ln>
  </c:spPr>
  <c:printSettings>
    <c:headerFooter/>
    <c:pageMargins b="0.75000000000000266" l="0.70000000000000062" r="0.70000000000000062" t="0.75000000000000266"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12071737468661631"/>
          <c:y val="4.0712468193384227E-2"/>
          <c:w val="0.849411613772311"/>
          <c:h val="0.5816309030073531"/>
        </c:manualLayout>
      </c:layout>
      <c:lineChart>
        <c:grouping val="standard"/>
        <c:varyColors val="0"/>
        <c:ser>
          <c:idx val="0"/>
          <c:order val="0"/>
          <c:tx>
            <c:strRef>
              <c:f>'QA Primary Care'!$C$85</c:f>
              <c:strCache>
                <c:ptCount val="1"/>
                <c:pt idx="0">
                  <c:v>Unadjusted</c:v>
                </c:pt>
              </c:strCache>
            </c:strRef>
          </c:tx>
          <c:spPr>
            <a:ln w="25400"/>
          </c:spPr>
          <c:marker>
            <c:symbol val="none"/>
          </c:marker>
          <c:cat>
            <c:strRef>
              <c:f>'QA Primary Care'!$B$86:$B$93</c:f>
              <c:strCache>
                <c:ptCount val="8"/>
                <c:pt idx="0">
                  <c:v>2004/05</c:v>
                </c:pt>
                <c:pt idx="1">
                  <c:v>2005/06</c:v>
                </c:pt>
                <c:pt idx="2">
                  <c:v>2006/07</c:v>
                </c:pt>
                <c:pt idx="3">
                  <c:v>2007/08</c:v>
                </c:pt>
                <c:pt idx="4">
                  <c:v>2008/09</c:v>
                </c:pt>
                <c:pt idx="5">
                  <c:v>2009/10</c:v>
                </c:pt>
                <c:pt idx="6">
                  <c:v>2010/11</c:v>
                </c:pt>
                <c:pt idx="7">
                  <c:v>2011/12</c:v>
                </c:pt>
              </c:strCache>
            </c:strRef>
          </c:cat>
          <c:val>
            <c:numRef>
              <c:f>'QA Primary Care'!$C$86:$C$93</c:f>
              <c:numCache>
                <c:formatCode>#,##0</c:formatCode>
                <c:ptCount val="8"/>
                <c:pt idx="0">
                  <c:v>265600</c:v>
                </c:pt>
                <c:pt idx="1">
                  <c:v>283100</c:v>
                </c:pt>
                <c:pt idx="2">
                  <c:v>293000</c:v>
                </c:pt>
                <c:pt idx="3">
                  <c:v>292500</c:v>
                </c:pt>
                <c:pt idx="4">
                  <c:v>300400</c:v>
                </c:pt>
                <c:pt idx="5">
                  <c:v>300400</c:v>
                </c:pt>
                <c:pt idx="6">
                  <c:v>292567</c:v>
                </c:pt>
                <c:pt idx="7">
                  <c:v>303819.891</c:v>
                </c:pt>
              </c:numCache>
            </c:numRef>
          </c:val>
          <c:smooth val="0"/>
        </c:ser>
        <c:ser>
          <c:idx val="1"/>
          <c:order val="1"/>
          <c:tx>
            <c:strRef>
              <c:f>'QA Primary Care'!$D$85</c:f>
              <c:strCache>
                <c:ptCount val="1"/>
                <c:pt idx="0">
                  <c:v>Value of QA=1.5</c:v>
                </c:pt>
              </c:strCache>
            </c:strRef>
          </c:tx>
          <c:spPr>
            <a:ln w="25400">
              <a:prstDash val="sysDash"/>
            </a:ln>
          </c:spPr>
          <c:marker>
            <c:symbol val="none"/>
          </c:marker>
          <c:cat>
            <c:strRef>
              <c:f>'QA Primary Care'!$B$86:$B$93</c:f>
              <c:strCache>
                <c:ptCount val="8"/>
                <c:pt idx="0">
                  <c:v>2004/05</c:v>
                </c:pt>
                <c:pt idx="1">
                  <c:v>2005/06</c:v>
                </c:pt>
                <c:pt idx="2">
                  <c:v>2006/07</c:v>
                </c:pt>
                <c:pt idx="3">
                  <c:v>2007/08</c:v>
                </c:pt>
                <c:pt idx="4">
                  <c:v>2008/09</c:v>
                </c:pt>
                <c:pt idx="5">
                  <c:v>2009/10</c:v>
                </c:pt>
                <c:pt idx="6">
                  <c:v>2010/11</c:v>
                </c:pt>
                <c:pt idx="7">
                  <c:v>2011/12</c:v>
                </c:pt>
              </c:strCache>
            </c:strRef>
          </c:cat>
          <c:val>
            <c:numRef>
              <c:f>'QA Primary Care'!$D$86:$D$93</c:f>
              <c:numCache>
                <c:formatCode>#,##0</c:formatCode>
                <c:ptCount val="8"/>
                <c:pt idx="0">
                  <c:v>279802.68377599999</c:v>
                </c:pt>
                <c:pt idx="1">
                  <c:v>300821.06915000005</c:v>
                </c:pt>
                <c:pt idx="2">
                  <c:v>313861.29820999998</c:v>
                </c:pt>
                <c:pt idx="3">
                  <c:v>313818.46470000001</c:v>
                </c:pt>
                <c:pt idx="4">
                  <c:v>322758.21926400007</c:v>
                </c:pt>
                <c:pt idx="5">
                  <c:v>323046.59124799998</c:v>
                </c:pt>
                <c:pt idx="6">
                  <c:v>314950.67104377894</c:v>
                </c:pt>
                <c:pt idx="7">
                  <c:v>327274.87877040845</c:v>
                </c:pt>
              </c:numCache>
            </c:numRef>
          </c:val>
          <c:smooth val="0"/>
        </c:ser>
        <c:dLbls>
          <c:showLegendKey val="0"/>
          <c:showVal val="0"/>
          <c:showCatName val="0"/>
          <c:showSerName val="0"/>
          <c:showPercent val="0"/>
          <c:showBubbleSize val="0"/>
        </c:dLbls>
        <c:marker val="1"/>
        <c:smooth val="0"/>
        <c:axId val="99953280"/>
        <c:axId val="99963264"/>
      </c:lineChart>
      <c:catAx>
        <c:axId val="99953280"/>
        <c:scaling>
          <c:orientation val="minMax"/>
        </c:scaling>
        <c:delete val="0"/>
        <c:axPos val="b"/>
        <c:numFmt formatCode="General" sourceLinked="1"/>
        <c:majorTickMark val="none"/>
        <c:minorTickMark val="none"/>
        <c:tickLblPos val="nextTo"/>
        <c:txPr>
          <a:bodyPr rot="5400000" vert="horz"/>
          <a:lstStyle/>
          <a:p>
            <a:pPr>
              <a:defRPr/>
            </a:pPr>
            <a:endParaRPr lang="en-US"/>
          </a:p>
        </c:txPr>
        <c:crossAx val="99963264"/>
        <c:crosses val="autoZero"/>
        <c:auto val="1"/>
        <c:lblAlgn val="ctr"/>
        <c:lblOffset val="100"/>
        <c:noMultiLvlLbl val="0"/>
      </c:catAx>
      <c:valAx>
        <c:axId val="99963264"/>
        <c:scaling>
          <c:orientation val="minMax"/>
          <c:max val="330000"/>
          <c:min val="250000"/>
        </c:scaling>
        <c:delete val="0"/>
        <c:axPos val="l"/>
        <c:numFmt formatCode="#,##0" sourceLinked="1"/>
        <c:majorTickMark val="none"/>
        <c:minorTickMark val="none"/>
        <c:tickLblPos val="nextTo"/>
        <c:txPr>
          <a:bodyPr/>
          <a:lstStyle/>
          <a:p>
            <a:pPr>
              <a:defRPr sz="900"/>
            </a:pPr>
            <a:endParaRPr lang="en-US"/>
          </a:p>
        </c:txPr>
        <c:crossAx val="99953280"/>
        <c:crosses val="autoZero"/>
        <c:crossBetween val="between"/>
      </c:valAx>
    </c:plotArea>
    <c:legend>
      <c:legendPos val="b"/>
      <c:overlay val="0"/>
    </c:legend>
    <c:plotVisOnly val="1"/>
    <c:dispBlanksAs val="gap"/>
    <c:showDLblsOverMax val="0"/>
  </c:chart>
  <c:spPr>
    <a:ln>
      <a:noFill/>
    </a:ln>
  </c:spPr>
  <c:printSettings>
    <c:headerFooter/>
    <c:pageMargins b="0.75000000000000255" l="0.70000000000000062" r="0.70000000000000062" t="0.7500000000000025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39"/>
    </mc:Choice>
    <mc:Fallback>
      <c:style val="39"/>
    </mc:Fallback>
  </mc:AlternateContent>
  <c:chart>
    <c:autoTitleDeleted val="0"/>
    <c:plotArea>
      <c:layout>
        <c:manualLayout>
          <c:layoutTarget val="inner"/>
          <c:xMode val="edge"/>
          <c:yMode val="edge"/>
          <c:x val="5.9159367949521133E-2"/>
          <c:y val="3.5531410102121512E-2"/>
          <c:w val="0.91795971681386945"/>
          <c:h val="0.5680794049215464"/>
        </c:manualLayout>
      </c:layout>
      <c:lineChart>
        <c:grouping val="standard"/>
        <c:varyColors val="0"/>
        <c:ser>
          <c:idx val="0"/>
          <c:order val="0"/>
          <c:tx>
            <c:strRef>
              <c:f>Prescribing!$C$54</c:f>
              <c:strCache>
                <c:ptCount val="1"/>
                <c:pt idx="0">
                  <c:v>Total Px</c:v>
                </c:pt>
              </c:strCache>
            </c:strRef>
          </c:tx>
          <c:spPr>
            <a:ln w="25400">
              <a:prstDash val="sysDash"/>
            </a:ln>
          </c:spPr>
          <c:marker>
            <c:symbol val="none"/>
          </c:marker>
          <c:cat>
            <c:strRef>
              <c:f>Prescribing!$B$56:$B$69</c:f>
              <c:strCache>
                <c:ptCount val="14"/>
                <c:pt idx="0">
                  <c:v>1998/99</c:v>
                </c:pt>
                <c:pt idx="1">
                  <c:v>1999/00</c:v>
                </c:pt>
                <c:pt idx="2">
                  <c:v>2000/01</c:v>
                </c:pt>
                <c:pt idx="3">
                  <c:v>2001/02</c:v>
                </c:pt>
                <c:pt idx="4">
                  <c:v>2002/03</c:v>
                </c:pt>
                <c:pt idx="5">
                  <c:v>2003/04</c:v>
                </c:pt>
                <c:pt idx="6">
                  <c:v>2004/05</c:v>
                </c:pt>
                <c:pt idx="7">
                  <c:v>2005/06</c:v>
                </c:pt>
                <c:pt idx="8">
                  <c:v>2006/07</c:v>
                </c:pt>
                <c:pt idx="9">
                  <c:v>2007/08</c:v>
                </c:pt>
                <c:pt idx="10">
                  <c:v>2008/09</c:v>
                </c:pt>
                <c:pt idx="11">
                  <c:v>2009/10</c:v>
                </c:pt>
                <c:pt idx="12">
                  <c:v>2010/11</c:v>
                </c:pt>
                <c:pt idx="13">
                  <c:v>2011/12</c:v>
                </c:pt>
              </c:strCache>
            </c:strRef>
          </c:cat>
          <c:val>
            <c:numRef>
              <c:f>Prescribing!$H$57:$H$70</c:f>
              <c:numCache>
                <c:formatCode>General</c:formatCode>
                <c:ptCount val="14"/>
                <c:pt idx="0">
                  <c:v>1</c:v>
                </c:pt>
                <c:pt idx="1">
                  <c:v>1.0344313406956498</c:v>
                </c:pt>
                <c:pt idx="2">
                  <c:v>1.0872134329524741</c:v>
                </c:pt>
                <c:pt idx="3">
                  <c:v>1.1462794384742307</c:v>
                </c:pt>
                <c:pt idx="4">
                  <c:v>1.2092420165641238</c:v>
                </c:pt>
                <c:pt idx="5">
                  <c:v>1.2770620700950557</c:v>
                </c:pt>
                <c:pt idx="6">
                  <c:v>1.3400993545612339</c:v>
                </c:pt>
                <c:pt idx="7">
                  <c:v>1.4196243657114134</c:v>
                </c:pt>
                <c:pt idx="8">
                  <c:v>1.4769910713427339</c:v>
                </c:pt>
                <c:pt idx="9">
                  <c:v>1.5557478660613793</c:v>
                </c:pt>
                <c:pt idx="10">
                  <c:v>1.6510048753240947</c:v>
                </c:pt>
                <c:pt idx="11">
                  <c:v>1.7386311242388923</c:v>
                </c:pt>
                <c:pt idx="12">
                  <c:v>1.8141945147818344</c:v>
                </c:pt>
                <c:pt idx="13">
                  <c:v>1.8851508707412203</c:v>
                </c:pt>
              </c:numCache>
            </c:numRef>
          </c:val>
          <c:smooth val="0"/>
        </c:ser>
        <c:ser>
          <c:idx val="1"/>
          <c:order val="1"/>
          <c:tx>
            <c:strRef>
              <c:f>Prescribing!$D$54</c:f>
              <c:strCache>
                <c:ptCount val="1"/>
                <c:pt idx="0">
                  <c:v>Total Qt</c:v>
                </c:pt>
              </c:strCache>
            </c:strRef>
          </c:tx>
          <c:spPr>
            <a:ln w="25400"/>
          </c:spPr>
          <c:marker>
            <c:symbol val="none"/>
          </c:marker>
          <c:cat>
            <c:strRef>
              <c:f>Prescribing!$B$56:$B$69</c:f>
              <c:strCache>
                <c:ptCount val="14"/>
                <c:pt idx="0">
                  <c:v>1998/99</c:v>
                </c:pt>
                <c:pt idx="1">
                  <c:v>1999/00</c:v>
                </c:pt>
                <c:pt idx="2">
                  <c:v>2000/01</c:v>
                </c:pt>
                <c:pt idx="3">
                  <c:v>2001/02</c:v>
                </c:pt>
                <c:pt idx="4">
                  <c:v>2002/03</c:v>
                </c:pt>
                <c:pt idx="5">
                  <c:v>2003/04</c:v>
                </c:pt>
                <c:pt idx="6">
                  <c:v>2004/05</c:v>
                </c:pt>
                <c:pt idx="7">
                  <c:v>2005/06</c:v>
                </c:pt>
                <c:pt idx="8">
                  <c:v>2006/07</c:v>
                </c:pt>
                <c:pt idx="9">
                  <c:v>2007/08</c:v>
                </c:pt>
                <c:pt idx="10">
                  <c:v>2008/09</c:v>
                </c:pt>
                <c:pt idx="11">
                  <c:v>2009/10</c:v>
                </c:pt>
                <c:pt idx="12">
                  <c:v>2010/11</c:v>
                </c:pt>
                <c:pt idx="13">
                  <c:v>2011/12</c:v>
                </c:pt>
              </c:strCache>
            </c:strRef>
          </c:cat>
          <c:val>
            <c:numRef>
              <c:f>Prescribing!$I$57:$I$70</c:f>
              <c:numCache>
                <c:formatCode>General</c:formatCode>
                <c:ptCount val="14"/>
                <c:pt idx="0">
                  <c:v>1</c:v>
                </c:pt>
                <c:pt idx="1">
                  <c:v>1.0311512979503277</c:v>
                </c:pt>
                <c:pt idx="2">
                  <c:v>1.0693267356427512</c:v>
                </c:pt>
                <c:pt idx="3">
                  <c:v>1.1217507376010547</c:v>
                </c:pt>
                <c:pt idx="4">
                  <c:v>1.1701796025065336</c:v>
                </c:pt>
                <c:pt idx="5">
                  <c:v>1.2189578162757757</c:v>
                </c:pt>
                <c:pt idx="6">
                  <c:v>1.2661014346010633</c:v>
                </c:pt>
                <c:pt idx="7">
                  <c:v>1.3338340507275155</c:v>
                </c:pt>
                <c:pt idx="8">
                  <c:v>1.3911781435824779</c:v>
                </c:pt>
                <c:pt idx="9">
                  <c:v>1.4450326990706501</c:v>
                </c:pt>
                <c:pt idx="10">
                  <c:v>1.5294571373530057</c:v>
                </c:pt>
                <c:pt idx="11">
                  <c:v>1.6041097729202014</c:v>
                </c:pt>
                <c:pt idx="12">
                  <c:v>1.6555197067056822</c:v>
                </c:pt>
                <c:pt idx="13">
                  <c:v>1.6637306458591383</c:v>
                </c:pt>
              </c:numCache>
            </c:numRef>
          </c:val>
          <c:smooth val="0"/>
        </c:ser>
        <c:ser>
          <c:idx val="2"/>
          <c:order val="2"/>
          <c:tx>
            <c:strRef>
              <c:f>Prescribing!$E$54</c:f>
              <c:strCache>
                <c:ptCount val="1"/>
                <c:pt idx="0">
                  <c:v>Total Spend</c:v>
                </c:pt>
              </c:strCache>
            </c:strRef>
          </c:tx>
          <c:spPr>
            <a:ln w="25400">
              <a:prstDash val="sysDot"/>
            </a:ln>
          </c:spPr>
          <c:marker>
            <c:symbol val="none"/>
          </c:marker>
          <c:cat>
            <c:strRef>
              <c:f>Prescribing!$B$56:$B$69</c:f>
              <c:strCache>
                <c:ptCount val="14"/>
                <c:pt idx="0">
                  <c:v>1998/99</c:v>
                </c:pt>
                <c:pt idx="1">
                  <c:v>1999/00</c:v>
                </c:pt>
                <c:pt idx="2">
                  <c:v>2000/01</c:v>
                </c:pt>
                <c:pt idx="3">
                  <c:v>2001/02</c:v>
                </c:pt>
                <c:pt idx="4">
                  <c:v>2002/03</c:v>
                </c:pt>
                <c:pt idx="5">
                  <c:v>2003/04</c:v>
                </c:pt>
                <c:pt idx="6">
                  <c:v>2004/05</c:v>
                </c:pt>
                <c:pt idx="7">
                  <c:v>2005/06</c:v>
                </c:pt>
                <c:pt idx="8">
                  <c:v>2006/07</c:v>
                </c:pt>
                <c:pt idx="9">
                  <c:v>2007/08</c:v>
                </c:pt>
                <c:pt idx="10">
                  <c:v>2008/09</c:v>
                </c:pt>
                <c:pt idx="11">
                  <c:v>2009/10</c:v>
                </c:pt>
                <c:pt idx="12">
                  <c:v>2010/11</c:v>
                </c:pt>
                <c:pt idx="13">
                  <c:v>2011/12</c:v>
                </c:pt>
              </c:strCache>
            </c:strRef>
          </c:cat>
          <c:val>
            <c:numRef>
              <c:f>Prescribing!$J$57:$J$70</c:f>
              <c:numCache>
                <c:formatCode>General</c:formatCode>
                <c:ptCount val="14"/>
                <c:pt idx="0">
                  <c:v>1</c:v>
                </c:pt>
                <c:pt idx="1">
                  <c:v>1.1324564190971687</c:v>
                </c:pt>
                <c:pt idx="2">
                  <c:v>1.1774894162427625</c:v>
                </c:pt>
                <c:pt idx="3">
                  <c:v>1.3087047216854422</c:v>
                </c:pt>
                <c:pt idx="4">
                  <c:v>1.4623653883753096</c:v>
                </c:pt>
                <c:pt idx="5">
                  <c:v>1.5970540835631779</c:v>
                </c:pt>
                <c:pt idx="6">
                  <c:v>1.6864774040436803</c:v>
                </c:pt>
                <c:pt idx="7">
                  <c:v>1.6696647257853063</c:v>
                </c:pt>
                <c:pt idx="8">
                  <c:v>1.7190121189436687</c:v>
                </c:pt>
                <c:pt idx="9">
                  <c:v>1.730091920368426</c:v>
                </c:pt>
                <c:pt idx="10">
                  <c:v>1.7452527024183346</c:v>
                </c:pt>
                <c:pt idx="11">
                  <c:v>1.7963327982264246</c:v>
                </c:pt>
                <c:pt idx="12">
                  <c:v>1.8503627105379352</c:v>
                </c:pt>
                <c:pt idx="13">
                  <c:v>1.8289497563970318</c:v>
                </c:pt>
              </c:numCache>
            </c:numRef>
          </c:val>
          <c:smooth val="0"/>
        </c:ser>
        <c:ser>
          <c:idx val="3"/>
          <c:order val="3"/>
          <c:tx>
            <c:strRef>
              <c:f>Prescribing!$F$54</c:f>
              <c:strCache>
                <c:ptCount val="1"/>
                <c:pt idx="0">
                  <c:v>Average cost</c:v>
                </c:pt>
              </c:strCache>
            </c:strRef>
          </c:tx>
          <c:spPr>
            <a:ln w="25400">
              <a:solidFill>
                <a:schemeClr val="accent1">
                  <a:lumMod val="50000"/>
                </a:schemeClr>
              </a:solidFill>
              <a:prstDash val="lgDash"/>
            </a:ln>
          </c:spPr>
          <c:marker>
            <c:symbol val="none"/>
          </c:marker>
          <c:cat>
            <c:strRef>
              <c:f>Prescribing!$B$56:$B$69</c:f>
              <c:strCache>
                <c:ptCount val="14"/>
                <c:pt idx="0">
                  <c:v>1998/99</c:v>
                </c:pt>
                <c:pt idx="1">
                  <c:v>1999/00</c:v>
                </c:pt>
                <c:pt idx="2">
                  <c:v>2000/01</c:v>
                </c:pt>
                <c:pt idx="3">
                  <c:v>2001/02</c:v>
                </c:pt>
                <c:pt idx="4">
                  <c:v>2002/03</c:v>
                </c:pt>
                <c:pt idx="5">
                  <c:v>2003/04</c:v>
                </c:pt>
                <c:pt idx="6">
                  <c:v>2004/05</c:v>
                </c:pt>
                <c:pt idx="7">
                  <c:v>2005/06</c:v>
                </c:pt>
                <c:pt idx="8">
                  <c:v>2006/07</c:v>
                </c:pt>
                <c:pt idx="9">
                  <c:v>2007/08</c:v>
                </c:pt>
                <c:pt idx="10">
                  <c:v>2008/09</c:v>
                </c:pt>
                <c:pt idx="11">
                  <c:v>2009/10</c:v>
                </c:pt>
                <c:pt idx="12">
                  <c:v>2010/11</c:v>
                </c:pt>
                <c:pt idx="13">
                  <c:v>2011/12</c:v>
                </c:pt>
              </c:strCache>
            </c:strRef>
          </c:cat>
          <c:val>
            <c:numRef>
              <c:f>Prescribing!$K$57:$K$70</c:f>
              <c:numCache>
                <c:formatCode>General</c:formatCode>
                <c:ptCount val="14"/>
                <c:pt idx="0">
                  <c:v>1</c:v>
                </c:pt>
                <c:pt idx="1">
                  <c:v>1.0947622858522417</c:v>
                </c:pt>
                <c:pt idx="2">
                  <c:v>1.0830342787847385</c:v>
                </c:pt>
                <c:pt idx="3">
                  <c:v>1.141697807497454</c:v>
                </c:pt>
                <c:pt idx="4">
                  <c:v>1.2093239966391485</c:v>
                </c:pt>
                <c:pt idx="5">
                  <c:v>1.2505688806843227</c:v>
                </c:pt>
                <c:pt idx="6">
                  <c:v>1.258471917252624</c:v>
                </c:pt>
                <c:pt idx="7">
                  <c:v>1.1761313528516333</c:v>
                </c:pt>
                <c:pt idx="8">
                  <c:v>1.163860873837858</c:v>
                </c:pt>
                <c:pt idx="9">
                  <c:v>1.1120644662996877</c:v>
                </c:pt>
                <c:pt idx="10">
                  <c:v>1.0570851294886328</c:v>
                </c:pt>
                <c:pt idx="11">
                  <c:v>1.0331879909332646</c:v>
                </c:pt>
                <c:pt idx="12">
                  <c:v>1.0199362281505135</c:v>
                </c:pt>
                <c:pt idx="13">
                  <c:v>0.97018747134965855</c:v>
                </c:pt>
              </c:numCache>
            </c:numRef>
          </c:val>
          <c:smooth val="0"/>
        </c:ser>
        <c:dLbls>
          <c:showLegendKey val="0"/>
          <c:showVal val="0"/>
          <c:showCatName val="0"/>
          <c:showSerName val="0"/>
          <c:showPercent val="0"/>
          <c:showBubbleSize val="0"/>
        </c:dLbls>
        <c:marker val="1"/>
        <c:smooth val="0"/>
        <c:axId val="111724032"/>
        <c:axId val="111725568"/>
      </c:lineChart>
      <c:catAx>
        <c:axId val="111724032"/>
        <c:scaling>
          <c:orientation val="minMax"/>
        </c:scaling>
        <c:delete val="0"/>
        <c:axPos val="b"/>
        <c:numFmt formatCode="General" sourceLinked="1"/>
        <c:majorTickMark val="none"/>
        <c:minorTickMark val="none"/>
        <c:tickLblPos val="nextTo"/>
        <c:txPr>
          <a:bodyPr rot="5400000" vert="horz"/>
          <a:lstStyle/>
          <a:p>
            <a:pPr>
              <a:defRPr sz="800"/>
            </a:pPr>
            <a:endParaRPr lang="en-US"/>
          </a:p>
        </c:txPr>
        <c:crossAx val="111725568"/>
        <c:crosses val="autoZero"/>
        <c:auto val="1"/>
        <c:lblAlgn val="ctr"/>
        <c:lblOffset val="100"/>
        <c:noMultiLvlLbl val="0"/>
      </c:catAx>
      <c:valAx>
        <c:axId val="111725568"/>
        <c:scaling>
          <c:orientation val="minMax"/>
          <c:min val="0.9"/>
        </c:scaling>
        <c:delete val="0"/>
        <c:axPos val="l"/>
        <c:numFmt formatCode="General" sourceLinked="1"/>
        <c:majorTickMark val="none"/>
        <c:minorTickMark val="none"/>
        <c:tickLblPos val="nextTo"/>
        <c:crossAx val="111724032"/>
        <c:crosses val="autoZero"/>
        <c:crossBetween val="between"/>
      </c:valAx>
    </c:plotArea>
    <c:legend>
      <c:legendPos val="b"/>
      <c:overlay val="0"/>
    </c:legend>
    <c:plotVisOnly val="1"/>
    <c:dispBlanksAs val="gap"/>
    <c:showDLblsOverMax val="0"/>
  </c:chart>
  <c:spPr>
    <a:ln>
      <a:noFill/>
    </a:ln>
  </c:spPr>
  <c:printSettings>
    <c:headerFooter/>
    <c:pageMargins b="0.75000000000000078" l="0.70000000000000062" r="0.70000000000000062" t="0.75000000000000078"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Output_growth!$A$140</c:f>
              <c:strCache>
                <c:ptCount val="1"/>
                <c:pt idx="0">
                  <c:v>Hospital</c:v>
                </c:pt>
              </c:strCache>
            </c:strRef>
          </c:tx>
          <c:marker>
            <c:symbol val="none"/>
          </c:marker>
          <c:cat>
            <c:strRef>
              <c:f>Output_growth!$B$100:$O$100</c:f>
              <c:strCache>
                <c:ptCount val="14"/>
                <c:pt idx="0">
                  <c:v>1998/99</c:v>
                </c:pt>
                <c:pt idx="1">
                  <c:v>1999/00</c:v>
                </c:pt>
                <c:pt idx="2">
                  <c:v>2000/01</c:v>
                </c:pt>
                <c:pt idx="3">
                  <c:v>2001/02</c:v>
                </c:pt>
                <c:pt idx="4">
                  <c:v>2002/03</c:v>
                </c:pt>
                <c:pt idx="5">
                  <c:v>2003/04</c:v>
                </c:pt>
                <c:pt idx="6">
                  <c:v>2004/05</c:v>
                </c:pt>
                <c:pt idx="7">
                  <c:v>2005/06</c:v>
                </c:pt>
                <c:pt idx="8">
                  <c:v>2006/07</c:v>
                </c:pt>
                <c:pt idx="9">
                  <c:v>2007/08</c:v>
                </c:pt>
                <c:pt idx="10">
                  <c:v>2008/09</c:v>
                </c:pt>
                <c:pt idx="11">
                  <c:v>2009/10</c:v>
                </c:pt>
                <c:pt idx="12">
                  <c:v>2010/11</c:v>
                </c:pt>
                <c:pt idx="13">
                  <c:v>2011/12</c:v>
                </c:pt>
              </c:strCache>
            </c:strRef>
          </c:cat>
          <c:val>
            <c:numRef>
              <c:f>Output_growth!$B$142:$O$142</c:f>
              <c:numCache>
                <c:formatCode>General</c:formatCode>
                <c:ptCount val="14"/>
                <c:pt idx="0">
                  <c:v>1</c:v>
                </c:pt>
                <c:pt idx="1">
                  <c:v>1</c:v>
                </c:pt>
                <c:pt idx="2">
                  <c:v>1.0443584967706963</c:v>
                </c:pt>
                <c:pt idx="3">
                  <c:v>1.0793314781086625</c:v>
                </c:pt>
                <c:pt idx="4">
                  <c:v>1.1292960981856668</c:v>
                </c:pt>
                <c:pt idx="5">
                  <c:v>1.1912437238151998</c:v>
                </c:pt>
                <c:pt idx="6">
                  <c:v>1.313091475110016</c:v>
                </c:pt>
                <c:pt idx="7">
                  <c:v>1.4438209228110381</c:v>
                </c:pt>
                <c:pt idx="8">
                  <c:v>1.3454503654378513</c:v>
                </c:pt>
                <c:pt idx="9">
                  <c:v>1.458541467278994</c:v>
                </c:pt>
                <c:pt idx="10">
                  <c:v>1.5648265508327881</c:v>
                </c:pt>
                <c:pt idx="11">
                  <c:v>1.7179138452660698</c:v>
                </c:pt>
                <c:pt idx="12">
                  <c:v>1.7567936714121315</c:v>
                </c:pt>
                <c:pt idx="13">
                  <c:v>1.7956188115503395</c:v>
                </c:pt>
              </c:numCache>
            </c:numRef>
          </c:val>
          <c:smooth val="0"/>
        </c:ser>
        <c:ser>
          <c:idx val="1"/>
          <c:order val="1"/>
          <c:tx>
            <c:strRef>
              <c:f>Output_growth!$A$141</c:f>
              <c:strCache>
                <c:ptCount val="1"/>
                <c:pt idx="0">
                  <c:v>Hospital Quality Adjusted</c:v>
                </c:pt>
              </c:strCache>
            </c:strRef>
          </c:tx>
          <c:marker>
            <c:symbol val="none"/>
          </c:marker>
          <c:cat>
            <c:strRef>
              <c:f>Output_growth!$B$100:$O$100</c:f>
              <c:strCache>
                <c:ptCount val="14"/>
                <c:pt idx="0">
                  <c:v>1998/99</c:v>
                </c:pt>
                <c:pt idx="1">
                  <c:v>1999/00</c:v>
                </c:pt>
                <c:pt idx="2">
                  <c:v>2000/01</c:v>
                </c:pt>
                <c:pt idx="3">
                  <c:v>2001/02</c:v>
                </c:pt>
                <c:pt idx="4">
                  <c:v>2002/03</c:v>
                </c:pt>
                <c:pt idx="5">
                  <c:v>2003/04</c:v>
                </c:pt>
                <c:pt idx="6">
                  <c:v>2004/05</c:v>
                </c:pt>
                <c:pt idx="7">
                  <c:v>2005/06</c:v>
                </c:pt>
                <c:pt idx="8">
                  <c:v>2006/07</c:v>
                </c:pt>
                <c:pt idx="9">
                  <c:v>2007/08</c:v>
                </c:pt>
                <c:pt idx="10">
                  <c:v>2008/09</c:v>
                </c:pt>
                <c:pt idx="11">
                  <c:v>2009/10</c:v>
                </c:pt>
                <c:pt idx="12">
                  <c:v>2010/11</c:v>
                </c:pt>
                <c:pt idx="13">
                  <c:v>2011/12</c:v>
                </c:pt>
              </c:strCache>
            </c:strRef>
          </c:cat>
          <c:val>
            <c:numRef>
              <c:f>Output_growth!$S$71:$AF$71</c:f>
              <c:numCache>
                <c:formatCode>General</c:formatCode>
                <c:ptCount val="14"/>
                <c:pt idx="0">
                  <c:v>1</c:v>
                </c:pt>
                <c:pt idx="1">
                  <c:v>1.0101602449399893</c:v>
                </c:pt>
                <c:pt idx="2">
                  <c:v>1.022920929474934</c:v>
                </c:pt>
                <c:pt idx="3">
                  <c:v>1.0296156599057082</c:v>
                </c:pt>
                <c:pt idx="4">
                  <c:v>1.0964512745548223</c:v>
                </c:pt>
                <c:pt idx="5">
                  <c:v>1.1761317761716807</c:v>
                </c:pt>
                <c:pt idx="6">
                  <c:v>1.2427342504501058</c:v>
                </c:pt>
                <c:pt idx="7">
                  <c:v>1.3310926556571083</c:v>
                </c:pt>
                <c:pt idx="8">
                  <c:v>1.4176136782748203</c:v>
                </c:pt>
                <c:pt idx="9">
                  <c:v>1.4694983388996787</c:v>
                </c:pt>
                <c:pt idx="10">
                  <c:v>1.5317960773302397</c:v>
                </c:pt>
                <c:pt idx="11">
                  <c:v>1.55118625475357</c:v>
                </c:pt>
                <c:pt idx="12">
                  <c:v>1.6276584735323554</c:v>
                </c:pt>
                <c:pt idx="13">
                  <c:v>1.6775729323148627</c:v>
                </c:pt>
              </c:numCache>
            </c:numRef>
          </c:val>
          <c:smooth val="0"/>
        </c:ser>
        <c:ser>
          <c:idx val="2"/>
          <c:order val="2"/>
          <c:tx>
            <c:strRef>
              <c:f>Output_growth!$A$142</c:f>
              <c:strCache>
                <c:ptCount val="1"/>
                <c:pt idx="0">
                  <c:v>Outpatient</c:v>
                </c:pt>
              </c:strCache>
            </c:strRef>
          </c:tx>
          <c:marker>
            <c:symbol val="none"/>
          </c:marker>
          <c:cat>
            <c:strRef>
              <c:f>Output_growth!$B$100:$O$100</c:f>
              <c:strCache>
                <c:ptCount val="14"/>
                <c:pt idx="0">
                  <c:v>1998/99</c:v>
                </c:pt>
                <c:pt idx="1">
                  <c:v>1999/00</c:v>
                </c:pt>
                <c:pt idx="2">
                  <c:v>2000/01</c:v>
                </c:pt>
                <c:pt idx="3">
                  <c:v>2001/02</c:v>
                </c:pt>
                <c:pt idx="4">
                  <c:v>2002/03</c:v>
                </c:pt>
                <c:pt idx="5">
                  <c:v>2003/04</c:v>
                </c:pt>
                <c:pt idx="6">
                  <c:v>2004/05</c:v>
                </c:pt>
                <c:pt idx="7">
                  <c:v>2005/06</c:v>
                </c:pt>
                <c:pt idx="8">
                  <c:v>2006/07</c:v>
                </c:pt>
                <c:pt idx="9">
                  <c:v>2007/08</c:v>
                </c:pt>
                <c:pt idx="10">
                  <c:v>2008/09</c:v>
                </c:pt>
                <c:pt idx="11">
                  <c:v>2009/10</c:v>
                </c:pt>
                <c:pt idx="12">
                  <c:v>2010/11</c:v>
                </c:pt>
                <c:pt idx="13">
                  <c:v>2011/12</c:v>
                </c:pt>
              </c:strCache>
            </c:strRef>
          </c:cat>
          <c:val>
            <c:numRef>
              <c:f>Output_growth!$B$142:$O$142</c:f>
              <c:numCache>
                <c:formatCode>General</c:formatCode>
                <c:ptCount val="14"/>
                <c:pt idx="0">
                  <c:v>1</c:v>
                </c:pt>
                <c:pt idx="1">
                  <c:v>1</c:v>
                </c:pt>
                <c:pt idx="2">
                  <c:v>1.0443584967706963</c:v>
                </c:pt>
                <c:pt idx="3">
                  <c:v>1.0793314781086625</c:v>
                </c:pt>
                <c:pt idx="4">
                  <c:v>1.1292960981856668</c:v>
                </c:pt>
                <c:pt idx="5">
                  <c:v>1.1912437238151998</c:v>
                </c:pt>
                <c:pt idx="6">
                  <c:v>1.313091475110016</c:v>
                </c:pt>
                <c:pt idx="7">
                  <c:v>1.4438209228110381</c:v>
                </c:pt>
                <c:pt idx="8">
                  <c:v>1.3454503654378513</c:v>
                </c:pt>
                <c:pt idx="9">
                  <c:v>1.458541467278994</c:v>
                </c:pt>
                <c:pt idx="10">
                  <c:v>1.5648265508327881</c:v>
                </c:pt>
                <c:pt idx="11">
                  <c:v>1.7179138452660698</c:v>
                </c:pt>
                <c:pt idx="12">
                  <c:v>1.7567936714121315</c:v>
                </c:pt>
                <c:pt idx="13">
                  <c:v>1.7956188115503395</c:v>
                </c:pt>
              </c:numCache>
            </c:numRef>
          </c:val>
          <c:smooth val="0"/>
        </c:ser>
        <c:ser>
          <c:idx val="3"/>
          <c:order val="3"/>
          <c:tx>
            <c:strRef>
              <c:f>Output_growth!$A$148</c:f>
              <c:strCache>
                <c:ptCount val="1"/>
                <c:pt idx="0">
                  <c:v>Prescribing</c:v>
                </c:pt>
              </c:strCache>
            </c:strRef>
          </c:tx>
          <c:marker>
            <c:symbol val="none"/>
          </c:marker>
          <c:cat>
            <c:strRef>
              <c:f>Output_growth!$B$100:$O$100</c:f>
              <c:strCache>
                <c:ptCount val="14"/>
                <c:pt idx="0">
                  <c:v>1998/99</c:v>
                </c:pt>
                <c:pt idx="1">
                  <c:v>1999/00</c:v>
                </c:pt>
                <c:pt idx="2">
                  <c:v>2000/01</c:v>
                </c:pt>
                <c:pt idx="3">
                  <c:v>2001/02</c:v>
                </c:pt>
                <c:pt idx="4">
                  <c:v>2002/03</c:v>
                </c:pt>
                <c:pt idx="5">
                  <c:v>2003/04</c:v>
                </c:pt>
                <c:pt idx="6">
                  <c:v>2004/05</c:v>
                </c:pt>
                <c:pt idx="7">
                  <c:v>2005/06</c:v>
                </c:pt>
                <c:pt idx="8">
                  <c:v>2006/07</c:v>
                </c:pt>
                <c:pt idx="9">
                  <c:v>2007/08</c:v>
                </c:pt>
                <c:pt idx="10">
                  <c:v>2008/09</c:v>
                </c:pt>
                <c:pt idx="11">
                  <c:v>2009/10</c:v>
                </c:pt>
                <c:pt idx="12">
                  <c:v>2010/11</c:v>
                </c:pt>
                <c:pt idx="13">
                  <c:v>2011/12</c:v>
                </c:pt>
              </c:strCache>
            </c:strRef>
          </c:cat>
          <c:val>
            <c:numRef>
              <c:f>Output_growth!$S$75:$AF$75</c:f>
              <c:numCache>
                <c:formatCode>General</c:formatCode>
                <c:ptCount val="14"/>
                <c:pt idx="0">
                  <c:v>1</c:v>
                </c:pt>
                <c:pt idx="1">
                  <c:v>1.0502956866035564</c:v>
                </c:pt>
                <c:pt idx="2">
                  <c:v>1.1162859276909116</c:v>
                </c:pt>
                <c:pt idx="3">
                  <c:v>1.2002269926736258</c:v>
                </c:pt>
                <c:pt idx="4">
                  <c:v>1.2936741455066179</c:v>
                </c:pt>
                <c:pt idx="5">
                  <c:v>1.3944103037450177</c:v>
                </c:pt>
                <c:pt idx="6">
                  <c:v>1.5017637106707791</c:v>
                </c:pt>
                <c:pt idx="7">
                  <c:v>1.622226690567373</c:v>
                </c:pt>
                <c:pt idx="8">
                  <c:v>1.7182112798340019</c:v>
                </c:pt>
                <c:pt idx="9">
                  <c:v>1.8334137163776631</c:v>
                </c:pt>
                <c:pt idx="10">
                  <c:v>1.9499286954114574</c:v>
                </c:pt>
                <c:pt idx="11">
                  <c:v>2.0850277161598032</c:v>
                </c:pt>
                <c:pt idx="12">
                  <c:v>2.1842935598626143</c:v>
                </c:pt>
                <c:pt idx="13">
                  <c:v>2.2574584878946853</c:v>
                </c:pt>
              </c:numCache>
            </c:numRef>
          </c:val>
          <c:smooth val="0"/>
        </c:ser>
        <c:ser>
          <c:idx val="4"/>
          <c:order val="4"/>
          <c:tx>
            <c:strRef>
              <c:f>Output_growth!$A$143</c:f>
              <c:strCache>
                <c:ptCount val="1"/>
                <c:pt idx="0">
                  <c:v>Mental Health</c:v>
                </c:pt>
              </c:strCache>
            </c:strRef>
          </c:tx>
          <c:marker>
            <c:symbol val="none"/>
          </c:marker>
          <c:cat>
            <c:strRef>
              <c:f>Output_growth!$B$100:$O$100</c:f>
              <c:strCache>
                <c:ptCount val="14"/>
                <c:pt idx="0">
                  <c:v>1998/99</c:v>
                </c:pt>
                <c:pt idx="1">
                  <c:v>1999/00</c:v>
                </c:pt>
                <c:pt idx="2">
                  <c:v>2000/01</c:v>
                </c:pt>
                <c:pt idx="3">
                  <c:v>2001/02</c:v>
                </c:pt>
                <c:pt idx="4">
                  <c:v>2002/03</c:v>
                </c:pt>
                <c:pt idx="5">
                  <c:v>2003/04</c:v>
                </c:pt>
                <c:pt idx="6">
                  <c:v>2004/05</c:v>
                </c:pt>
                <c:pt idx="7">
                  <c:v>2005/06</c:v>
                </c:pt>
                <c:pt idx="8">
                  <c:v>2006/07</c:v>
                </c:pt>
                <c:pt idx="9">
                  <c:v>2007/08</c:v>
                </c:pt>
                <c:pt idx="10">
                  <c:v>2008/09</c:v>
                </c:pt>
                <c:pt idx="11">
                  <c:v>2009/10</c:v>
                </c:pt>
                <c:pt idx="12">
                  <c:v>2010/11</c:v>
                </c:pt>
                <c:pt idx="13">
                  <c:v>2011/12</c:v>
                </c:pt>
              </c:strCache>
            </c:strRef>
          </c:cat>
          <c:val>
            <c:numRef>
              <c:f>Output_growth!$S$73:$AF$73</c:f>
              <c:numCache>
                <c:formatCode>General</c:formatCode>
                <c:ptCount val="14"/>
                <c:pt idx="0">
                  <c:v>1</c:v>
                </c:pt>
                <c:pt idx="1">
                  <c:v>1.0830031645458746</c:v>
                </c:pt>
                <c:pt idx="2">
                  <c:v>1.1189098860234143</c:v>
                </c:pt>
                <c:pt idx="3">
                  <c:v>1.274598585941993</c:v>
                </c:pt>
                <c:pt idx="4">
                  <c:v>1.2421846570198152</c:v>
                </c:pt>
                <c:pt idx="5">
                  <c:v>1.2036165604545792</c:v>
                </c:pt>
                <c:pt idx="6">
                  <c:v>1.3413117270176207</c:v>
                </c:pt>
                <c:pt idx="7">
                  <c:v>1.4686884963150255</c:v>
                </c:pt>
                <c:pt idx="8">
                  <c:v>1.5396615840401395</c:v>
                </c:pt>
                <c:pt idx="9">
                  <c:v>1.8650079014136476</c:v>
                </c:pt>
                <c:pt idx="10">
                  <c:v>1.6191744958998697</c:v>
                </c:pt>
                <c:pt idx="11">
                  <c:v>1.6823686096305472</c:v>
                </c:pt>
                <c:pt idx="12">
                  <c:v>1.7306307179350187</c:v>
                </c:pt>
              </c:numCache>
            </c:numRef>
          </c:val>
          <c:smooth val="0"/>
        </c:ser>
        <c:ser>
          <c:idx val="5"/>
          <c:order val="5"/>
          <c:tx>
            <c:strRef>
              <c:f>Output_growth!$A$144</c:f>
              <c:strCache>
                <c:ptCount val="1"/>
                <c:pt idx="0">
                  <c:v>Community Care</c:v>
                </c:pt>
              </c:strCache>
            </c:strRef>
          </c:tx>
          <c:marker>
            <c:symbol val="none"/>
          </c:marker>
          <c:cat>
            <c:strRef>
              <c:f>Output_growth!$B$100:$O$100</c:f>
              <c:strCache>
                <c:ptCount val="14"/>
                <c:pt idx="0">
                  <c:v>1998/99</c:v>
                </c:pt>
                <c:pt idx="1">
                  <c:v>1999/00</c:v>
                </c:pt>
                <c:pt idx="2">
                  <c:v>2000/01</c:v>
                </c:pt>
                <c:pt idx="3">
                  <c:v>2001/02</c:v>
                </c:pt>
                <c:pt idx="4">
                  <c:v>2002/03</c:v>
                </c:pt>
                <c:pt idx="5">
                  <c:v>2003/04</c:v>
                </c:pt>
                <c:pt idx="6">
                  <c:v>2004/05</c:v>
                </c:pt>
                <c:pt idx="7">
                  <c:v>2005/06</c:v>
                </c:pt>
                <c:pt idx="8">
                  <c:v>2006/07</c:v>
                </c:pt>
                <c:pt idx="9">
                  <c:v>2007/08</c:v>
                </c:pt>
                <c:pt idx="10">
                  <c:v>2008/09</c:v>
                </c:pt>
                <c:pt idx="11">
                  <c:v>2009/10</c:v>
                </c:pt>
                <c:pt idx="12">
                  <c:v>2010/11</c:v>
                </c:pt>
                <c:pt idx="13">
                  <c:v>2011/12</c:v>
                </c:pt>
              </c:strCache>
            </c:strRef>
          </c:cat>
          <c:val>
            <c:numRef>
              <c:f>Output_growth!$S$70:$AF$70</c:f>
              <c:numCache>
                <c:formatCode>General</c:formatCode>
                <c:ptCount val="14"/>
                <c:pt idx="0">
                  <c:v>1</c:v>
                </c:pt>
                <c:pt idx="1">
                  <c:v>1</c:v>
                </c:pt>
                <c:pt idx="2">
                  <c:v>1</c:v>
                </c:pt>
                <c:pt idx="3">
                  <c:v>1.0039987584829395</c:v>
                </c:pt>
                <c:pt idx="4">
                  <c:v>1.0337291559357029</c:v>
                </c:pt>
                <c:pt idx="5">
                  <c:v>0.96079878662557117</c:v>
                </c:pt>
                <c:pt idx="6">
                  <c:v>0.97616130562554326</c:v>
                </c:pt>
                <c:pt idx="7">
                  <c:v>1.0762465302619568</c:v>
                </c:pt>
                <c:pt idx="8">
                  <c:v>1.0692892901933708</c:v>
                </c:pt>
                <c:pt idx="9">
                  <c:v>1.1063355140125737</c:v>
                </c:pt>
                <c:pt idx="10">
                  <c:v>1.1510219542932612</c:v>
                </c:pt>
                <c:pt idx="11">
                  <c:v>1.2251486889673107</c:v>
                </c:pt>
                <c:pt idx="12">
                  <c:v>1.2281487105619848</c:v>
                </c:pt>
                <c:pt idx="13">
                  <c:v>1.106123907571291</c:v>
                </c:pt>
              </c:numCache>
            </c:numRef>
          </c:val>
          <c:smooth val="0"/>
        </c:ser>
        <c:ser>
          <c:idx val="6"/>
          <c:order val="6"/>
          <c:tx>
            <c:strRef>
              <c:f>Output_growth!$A$145</c:f>
              <c:strCache>
                <c:ptCount val="1"/>
                <c:pt idx="0">
                  <c:v>Other NHS activity</c:v>
                </c:pt>
              </c:strCache>
            </c:strRef>
          </c:tx>
          <c:marker>
            <c:symbol val="none"/>
          </c:marker>
          <c:cat>
            <c:strRef>
              <c:f>Output_growth!$B$100:$O$100</c:f>
              <c:strCache>
                <c:ptCount val="14"/>
                <c:pt idx="0">
                  <c:v>1998/99</c:v>
                </c:pt>
                <c:pt idx="1">
                  <c:v>1999/00</c:v>
                </c:pt>
                <c:pt idx="2">
                  <c:v>2000/01</c:v>
                </c:pt>
                <c:pt idx="3">
                  <c:v>2001/02</c:v>
                </c:pt>
                <c:pt idx="4">
                  <c:v>2002/03</c:v>
                </c:pt>
                <c:pt idx="5">
                  <c:v>2003/04</c:v>
                </c:pt>
                <c:pt idx="6">
                  <c:v>2004/05</c:v>
                </c:pt>
                <c:pt idx="7">
                  <c:v>2005/06</c:v>
                </c:pt>
                <c:pt idx="8">
                  <c:v>2006/07</c:v>
                </c:pt>
                <c:pt idx="9">
                  <c:v>2007/08</c:v>
                </c:pt>
                <c:pt idx="10">
                  <c:v>2008/09</c:v>
                </c:pt>
                <c:pt idx="11">
                  <c:v>2009/10</c:v>
                </c:pt>
                <c:pt idx="12">
                  <c:v>2010/11</c:v>
                </c:pt>
                <c:pt idx="13">
                  <c:v>2011/12</c:v>
                </c:pt>
              </c:strCache>
            </c:strRef>
          </c:cat>
          <c:val>
            <c:numRef>
              <c:f>Output_growth!$S$77:$AF$77</c:f>
              <c:numCache>
                <c:formatCode>General</c:formatCode>
                <c:ptCount val="14"/>
                <c:pt idx="0">
                  <c:v>1</c:v>
                </c:pt>
                <c:pt idx="1">
                  <c:v>1.0332232747655661</c:v>
                </c:pt>
                <c:pt idx="2">
                  <c:v>1.0572453325709206</c:v>
                </c:pt>
                <c:pt idx="3">
                  <c:v>1.1794501525022827</c:v>
                </c:pt>
                <c:pt idx="4">
                  <c:v>1.2754460903029188</c:v>
                </c:pt>
                <c:pt idx="5">
                  <c:v>1.3746732866158544</c:v>
                </c:pt>
                <c:pt idx="6">
                  <c:v>1.6101350536133869</c:v>
                </c:pt>
                <c:pt idx="7">
                  <c:v>1.6607494960571834</c:v>
                </c:pt>
                <c:pt idx="8">
                  <c:v>2.027321490282505</c:v>
                </c:pt>
                <c:pt idx="9">
                  <c:v>1.9329205125297464</c:v>
                </c:pt>
                <c:pt idx="10">
                  <c:v>2.2622873221154944</c:v>
                </c:pt>
                <c:pt idx="11">
                  <c:v>2.5060063672854915</c:v>
                </c:pt>
                <c:pt idx="12">
                  <c:v>2.5816343270235214</c:v>
                </c:pt>
                <c:pt idx="13">
                  <c:v>2.7035491030195353</c:v>
                </c:pt>
              </c:numCache>
            </c:numRef>
          </c:val>
          <c:smooth val="0"/>
        </c:ser>
        <c:ser>
          <c:idx val="7"/>
          <c:order val="7"/>
          <c:tx>
            <c:strRef>
              <c:f>Output_growth!$A$146</c:f>
              <c:strCache>
                <c:ptCount val="1"/>
                <c:pt idx="0">
                  <c:v>Primary Care</c:v>
                </c:pt>
              </c:strCache>
            </c:strRef>
          </c:tx>
          <c:marker>
            <c:symbol val="none"/>
          </c:marker>
          <c:cat>
            <c:strRef>
              <c:f>Output_growth!$B$100:$O$100</c:f>
              <c:strCache>
                <c:ptCount val="14"/>
                <c:pt idx="0">
                  <c:v>1998/99</c:v>
                </c:pt>
                <c:pt idx="1">
                  <c:v>1999/00</c:v>
                </c:pt>
                <c:pt idx="2">
                  <c:v>2000/01</c:v>
                </c:pt>
                <c:pt idx="3">
                  <c:v>2001/02</c:v>
                </c:pt>
                <c:pt idx="4">
                  <c:v>2002/03</c:v>
                </c:pt>
                <c:pt idx="5">
                  <c:v>2003/04</c:v>
                </c:pt>
                <c:pt idx="6">
                  <c:v>2004/05</c:v>
                </c:pt>
                <c:pt idx="7">
                  <c:v>2005/06</c:v>
                </c:pt>
                <c:pt idx="8">
                  <c:v>2006/07</c:v>
                </c:pt>
                <c:pt idx="9">
                  <c:v>2007/08</c:v>
                </c:pt>
                <c:pt idx="10">
                  <c:v>2008/09</c:v>
                </c:pt>
                <c:pt idx="11">
                  <c:v>2009/10</c:v>
                </c:pt>
                <c:pt idx="12">
                  <c:v>2010/11</c:v>
                </c:pt>
                <c:pt idx="13">
                  <c:v>2011/12</c:v>
                </c:pt>
              </c:strCache>
            </c:strRef>
          </c:cat>
          <c:val>
            <c:numRef>
              <c:f>Output_growth!$S$72:$AF$72</c:f>
              <c:numCache>
                <c:formatCode>General</c:formatCode>
                <c:ptCount val="14"/>
                <c:pt idx="0">
                  <c:v>1</c:v>
                </c:pt>
                <c:pt idx="1">
                  <c:v>1.0069124423963134</c:v>
                </c:pt>
                <c:pt idx="2">
                  <c:v>0.99573428625547988</c:v>
                </c:pt>
                <c:pt idx="3">
                  <c:v>0.9705831735365491</c:v>
                </c:pt>
                <c:pt idx="4">
                  <c:v>1.0702370510970329</c:v>
                </c:pt>
                <c:pt idx="5">
                  <c:v>1.1232951498125194</c:v>
                </c:pt>
                <c:pt idx="6">
                  <c:v>1.1209284926693122</c:v>
                </c:pt>
                <c:pt idx="7">
                  <c:v>1.1840686442290773</c:v>
                </c:pt>
                <c:pt idx="8">
                  <c:v>1.216089110618523</c:v>
                </c:pt>
                <c:pt idx="9">
                  <c:v>1.2132462785340337</c:v>
                </c:pt>
                <c:pt idx="10">
                  <c:v>1.2460142977236743</c:v>
                </c:pt>
                <c:pt idx="11">
                  <c:v>1.2460142977236743</c:v>
                </c:pt>
                <c:pt idx="12">
                  <c:v>1.2030482875286368</c:v>
                </c:pt>
                <c:pt idx="13">
                  <c:v>1.2493193755105059</c:v>
                </c:pt>
              </c:numCache>
            </c:numRef>
          </c:val>
          <c:smooth val="0"/>
        </c:ser>
        <c:ser>
          <c:idx val="8"/>
          <c:order val="8"/>
          <c:tx>
            <c:strRef>
              <c:f>Output_growth!$R$56</c:f>
              <c:strCache>
                <c:ptCount val="1"/>
                <c:pt idx="0">
                  <c:v>Total Quality Adjusted NHS output growth </c:v>
                </c:pt>
              </c:strCache>
            </c:strRef>
          </c:tx>
          <c:marker>
            <c:symbol val="none"/>
          </c:marker>
          <c:cat>
            <c:strRef>
              <c:f>Output_growth!$B$100:$O$100</c:f>
              <c:strCache>
                <c:ptCount val="14"/>
                <c:pt idx="0">
                  <c:v>1998/99</c:v>
                </c:pt>
                <c:pt idx="1">
                  <c:v>1999/00</c:v>
                </c:pt>
                <c:pt idx="2">
                  <c:v>2000/01</c:v>
                </c:pt>
                <c:pt idx="3">
                  <c:v>2001/02</c:v>
                </c:pt>
                <c:pt idx="4">
                  <c:v>2002/03</c:v>
                </c:pt>
                <c:pt idx="5">
                  <c:v>2003/04</c:v>
                </c:pt>
                <c:pt idx="6">
                  <c:v>2004/05</c:v>
                </c:pt>
                <c:pt idx="7">
                  <c:v>2005/06</c:v>
                </c:pt>
                <c:pt idx="8">
                  <c:v>2006/07</c:v>
                </c:pt>
                <c:pt idx="9">
                  <c:v>2007/08</c:v>
                </c:pt>
                <c:pt idx="10">
                  <c:v>2008/09</c:v>
                </c:pt>
                <c:pt idx="11">
                  <c:v>2009/10</c:v>
                </c:pt>
                <c:pt idx="12">
                  <c:v>2010/11</c:v>
                </c:pt>
                <c:pt idx="13">
                  <c:v>2011/12</c:v>
                </c:pt>
              </c:strCache>
            </c:strRef>
          </c:cat>
          <c:val>
            <c:numRef>
              <c:f>Output_growth!$S$74:$AF$74</c:f>
              <c:numCache>
                <c:formatCode>General</c:formatCode>
                <c:ptCount val="14"/>
                <c:pt idx="0">
                  <c:v>1</c:v>
                </c:pt>
                <c:pt idx="1">
                  <c:v>1.0222316493100925</c:v>
                </c:pt>
                <c:pt idx="2">
                  <c:v>1.0453092244046749</c:v>
                </c:pt>
                <c:pt idx="3">
                  <c:v>1.0844485039914196</c:v>
                </c:pt>
                <c:pt idx="4">
                  <c:v>1.1471494312269173</c:v>
                </c:pt>
                <c:pt idx="5">
                  <c:v>1.2036652983287133</c:v>
                </c:pt>
                <c:pt idx="6">
                  <c:v>1.2812149937088639</c:v>
                </c:pt>
                <c:pt idx="7">
                  <c:v>1.3723196820993691</c:v>
                </c:pt>
                <c:pt idx="8">
                  <c:v>1.461488577372525</c:v>
                </c:pt>
                <c:pt idx="9">
                  <c:v>1.5149104304678511</c:v>
                </c:pt>
                <c:pt idx="10">
                  <c:v>1.6017602454465731</c:v>
                </c:pt>
                <c:pt idx="11">
                  <c:v>1.6676406443417906</c:v>
                </c:pt>
                <c:pt idx="12">
                  <c:v>1.7439318685391387</c:v>
                </c:pt>
                <c:pt idx="13">
                  <c:v>1.7989232721497834</c:v>
                </c:pt>
              </c:numCache>
            </c:numRef>
          </c:val>
          <c:smooth val="0"/>
        </c:ser>
        <c:dLbls>
          <c:showLegendKey val="0"/>
          <c:showVal val="0"/>
          <c:showCatName val="0"/>
          <c:showSerName val="0"/>
          <c:showPercent val="0"/>
          <c:showBubbleSize val="0"/>
        </c:dLbls>
        <c:marker val="1"/>
        <c:smooth val="0"/>
        <c:axId val="111563136"/>
        <c:axId val="111564672"/>
      </c:lineChart>
      <c:catAx>
        <c:axId val="111563136"/>
        <c:scaling>
          <c:orientation val="minMax"/>
        </c:scaling>
        <c:delete val="0"/>
        <c:axPos val="b"/>
        <c:numFmt formatCode="General" sourceLinked="0"/>
        <c:majorTickMark val="none"/>
        <c:minorTickMark val="none"/>
        <c:tickLblPos val="nextTo"/>
        <c:txPr>
          <a:bodyPr rot="5400000" vert="horz"/>
          <a:lstStyle/>
          <a:p>
            <a:pPr>
              <a:defRPr/>
            </a:pPr>
            <a:endParaRPr lang="en-US"/>
          </a:p>
        </c:txPr>
        <c:crossAx val="111564672"/>
        <c:crosses val="autoZero"/>
        <c:auto val="1"/>
        <c:lblAlgn val="ctr"/>
        <c:lblOffset val="100"/>
        <c:noMultiLvlLbl val="0"/>
      </c:catAx>
      <c:valAx>
        <c:axId val="111564672"/>
        <c:scaling>
          <c:orientation val="minMax"/>
          <c:min val="0.60000000000000053"/>
        </c:scaling>
        <c:delete val="0"/>
        <c:axPos val="l"/>
        <c:majorGridlines/>
        <c:numFmt formatCode="General" sourceLinked="1"/>
        <c:majorTickMark val="none"/>
        <c:minorTickMark val="none"/>
        <c:tickLblPos val="nextTo"/>
        <c:crossAx val="111563136"/>
        <c:crosses val="autoZero"/>
        <c:crossBetween val="between"/>
      </c:valAx>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lineChart>
        <c:grouping val="standard"/>
        <c:varyColors val="0"/>
        <c:ser>
          <c:idx val="0"/>
          <c:order val="0"/>
          <c:tx>
            <c:v>All trusts - old data</c:v>
          </c:tx>
          <c:spPr>
            <a:ln>
              <a:prstDash val="sysDash"/>
            </a:ln>
          </c:spPr>
          <c:marker>
            <c:symbol val="none"/>
          </c:marker>
          <c:cat>
            <c:strRef>
              <c:f>'Capital inputs - all'!$B$48:$O$48</c:f>
              <c:strCache>
                <c:ptCount val="14"/>
                <c:pt idx="0">
                  <c:v>1998/99</c:v>
                </c:pt>
                <c:pt idx="1">
                  <c:v>1999/00</c:v>
                </c:pt>
                <c:pt idx="2">
                  <c:v>2000/01</c:v>
                </c:pt>
                <c:pt idx="3">
                  <c:v>2000/02</c:v>
                </c:pt>
                <c:pt idx="4">
                  <c:v>2000/03</c:v>
                </c:pt>
                <c:pt idx="5">
                  <c:v>2000/04</c:v>
                </c:pt>
                <c:pt idx="6">
                  <c:v>2000/05</c:v>
                </c:pt>
                <c:pt idx="7">
                  <c:v>2000/06</c:v>
                </c:pt>
                <c:pt idx="8">
                  <c:v>2000/07</c:v>
                </c:pt>
                <c:pt idx="9">
                  <c:v>2000/08</c:v>
                </c:pt>
                <c:pt idx="10">
                  <c:v>2000/09</c:v>
                </c:pt>
                <c:pt idx="11">
                  <c:v>2000/10</c:v>
                </c:pt>
                <c:pt idx="12">
                  <c:v>2000/11</c:v>
                </c:pt>
                <c:pt idx="13">
                  <c:v>2000/12</c:v>
                </c:pt>
              </c:strCache>
            </c:strRef>
          </c:cat>
          <c:val>
            <c:numRef>
              <c:f>'Capital inputs - all'!$G$57:$G$70</c:f>
              <c:numCache>
                <c:formatCode>_-* #,##0_-;\-* #,##0_-;_-* "-"??_-;_-@_-</c:formatCode>
                <c:ptCount val="14"/>
                <c:pt idx="0">
                  <c:v>2010021.848</c:v>
                </c:pt>
                <c:pt idx="1">
                  <c:v>2089618.3663333301</c:v>
                </c:pt>
                <c:pt idx="2">
                  <c:v>2197552.8220000002</c:v>
                </c:pt>
                <c:pt idx="3">
                  <c:v>2231590.15366667</c:v>
                </c:pt>
                <c:pt idx="4">
                  <c:v>2327972.3616666701</c:v>
                </c:pt>
                <c:pt idx="5">
                  <c:v>2504506.085</c:v>
                </c:pt>
              </c:numCache>
            </c:numRef>
          </c:val>
          <c:smooth val="0"/>
        </c:ser>
        <c:ser>
          <c:idx val="1"/>
          <c:order val="1"/>
          <c:tx>
            <c:v>Total - old data</c:v>
          </c:tx>
          <c:spPr>
            <a:ln>
              <a:prstDash val="lgDashDotDot"/>
            </a:ln>
          </c:spPr>
          <c:marker>
            <c:symbol val="none"/>
          </c:marker>
          <c:cat>
            <c:strRef>
              <c:f>'Capital inputs - all'!$B$48:$O$48</c:f>
              <c:strCache>
                <c:ptCount val="14"/>
                <c:pt idx="0">
                  <c:v>1998/99</c:v>
                </c:pt>
                <c:pt idx="1">
                  <c:v>1999/00</c:v>
                </c:pt>
                <c:pt idx="2">
                  <c:v>2000/01</c:v>
                </c:pt>
                <c:pt idx="3">
                  <c:v>2000/02</c:v>
                </c:pt>
                <c:pt idx="4">
                  <c:v>2000/03</c:v>
                </c:pt>
                <c:pt idx="5">
                  <c:v>2000/04</c:v>
                </c:pt>
                <c:pt idx="6">
                  <c:v>2000/05</c:v>
                </c:pt>
                <c:pt idx="7">
                  <c:v>2000/06</c:v>
                </c:pt>
                <c:pt idx="8">
                  <c:v>2000/07</c:v>
                </c:pt>
                <c:pt idx="9">
                  <c:v>2000/08</c:v>
                </c:pt>
                <c:pt idx="10">
                  <c:v>2000/09</c:v>
                </c:pt>
                <c:pt idx="11">
                  <c:v>2000/10</c:v>
                </c:pt>
                <c:pt idx="12">
                  <c:v>2000/11</c:v>
                </c:pt>
                <c:pt idx="13">
                  <c:v>2000/12</c:v>
                </c:pt>
              </c:strCache>
            </c:strRef>
          </c:cat>
          <c:val>
            <c:numRef>
              <c:f>'Capital inputs - all'!$H$57:$H$70</c:f>
              <c:numCache>
                <c:formatCode>_-* #,##0_-;\-* #,##0_-;_-* "-"??_-;_-@_-</c:formatCode>
                <c:ptCount val="14"/>
                <c:pt idx="0">
                  <c:v>3395021.8480000002</c:v>
                </c:pt>
                <c:pt idx="1">
                  <c:v>3544618.3663333301</c:v>
                </c:pt>
                <c:pt idx="2">
                  <c:v>3815552.8220000002</c:v>
                </c:pt>
                <c:pt idx="3">
                  <c:v>3626590.15366667</c:v>
                </c:pt>
                <c:pt idx="4">
                  <c:v>3895972.3616666701</c:v>
                </c:pt>
                <c:pt idx="5">
                  <c:v>4134506.085</c:v>
                </c:pt>
              </c:numCache>
            </c:numRef>
          </c:val>
          <c:smooth val="0"/>
        </c:ser>
        <c:ser>
          <c:idx val="2"/>
          <c:order val="2"/>
          <c:tx>
            <c:v>All trusts - new data</c:v>
          </c:tx>
          <c:spPr>
            <a:ln>
              <a:prstDash val="lgDashDot"/>
            </a:ln>
          </c:spPr>
          <c:marker>
            <c:symbol val="none"/>
          </c:marker>
          <c:cat>
            <c:strRef>
              <c:f>'Capital inputs - all'!$B$48:$O$48</c:f>
              <c:strCache>
                <c:ptCount val="14"/>
                <c:pt idx="0">
                  <c:v>1998/99</c:v>
                </c:pt>
                <c:pt idx="1">
                  <c:v>1999/00</c:v>
                </c:pt>
                <c:pt idx="2">
                  <c:v>2000/01</c:v>
                </c:pt>
                <c:pt idx="3">
                  <c:v>2000/02</c:v>
                </c:pt>
                <c:pt idx="4">
                  <c:v>2000/03</c:v>
                </c:pt>
                <c:pt idx="5">
                  <c:v>2000/04</c:v>
                </c:pt>
                <c:pt idx="6">
                  <c:v>2000/05</c:v>
                </c:pt>
                <c:pt idx="7">
                  <c:v>2000/06</c:v>
                </c:pt>
                <c:pt idx="8">
                  <c:v>2000/07</c:v>
                </c:pt>
                <c:pt idx="9">
                  <c:v>2000/08</c:v>
                </c:pt>
                <c:pt idx="10">
                  <c:v>2000/09</c:v>
                </c:pt>
                <c:pt idx="11">
                  <c:v>2000/10</c:v>
                </c:pt>
                <c:pt idx="12">
                  <c:v>2000/11</c:v>
                </c:pt>
                <c:pt idx="13">
                  <c:v>2000/12</c:v>
                </c:pt>
              </c:strCache>
            </c:strRef>
          </c:cat>
          <c:val>
            <c:numRef>
              <c:f>'Capital inputs - all'!$I$57:$I$70</c:f>
              <c:numCache>
                <c:formatCode>General</c:formatCode>
                <c:ptCount val="14"/>
                <c:pt idx="6" formatCode="0;\-0;;@">
                  <c:v>4421465.1339764148</c:v>
                </c:pt>
                <c:pt idx="7" formatCode="0;\-0;;@">
                  <c:v>5047095.5</c:v>
                </c:pt>
                <c:pt idx="8" formatCode="0;\-0;;@">
                  <c:v>5692813.6799999997</c:v>
                </c:pt>
                <c:pt idx="9" formatCode="0;\-0;;@">
                  <c:v>6597634.0729</c:v>
                </c:pt>
                <c:pt idx="10" formatCode="0;\-0;;@">
                  <c:v>6302210.0633199997</c:v>
                </c:pt>
                <c:pt idx="11" formatCode="0;\-0;;@">
                  <c:v>6516513.7579399999</c:v>
                </c:pt>
                <c:pt idx="12" formatCode="0;\-0;;@">
                  <c:v>6839898</c:v>
                </c:pt>
                <c:pt idx="13" formatCode="0;\-0;;@">
                  <c:v>7363126.411328</c:v>
                </c:pt>
              </c:numCache>
            </c:numRef>
          </c:val>
          <c:smooth val="0"/>
        </c:ser>
        <c:ser>
          <c:idx val="3"/>
          <c:order val="3"/>
          <c:tx>
            <c:v>Total - new data</c:v>
          </c:tx>
          <c:marker>
            <c:symbol val="none"/>
          </c:marker>
          <c:cat>
            <c:strRef>
              <c:f>'Capital inputs - all'!$B$48:$O$48</c:f>
              <c:strCache>
                <c:ptCount val="14"/>
                <c:pt idx="0">
                  <c:v>1998/99</c:v>
                </c:pt>
                <c:pt idx="1">
                  <c:v>1999/00</c:v>
                </c:pt>
                <c:pt idx="2">
                  <c:v>2000/01</c:v>
                </c:pt>
                <c:pt idx="3">
                  <c:v>2000/02</c:v>
                </c:pt>
                <c:pt idx="4">
                  <c:v>2000/03</c:v>
                </c:pt>
                <c:pt idx="5">
                  <c:v>2000/04</c:v>
                </c:pt>
                <c:pt idx="6">
                  <c:v>2000/05</c:v>
                </c:pt>
                <c:pt idx="7">
                  <c:v>2000/06</c:v>
                </c:pt>
                <c:pt idx="8">
                  <c:v>2000/07</c:v>
                </c:pt>
                <c:pt idx="9">
                  <c:v>2000/08</c:v>
                </c:pt>
                <c:pt idx="10">
                  <c:v>2000/09</c:v>
                </c:pt>
                <c:pt idx="11">
                  <c:v>2000/10</c:v>
                </c:pt>
                <c:pt idx="12">
                  <c:v>2000/11</c:v>
                </c:pt>
                <c:pt idx="13">
                  <c:v>2000/12</c:v>
                </c:pt>
              </c:strCache>
            </c:strRef>
          </c:cat>
          <c:val>
            <c:numRef>
              <c:f>'Capital inputs - all'!$J$57:$J$70</c:f>
              <c:numCache>
                <c:formatCode>General</c:formatCode>
                <c:ptCount val="14"/>
                <c:pt idx="6" formatCode="0;\-0;;@">
                  <c:v>5115514.2809764491</c:v>
                </c:pt>
                <c:pt idx="7" formatCode="0;\-0;;@">
                  <c:v>5839664.3710000003</c:v>
                </c:pt>
                <c:pt idx="8" formatCode="0;\-0;;@">
                  <c:v>6568362.6799999997</c:v>
                </c:pt>
                <c:pt idx="9" formatCode="0;\-0;;@">
                  <c:v>7784592.0729</c:v>
                </c:pt>
                <c:pt idx="10" formatCode="0;\-0;;@">
                  <c:v>7426030.9178999998</c:v>
                </c:pt>
                <c:pt idx="11" formatCode="0;\-0;;@">
                  <c:v>7635390.1285600001</c:v>
                </c:pt>
                <c:pt idx="12" formatCode="0;\-0;;@">
                  <c:v>8025361</c:v>
                </c:pt>
                <c:pt idx="13" formatCode="0;\-0;;@">
                  <c:v>8265079.0023079999</c:v>
                </c:pt>
              </c:numCache>
            </c:numRef>
          </c:val>
          <c:smooth val="0"/>
        </c:ser>
        <c:dLbls>
          <c:showLegendKey val="0"/>
          <c:showVal val="0"/>
          <c:showCatName val="0"/>
          <c:showSerName val="0"/>
          <c:showPercent val="0"/>
          <c:showBubbleSize val="0"/>
        </c:dLbls>
        <c:marker val="1"/>
        <c:smooth val="0"/>
        <c:axId val="112310528"/>
        <c:axId val="112320512"/>
      </c:lineChart>
      <c:catAx>
        <c:axId val="112310528"/>
        <c:scaling>
          <c:orientation val="minMax"/>
        </c:scaling>
        <c:delete val="0"/>
        <c:axPos val="b"/>
        <c:numFmt formatCode="General" sourceLinked="0"/>
        <c:majorTickMark val="none"/>
        <c:minorTickMark val="none"/>
        <c:tickLblPos val="nextTo"/>
        <c:txPr>
          <a:bodyPr rot="5400000" vert="horz"/>
          <a:lstStyle/>
          <a:p>
            <a:pPr>
              <a:defRPr/>
            </a:pPr>
            <a:endParaRPr lang="en-US"/>
          </a:p>
        </c:txPr>
        <c:crossAx val="112320512"/>
        <c:crosses val="autoZero"/>
        <c:auto val="1"/>
        <c:lblAlgn val="ctr"/>
        <c:lblOffset val="100"/>
        <c:noMultiLvlLbl val="0"/>
      </c:catAx>
      <c:valAx>
        <c:axId val="112320512"/>
        <c:scaling>
          <c:orientation val="minMax"/>
        </c:scaling>
        <c:delete val="0"/>
        <c:axPos val="l"/>
        <c:numFmt formatCode="_-* #,##0_-;\-* #,##0_-;_-* &quot;-&quot;??_-;_-@_-" sourceLinked="1"/>
        <c:majorTickMark val="none"/>
        <c:minorTickMark val="none"/>
        <c:tickLblPos val="nextTo"/>
        <c:crossAx val="112310528"/>
        <c:crosses val="autoZero"/>
        <c:crossBetween val="between"/>
      </c:valAx>
    </c:plotArea>
    <c:legend>
      <c:legendPos val="b"/>
      <c:overlay val="0"/>
    </c:legend>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lineChart>
        <c:grouping val="standard"/>
        <c:varyColors val="0"/>
        <c:ser>
          <c:idx val="0"/>
          <c:order val="0"/>
          <c:tx>
            <c:v>All trusts</c:v>
          </c:tx>
          <c:spPr>
            <a:ln>
              <a:prstDash val="dash"/>
            </a:ln>
          </c:spPr>
          <c:marker>
            <c:symbol val="none"/>
          </c:marker>
          <c:cat>
            <c:strRef>
              <c:f>'Capital inputs - all'!$B$48:$O$48</c:f>
              <c:strCache>
                <c:ptCount val="14"/>
                <c:pt idx="0">
                  <c:v>1998/99</c:v>
                </c:pt>
                <c:pt idx="1">
                  <c:v>1999/00</c:v>
                </c:pt>
                <c:pt idx="2">
                  <c:v>2000/01</c:v>
                </c:pt>
                <c:pt idx="3">
                  <c:v>2000/02</c:v>
                </c:pt>
                <c:pt idx="4">
                  <c:v>2000/03</c:v>
                </c:pt>
                <c:pt idx="5">
                  <c:v>2000/04</c:v>
                </c:pt>
                <c:pt idx="6">
                  <c:v>2000/05</c:v>
                </c:pt>
                <c:pt idx="7">
                  <c:v>2000/06</c:v>
                </c:pt>
                <c:pt idx="8">
                  <c:v>2000/07</c:v>
                </c:pt>
                <c:pt idx="9">
                  <c:v>2000/08</c:v>
                </c:pt>
                <c:pt idx="10">
                  <c:v>2000/09</c:v>
                </c:pt>
                <c:pt idx="11">
                  <c:v>2000/10</c:v>
                </c:pt>
                <c:pt idx="12">
                  <c:v>2000/11</c:v>
                </c:pt>
                <c:pt idx="13">
                  <c:v>2000/12</c:v>
                </c:pt>
              </c:strCache>
            </c:strRef>
          </c:cat>
          <c:val>
            <c:numRef>
              <c:f>'Capital inputs - all'!$L$57:$L$70</c:f>
              <c:numCache>
                <c:formatCode>General</c:formatCode>
                <c:ptCount val="14"/>
                <c:pt idx="0">
                  <c:v>1</c:v>
                </c:pt>
                <c:pt idx="1">
                  <c:v>1.0395998274409453</c:v>
                </c:pt>
                <c:pt idx="2">
                  <c:v>1.093297977923273</c:v>
                </c:pt>
                <c:pt idx="3">
                  <c:v>1.1102317897127008</c:v>
                </c:pt>
                <c:pt idx="4">
                  <c:v>1.1581826157676023</c:v>
                </c:pt>
                <c:pt idx="5">
                  <c:v>1.2460093841726241</c:v>
                </c:pt>
                <c:pt idx="6">
                  <c:v>2.199709987419209</c:v>
                </c:pt>
                <c:pt idx="7">
                  <c:v>2.5109654927492113</c:v>
                </c:pt>
                <c:pt idx="8">
                  <c:v>2.8322148267514748</c:v>
                </c:pt>
                <c:pt idx="9">
                  <c:v>3.2823693331814967</c:v>
                </c:pt>
                <c:pt idx="10">
                  <c:v>3.1353938115602014</c:v>
                </c:pt>
                <c:pt idx="11">
                  <c:v>3.2420114062063665</c:v>
                </c:pt>
                <c:pt idx="12">
                  <c:v>3.4028973400492113</c:v>
                </c:pt>
                <c:pt idx="13">
                  <c:v>3.6632071530239405</c:v>
                </c:pt>
              </c:numCache>
            </c:numRef>
          </c:val>
          <c:smooth val="0"/>
        </c:ser>
        <c:ser>
          <c:idx val="1"/>
          <c:order val="1"/>
          <c:tx>
            <c:v>Total</c:v>
          </c:tx>
          <c:marker>
            <c:symbol val="none"/>
          </c:marker>
          <c:cat>
            <c:strRef>
              <c:f>'Capital inputs - all'!$B$48:$O$48</c:f>
              <c:strCache>
                <c:ptCount val="14"/>
                <c:pt idx="0">
                  <c:v>1998/99</c:v>
                </c:pt>
                <c:pt idx="1">
                  <c:v>1999/00</c:v>
                </c:pt>
                <c:pt idx="2">
                  <c:v>2000/01</c:v>
                </c:pt>
                <c:pt idx="3">
                  <c:v>2000/02</c:v>
                </c:pt>
                <c:pt idx="4">
                  <c:v>2000/03</c:v>
                </c:pt>
                <c:pt idx="5">
                  <c:v>2000/04</c:v>
                </c:pt>
                <c:pt idx="6">
                  <c:v>2000/05</c:v>
                </c:pt>
                <c:pt idx="7">
                  <c:v>2000/06</c:v>
                </c:pt>
                <c:pt idx="8">
                  <c:v>2000/07</c:v>
                </c:pt>
                <c:pt idx="9">
                  <c:v>2000/08</c:v>
                </c:pt>
                <c:pt idx="10">
                  <c:v>2000/09</c:v>
                </c:pt>
                <c:pt idx="11">
                  <c:v>2000/10</c:v>
                </c:pt>
                <c:pt idx="12">
                  <c:v>2000/11</c:v>
                </c:pt>
                <c:pt idx="13">
                  <c:v>2000/12</c:v>
                </c:pt>
              </c:strCache>
            </c:strRef>
          </c:cat>
          <c:val>
            <c:numRef>
              <c:f>'Capital inputs - all'!$M$57:$M$70</c:f>
              <c:numCache>
                <c:formatCode>General</c:formatCode>
                <c:ptCount val="14"/>
                <c:pt idx="0">
                  <c:v>1</c:v>
                </c:pt>
                <c:pt idx="1">
                  <c:v>1.0440634920866434</c:v>
                </c:pt>
                <c:pt idx="2">
                  <c:v>1.1238669419013412</c:v>
                </c:pt>
                <c:pt idx="3">
                  <c:v>1.0682081930645266</c:v>
                </c:pt>
                <c:pt idx="4">
                  <c:v>1.1475544300139862</c:v>
                </c:pt>
                <c:pt idx="5">
                  <c:v>1.2178142792912006</c:v>
                </c:pt>
                <c:pt idx="6">
                  <c:v>1.5067691785223671</c:v>
                </c:pt>
                <c:pt idx="7">
                  <c:v>1.7200668014670166</c:v>
                </c:pt>
                <c:pt idx="8">
                  <c:v>1.9347040973740441</c:v>
                </c:pt>
                <c:pt idx="9">
                  <c:v>2.2929431448242035</c:v>
                </c:pt>
                <c:pt idx="10">
                  <c:v>2.1873293458404865</c:v>
                </c:pt>
                <c:pt idx="11">
                  <c:v>2.2489958740789815</c:v>
                </c:pt>
                <c:pt idx="12">
                  <c:v>2.363861370944556</c:v>
                </c:pt>
                <c:pt idx="13">
                  <c:v>2.4344700483082131</c:v>
                </c:pt>
              </c:numCache>
            </c:numRef>
          </c:val>
          <c:smooth val="0"/>
        </c:ser>
        <c:dLbls>
          <c:showLegendKey val="0"/>
          <c:showVal val="0"/>
          <c:showCatName val="0"/>
          <c:showSerName val="0"/>
          <c:showPercent val="0"/>
          <c:showBubbleSize val="0"/>
        </c:dLbls>
        <c:marker val="1"/>
        <c:smooth val="0"/>
        <c:axId val="119304576"/>
        <c:axId val="119306112"/>
      </c:lineChart>
      <c:catAx>
        <c:axId val="119304576"/>
        <c:scaling>
          <c:orientation val="minMax"/>
        </c:scaling>
        <c:delete val="0"/>
        <c:axPos val="b"/>
        <c:numFmt formatCode="General" sourceLinked="0"/>
        <c:majorTickMark val="none"/>
        <c:minorTickMark val="none"/>
        <c:tickLblPos val="nextTo"/>
        <c:txPr>
          <a:bodyPr rot="5400000" vert="horz"/>
          <a:lstStyle/>
          <a:p>
            <a:pPr>
              <a:defRPr/>
            </a:pPr>
            <a:endParaRPr lang="en-US"/>
          </a:p>
        </c:txPr>
        <c:crossAx val="119306112"/>
        <c:crosses val="autoZero"/>
        <c:auto val="1"/>
        <c:lblAlgn val="ctr"/>
        <c:lblOffset val="100"/>
        <c:noMultiLvlLbl val="0"/>
      </c:catAx>
      <c:valAx>
        <c:axId val="119306112"/>
        <c:scaling>
          <c:orientation val="minMax"/>
        </c:scaling>
        <c:delete val="0"/>
        <c:axPos val="l"/>
        <c:numFmt formatCode="General" sourceLinked="1"/>
        <c:majorTickMark val="none"/>
        <c:minorTickMark val="none"/>
        <c:tickLblPos val="nextTo"/>
        <c:crossAx val="119304576"/>
        <c:crosses val="autoZero"/>
        <c:crossBetween val="between"/>
      </c:valAx>
      <c:spPr>
        <a:ln>
          <a:prstDash val="sysDot"/>
        </a:ln>
      </c:spPr>
    </c:plotArea>
    <c:legend>
      <c:legendPos val="b"/>
      <c:overlay val="0"/>
    </c:legend>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452416041188828E-2"/>
          <c:y val="3.3371496218759012E-3"/>
          <c:w val="0.89283871521785207"/>
          <c:h val="0.86450856582223878"/>
        </c:manualLayout>
      </c:layout>
      <c:barChart>
        <c:barDir val="bar"/>
        <c:grouping val="stacked"/>
        <c:varyColors val="0"/>
        <c:ser>
          <c:idx val="0"/>
          <c:order val="0"/>
          <c:tx>
            <c:strRef>
              <c:f>'Direct labour Inputs - med'!$B$13</c:f>
              <c:strCache>
                <c:ptCount val="1"/>
                <c:pt idx="0">
                  <c:v>M0: Medical and dental staff, hospitals</c:v>
                </c:pt>
              </c:strCache>
            </c:strRef>
          </c:tx>
          <c:invertIfNegative val="0"/>
          <c:cat>
            <c:strRef>
              <c:f>'Direct labour Inputs - med'!$C$12:$F$12</c:f>
              <c:strCache>
                <c:ptCount val="4"/>
                <c:pt idx="0">
                  <c:v>2007/08</c:v>
                </c:pt>
                <c:pt idx="1">
                  <c:v>2008/09</c:v>
                </c:pt>
                <c:pt idx="2">
                  <c:v>2009/10</c:v>
                </c:pt>
                <c:pt idx="3">
                  <c:v>2010/11</c:v>
                </c:pt>
              </c:strCache>
            </c:strRef>
          </c:cat>
          <c:val>
            <c:numRef>
              <c:f>'Direct labour Inputs - med'!$C$13:$F$13</c:f>
              <c:numCache>
                <c:formatCode>#,##0</c:formatCode>
                <c:ptCount val="4"/>
                <c:pt idx="0">
                  <c:v>83123</c:v>
                </c:pt>
                <c:pt idx="1">
                  <c:v>88849</c:v>
                </c:pt>
                <c:pt idx="2">
                  <c:v>91449</c:v>
                </c:pt>
                <c:pt idx="3">
                  <c:v>95106</c:v>
                </c:pt>
              </c:numCache>
            </c:numRef>
          </c:val>
        </c:ser>
        <c:ser>
          <c:idx val="1"/>
          <c:order val="1"/>
          <c:tx>
            <c:strRef>
              <c:f>'Direct labour Inputs - med'!$B$14</c:f>
              <c:strCache>
                <c:ptCount val="1"/>
                <c:pt idx="0">
                  <c:v>M1: Medical and dental staff (locum only)</c:v>
                </c:pt>
              </c:strCache>
            </c:strRef>
          </c:tx>
          <c:invertIfNegative val="0"/>
          <c:cat>
            <c:strRef>
              <c:f>'Direct labour Inputs - med'!$C$12:$F$12</c:f>
              <c:strCache>
                <c:ptCount val="4"/>
                <c:pt idx="0">
                  <c:v>2007/08</c:v>
                </c:pt>
                <c:pt idx="1">
                  <c:v>2008/09</c:v>
                </c:pt>
                <c:pt idx="2">
                  <c:v>2009/10</c:v>
                </c:pt>
                <c:pt idx="3">
                  <c:v>2010/11</c:v>
                </c:pt>
              </c:strCache>
            </c:strRef>
          </c:cat>
          <c:val>
            <c:numRef>
              <c:f>'Direct labour Inputs - med'!$C$14:$F$14</c:f>
              <c:numCache>
                <c:formatCode>#,##0</c:formatCode>
                <c:ptCount val="4"/>
                <c:pt idx="0">
                  <c:v>709</c:v>
                </c:pt>
                <c:pt idx="1">
                  <c:v>588</c:v>
                </c:pt>
                <c:pt idx="2">
                  <c:v>514</c:v>
                </c:pt>
                <c:pt idx="3">
                  <c:v>1001</c:v>
                </c:pt>
              </c:numCache>
            </c:numRef>
          </c:val>
        </c:ser>
        <c:ser>
          <c:idx val="2"/>
          <c:order val="2"/>
          <c:tx>
            <c:strRef>
              <c:f>'Direct labour Inputs - med'!$B$15</c:f>
              <c:strCache>
                <c:ptCount val="1"/>
                <c:pt idx="0">
                  <c:v>M2: Public health and community health services (medical)</c:v>
                </c:pt>
              </c:strCache>
            </c:strRef>
          </c:tx>
          <c:invertIfNegative val="0"/>
          <c:cat>
            <c:strRef>
              <c:f>'Direct labour Inputs - med'!$C$12:$F$12</c:f>
              <c:strCache>
                <c:ptCount val="4"/>
                <c:pt idx="0">
                  <c:v>2007/08</c:v>
                </c:pt>
                <c:pt idx="1">
                  <c:v>2008/09</c:v>
                </c:pt>
                <c:pt idx="2">
                  <c:v>2009/10</c:v>
                </c:pt>
                <c:pt idx="3">
                  <c:v>2010/11</c:v>
                </c:pt>
              </c:strCache>
            </c:strRef>
          </c:cat>
          <c:val>
            <c:numRef>
              <c:f>'Direct labour Inputs - med'!$C$15:$F$15</c:f>
              <c:numCache>
                <c:formatCode>#,##0</c:formatCode>
                <c:ptCount val="4"/>
                <c:pt idx="0">
                  <c:v>44</c:v>
                </c:pt>
                <c:pt idx="1">
                  <c:v>45</c:v>
                </c:pt>
                <c:pt idx="2">
                  <c:v>30</c:v>
                </c:pt>
                <c:pt idx="3">
                  <c:v>25</c:v>
                </c:pt>
              </c:numCache>
            </c:numRef>
          </c:val>
        </c:ser>
        <c:ser>
          <c:idx val="3"/>
          <c:order val="3"/>
          <c:tx>
            <c:strRef>
              <c:f>'Direct labour Inputs - med'!$B$16</c:f>
              <c:strCache>
                <c:ptCount val="1"/>
                <c:pt idx="0">
                  <c:v>M8: Doctors in training</c:v>
                </c:pt>
              </c:strCache>
            </c:strRef>
          </c:tx>
          <c:invertIfNegative val="0"/>
          <c:cat>
            <c:strRef>
              <c:f>'Direct labour Inputs - med'!$C$12:$F$12</c:f>
              <c:strCache>
                <c:ptCount val="4"/>
                <c:pt idx="0">
                  <c:v>2007/08</c:v>
                </c:pt>
                <c:pt idx="1">
                  <c:v>2008/09</c:v>
                </c:pt>
                <c:pt idx="2">
                  <c:v>2009/10</c:v>
                </c:pt>
                <c:pt idx="3">
                  <c:v>2010/11</c:v>
                </c:pt>
              </c:strCache>
            </c:strRef>
          </c:cat>
          <c:val>
            <c:numRef>
              <c:f>'Direct labour Inputs - med'!$C$16:$F$16</c:f>
              <c:numCache>
                <c:formatCode>#,##0</c:formatCode>
                <c:ptCount val="4"/>
                <c:pt idx="0">
                  <c:v>350</c:v>
                </c:pt>
                <c:pt idx="1">
                  <c:v>647</c:v>
                </c:pt>
                <c:pt idx="2">
                  <c:v>998</c:v>
                </c:pt>
                <c:pt idx="3">
                  <c:v>1245</c:v>
                </c:pt>
              </c:numCache>
            </c:numRef>
          </c:val>
        </c:ser>
        <c:ser>
          <c:idx val="4"/>
          <c:order val="4"/>
          <c:tx>
            <c:strRef>
              <c:f>'Direct labour Inputs - med'!$B$17</c:f>
              <c:strCache>
                <c:ptCount val="1"/>
                <c:pt idx="0">
                  <c:v>M9: GPs and dental*</c:v>
                </c:pt>
              </c:strCache>
            </c:strRef>
          </c:tx>
          <c:invertIfNegative val="0"/>
          <c:cat>
            <c:strRef>
              <c:f>'Direct labour Inputs - med'!$C$12:$F$12</c:f>
              <c:strCache>
                <c:ptCount val="4"/>
                <c:pt idx="0">
                  <c:v>2007/08</c:v>
                </c:pt>
                <c:pt idx="1">
                  <c:v>2008/09</c:v>
                </c:pt>
                <c:pt idx="2">
                  <c:v>2009/10</c:v>
                </c:pt>
                <c:pt idx="3">
                  <c:v>2010/11</c:v>
                </c:pt>
              </c:strCache>
            </c:strRef>
          </c:cat>
          <c:val>
            <c:numRef>
              <c:f>'Direct labour Inputs - med'!$C$17:$F$17</c:f>
              <c:numCache>
                <c:formatCode>#,##0</c:formatCode>
                <c:ptCount val="4"/>
                <c:pt idx="0">
                  <c:v>3744</c:v>
                </c:pt>
                <c:pt idx="1">
                  <c:v>3791</c:v>
                </c:pt>
                <c:pt idx="2">
                  <c:v>3682</c:v>
                </c:pt>
                <c:pt idx="3">
                  <c:v>2377</c:v>
                </c:pt>
              </c:numCache>
            </c:numRef>
          </c:val>
        </c:ser>
        <c:dLbls>
          <c:showLegendKey val="0"/>
          <c:showVal val="0"/>
          <c:showCatName val="0"/>
          <c:showSerName val="0"/>
          <c:showPercent val="0"/>
          <c:showBubbleSize val="0"/>
        </c:dLbls>
        <c:gapWidth val="150"/>
        <c:overlap val="100"/>
        <c:axId val="112020864"/>
        <c:axId val="112026752"/>
      </c:barChart>
      <c:catAx>
        <c:axId val="112020864"/>
        <c:scaling>
          <c:orientation val="minMax"/>
        </c:scaling>
        <c:delete val="0"/>
        <c:axPos val="l"/>
        <c:numFmt formatCode="General" sourceLinked="1"/>
        <c:majorTickMark val="out"/>
        <c:minorTickMark val="none"/>
        <c:tickLblPos val="nextTo"/>
        <c:txPr>
          <a:bodyPr/>
          <a:lstStyle/>
          <a:p>
            <a:pPr>
              <a:defRPr sz="800"/>
            </a:pPr>
            <a:endParaRPr lang="en-US"/>
          </a:p>
        </c:txPr>
        <c:crossAx val="112026752"/>
        <c:crosses val="autoZero"/>
        <c:auto val="1"/>
        <c:lblAlgn val="ctr"/>
        <c:lblOffset val="100"/>
        <c:noMultiLvlLbl val="0"/>
      </c:catAx>
      <c:valAx>
        <c:axId val="112026752"/>
        <c:scaling>
          <c:orientation val="minMax"/>
        </c:scaling>
        <c:delete val="0"/>
        <c:axPos val="b"/>
        <c:majorGridlines/>
        <c:numFmt formatCode="#,##0" sourceLinked="1"/>
        <c:majorTickMark val="out"/>
        <c:minorTickMark val="none"/>
        <c:tickLblPos val="nextTo"/>
        <c:txPr>
          <a:bodyPr/>
          <a:lstStyle/>
          <a:p>
            <a:pPr>
              <a:defRPr sz="800"/>
            </a:pPr>
            <a:endParaRPr lang="en-US"/>
          </a:p>
        </c:txPr>
        <c:crossAx val="112020864"/>
        <c:crosses val="autoZero"/>
        <c:crossBetween val="between"/>
      </c:valAx>
    </c:plotArea>
    <c:plotVisOnly val="1"/>
    <c:dispBlanksAs val="gap"/>
    <c:showDLblsOverMax val="0"/>
  </c:chart>
  <c:spPr>
    <a:ln>
      <a:noFill/>
    </a:ln>
  </c:spPr>
  <c:txPr>
    <a:bodyPr/>
    <a:lstStyle/>
    <a:p>
      <a:pPr>
        <a:defRPr sz="1300" b="0" i="0" baseline="0">
          <a:latin typeface="Arial Rounded MT Bold" pitchFamily="34" charset="0"/>
        </a:defRPr>
      </a:pPr>
      <a:endParaRPr lang="en-US"/>
    </a:p>
  </c:txPr>
  <c:printSettings>
    <c:headerFooter/>
    <c:pageMargins b="0.75000000000000322" l="0.70000000000000062" r="0.70000000000000062" t="0.75000000000000322" header="0.30000000000000032" footer="0.30000000000000032"/>
    <c:pageSetup/>
  </c:printSettings>
</c:chartSpace>
</file>

<file path=xl/ctrlProps/ctrlProp1.xml><?xml version="1.0" encoding="utf-8"?>
<formControlPr xmlns="http://schemas.microsoft.com/office/spreadsheetml/2009/9/main" objectType="CheckBox" checked="Checked" fmlaLink="$A$29" lockText="1" noThreeD="1"/>
</file>

<file path=xl/ctrlProps/ctrlProp10.xml><?xml version="1.0" encoding="utf-8"?>
<formControlPr xmlns="http://schemas.microsoft.com/office/spreadsheetml/2009/9/main" objectType="CheckBox" checked="Checked" fmlaLink="$A$31" lockText="1" noThreeD="1"/>
</file>

<file path=xl/ctrlProps/ctrlProp11.xml><?xml version="1.0" encoding="utf-8"?>
<formControlPr xmlns="http://schemas.microsoft.com/office/spreadsheetml/2009/9/main" objectType="Radio" firstButton="1" fmlaLink="$A$79" lockText="1" noThreeD="1"/>
</file>

<file path=xl/ctrlProps/ctrlProp12.xml><?xml version="1.0" encoding="utf-8"?>
<formControlPr xmlns="http://schemas.microsoft.com/office/spreadsheetml/2009/9/main" objectType="Radio" checked="Checked" lockText="1" noThreeD="1"/>
</file>

<file path=xl/ctrlProps/ctrlProp13.xml><?xml version="1.0" encoding="utf-8"?>
<formControlPr xmlns="http://schemas.microsoft.com/office/spreadsheetml/2009/9/main" objectType="CheckBox" checked="Checked" fmlaLink="$A$29" lockText="1" noThreeD="1"/>
</file>

<file path=xl/ctrlProps/ctrlProp14.xml><?xml version="1.0" encoding="utf-8"?>
<formControlPr xmlns="http://schemas.microsoft.com/office/spreadsheetml/2009/9/main" objectType="CheckBox" checked="Checked" fmlaLink="$A$26" lockText="1" noThreeD="1"/>
</file>

<file path=xl/ctrlProps/ctrlProp15.xml><?xml version="1.0" encoding="utf-8"?>
<formControlPr xmlns="http://schemas.microsoft.com/office/spreadsheetml/2009/9/main" objectType="CheckBox" checked="Checked" fmlaLink="$A$44" lockText="1" noThreeD="1"/>
</file>

<file path=xl/ctrlProps/ctrlProp16.xml><?xml version="1.0" encoding="utf-8"?>
<formControlPr xmlns="http://schemas.microsoft.com/office/spreadsheetml/2009/9/main" objectType="CheckBox" checked="Checked" fmlaLink="$J$26" lockText="1" noThreeD="1"/>
</file>

<file path=xl/ctrlProps/ctrlProp17.xml><?xml version="1.0" encoding="utf-8"?>
<formControlPr xmlns="http://schemas.microsoft.com/office/spreadsheetml/2009/9/main" objectType="CheckBox" checked="Checked" fmlaLink="$J$29" lockText="1" noThreeD="1"/>
</file>

<file path=xl/ctrlProps/ctrlProp18.xml><?xml version="1.0" encoding="utf-8"?>
<formControlPr xmlns="http://schemas.microsoft.com/office/spreadsheetml/2009/9/main" objectType="CheckBox" checked="Checked" fmlaLink="$J$31" lockText="1" noThreeD="1"/>
</file>

<file path=xl/ctrlProps/ctrlProp19.xml><?xml version="1.0" encoding="utf-8"?>
<formControlPr xmlns="http://schemas.microsoft.com/office/spreadsheetml/2009/9/main" objectType="CheckBox" checked="Checked" fmlaLink="$J$30" lockText="1" noThreeD="1"/>
</file>

<file path=xl/ctrlProps/ctrlProp2.xml><?xml version="1.0" encoding="utf-8"?>
<formControlPr xmlns="http://schemas.microsoft.com/office/spreadsheetml/2009/9/main" objectType="CheckBox" checked="Checked" fmlaLink="$A$21" lockText="1" noThreeD="1"/>
</file>

<file path=xl/ctrlProps/ctrlProp20.xml><?xml version="1.0" encoding="utf-8"?>
<formControlPr xmlns="http://schemas.microsoft.com/office/spreadsheetml/2009/9/main" objectType="CheckBox" checked="Checked" fmlaLink="$J$28" lockText="1" noThreeD="1"/>
</file>

<file path=xl/ctrlProps/ctrlProp21.xml><?xml version="1.0" encoding="utf-8"?>
<formControlPr xmlns="http://schemas.microsoft.com/office/spreadsheetml/2009/9/main" objectType="CheckBox" checked="Checked" fmlaLink="$J$33" lockText="1" noThreeD="1"/>
</file>

<file path=xl/ctrlProps/ctrlProp22.xml><?xml version="1.0" encoding="utf-8"?>
<formControlPr xmlns="http://schemas.microsoft.com/office/spreadsheetml/2009/9/main" objectType="CheckBox" checked="Checked" fmlaLink="$J$32" lockText="1" noThreeD="1"/>
</file>

<file path=xl/ctrlProps/ctrlProp23.xml><?xml version="1.0" encoding="utf-8"?>
<formControlPr xmlns="http://schemas.microsoft.com/office/spreadsheetml/2009/9/main" objectType="CheckBox" checked="Checked" fmlaLink="$J$27" lockText="1" noThreeD="1"/>
</file>

<file path=xl/ctrlProps/ctrlProp24.xml><?xml version="1.0" encoding="utf-8"?>
<formControlPr xmlns="http://schemas.microsoft.com/office/spreadsheetml/2009/9/main" objectType="CheckBox" fmlaLink="$A$31" lockText="1" noThreeD="1"/>
</file>

<file path=xl/ctrlProps/ctrlProp25.xml><?xml version="1.0" encoding="utf-8"?>
<formControlPr xmlns="http://schemas.microsoft.com/office/spreadsheetml/2009/9/main" objectType="CheckBox" fmlaLink="$A$19" lockText="1" noThreeD="1"/>
</file>

<file path=xl/ctrlProps/ctrlProp26.xml><?xml version="1.0" encoding="utf-8"?>
<formControlPr xmlns="http://schemas.microsoft.com/office/spreadsheetml/2009/9/main" objectType="CheckBox" checked="Checked" fmlaLink="$A$30" lockText="1" noThreeD="1"/>
</file>

<file path=xl/ctrlProps/ctrlProp27.xml><?xml version="1.0" encoding="utf-8"?>
<formControlPr xmlns="http://schemas.microsoft.com/office/spreadsheetml/2009/9/main" objectType="CheckBox" checked="Checked" fmlaLink="$A$36" lockText="1" noThreeD="1"/>
</file>

<file path=xl/ctrlProps/ctrlProp28.xml><?xml version="1.0" encoding="utf-8"?>
<formControlPr xmlns="http://schemas.microsoft.com/office/spreadsheetml/2009/9/main" objectType="CheckBox" checked="Checked" fmlaLink="$A$30" lockText="1" noThreeD="1"/>
</file>

<file path=xl/ctrlProps/ctrlProp29.xml><?xml version="1.0" encoding="utf-8"?>
<formControlPr xmlns="http://schemas.microsoft.com/office/spreadsheetml/2009/9/main" objectType="Radio" checked="Checked" firstButton="1" fmlaLink="$D$7" lockText="1" noThreeD="1"/>
</file>

<file path=xl/ctrlProps/ctrlProp3.xml><?xml version="1.0" encoding="utf-8"?>
<formControlPr xmlns="http://schemas.microsoft.com/office/spreadsheetml/2009/9/main" objectType="CheckBox" fmlaLink="$A$39"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firstButton="1" fmlaLink="$A$4" lockText="1" noThreeD="1"/>
</file>

<file path=xl/ctrlProps/ctrlProp32.xml><?xml version="1.0" encoding="utf-8"?>
<formControlPr xmlns="http://schemas.microsoft.com/office/spreadsheetml/2009/9/main" objectType="Radio" checked="Checked" lockText="1" noThreeD="1"/>
</file>

<file path=xl/ctrlProps/ctrlProp33.xml><?xml version="1.0" encoding="utf-8"?>
<formControlPr xmlns="http://schemas.microsoft.com/office/spreadsheetml/2009/9/main" objectType="CheckBox" checked="Checked" fmlaLink="$A$21" lockText="1" noThreeD="1"/>
</file>

<file path=xl/ctrlProps/ctrlProp34.xml><?xml version="1.0" encoding="utf-8"?>
<formControlPr xmlns="http://schemas.microsoft.com/office/spreadsheetml/2009/9/main" objectType="Radio" firstButton="1" fmlaLink="$A$4" lockText="1" noThreeD="1"/>
</file>

<file path=xl/ctrlProps/ctrlProp35.xml><?xml version="1.0" encoding="utf-8"?>
<formControlPr xmlns="http://schemas.microsoft.com/office/spreadsheetml/2009/9/main" objectType="Radio" checked="Checked" lockText="1" noThreeD="1"/>
</file>

<file path=xl/ctrlProps/ctrlProp36.xml><?xml version="1.0" encoding="utf-8"?>
<formControlPr xmlns="http://schemas.microsoft.com/office/spreadsheetml/2009/9/main" objectType="CheckBox" fmlaLink="$A$21" lockText="1" noThreeD="1"/>
</file>

<file path=xl/ctrlProps/ctrlProp37.xml><?xml version="1.0" encoding="utf-8"?>
<formControlPr xmlns="http://schemas.microsoft.com/office/spreadsheetml/2009/9/main" objectType="Radio" checked="Checked" firstButton="1" fmlaLink="$A$7" lockText="1"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CheckBox" checked="Checked" fmlaLink="$A$15" lockText="1" noThreeD="1"/>
</file>

<file path=xl/ctrlProps/ctrlProp4.xml><?xml version="1.0" encoding="utf-8"?>
<formControlPr xmlns="http://schemas.microsoft.com/office/spreadsheetml/2009/9/main" objectType="CheckBox" checked="Checked" fmlaLink="$A$25" lockText="1" noThreeD="1"/>
</file>

<file path=xl/ctrlProps/ctrlProp40.xml><?xml version="1.0" encoding="utf-8"?>
<formControlPr xmlns="http://schemas.microsoft.com/office/spreadsheetml/2009/9/main" objectType="CheckBox" checked="Checked" fmlaLink="$A$13" lockText="1" noThreeD="1"/>
</file>

<file path=xl/ctrlProps/ctrlProp41.xml><?xml version="1.0" encoding="utf-8"?>
<formControlPr xmlns="http://schemas.microsoft.com/office/spreadsheetml/2009/9/main" objectType="CheckBox" fmlaLink="$A$36" lockText="1" noThreeD="1"/>
</file>

<file path=xl/ctrlProps/ctrlProp42.xml><?xml version="1.0" encoding="utf-8"?>
<formControlPr xmlns="http://schemas.microsoft.com/office/spreadsheetml/2009/9/main" objectType="CheckBox" checked="Checked" fmlaLink="$A$21" lockText="1" noThreeD="1"/>
</file>

<file path=xl/ctrlProps/ctrlProp43.xml><?xml version="1.0" encoding="utf-8"?>
<formControlPr xmlns="http://schemas.microsoft.com/office/spreadsheetml/2009/9/main" objectType="CheckBox" fmlaLink="$A$37" lockText="1" noThreeD="1"/>
</file>

<file path=xl/ctrlProps/ctrlProp44.xml><?xml version="1.0" encoding="utf-8"?>
<formControlPr xmlns="http://schemas.microsoft.com/office/spreadsheetml/2009/9/main" objectType="Radio" checked="Checked" firstButton="1" fmlaLink="$D$7" lockText="1" noThreeD="1"/>
</file>

<file path=xl/ctrlProps/ctrlProp45.xml><?xml version="1.0" encoding="utf-8"?>
<formControlPr xmlns="http://schemas.microsoft.com/office/spreadsheetml/2009/9/main" objectType="Radio" lockText="1" noThreeD="1"/>
</file>

<file path=xl/ctrlProps/ctrlProp46.xml><?xml version="1.0" encoding="utf-8"?>
<formControlPr xmlns="http://schemas.microsoft.com/office/spreadsheetml/2009/9/main" objectType="Radio" checked="Checked" firstButton="1" fmlaLink="$D$7" lockText="1" noThreeD="1"/>
</file>

<file path=xl/ctrlProps/ctrlProp47.xml><?xml version="1.0" encoding="utf-8"?>
<formControlPr xmlns="http://schemas.microsoft.com/office/spreadsheetml/2009/9/main" objectType="Radio"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fmlaLink="$A$18"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Scroll" dx="15" fmlaLink="$I$12" horiz="1" max="100" page="10" val="44"/>
</file>

<file path=xl/ctrlProps/ctrlProp6.xml><?xml version="1.0" encoding="utf-8"?>
<formControlPr xmlns="http://schemas.microsoft.com/office/spreadsheetml/2009/9/main" objectType="CheckBox" checked="Checked" fmlaLink="$A$21" lockText="1" noThreeD="1"/>
</file>

<file path=xl/ctrlProps/ctrlProp7.xml><?xml version="1.0" encoding="utf-8"?>
<formControlPr xmlns="http://schemas.microsoft.com/office/spreadsheetml/2009/9/main" objectType="CheckBox" checked="Checked" fmlaLink="$A$18" lockText="1" noThreeD="1"/>
</file>

<file path=xl/ctrlProps/ctrlProp8.xml><?xml version="1.0" encoding="utf-8"?>
<formControlPr xmlns="http://schemas.microsoft.com/office/spreadsheetml/2009/9/main" objectType="CheckBox" checked="Checked" fmlaLink="$A$18" lockText="1" noThreeD="1"/>
</file>

<file path=xl/ctrlProps/ctrlProp9.xml><?xml version="1.0" encoding="utf-8"?>
<formControlPr xmlns="http://schemas.microsoft.com/office/spreadsheetml/2009/9/main" objectType="CheckBox" checked="Checked" fmlaLink="$A$18"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6.wmf"/><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6.wmf"/><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17.emf"/><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jpeg"/><Relationship Id="rId4" Type="http://schemas.openxmlformats.org/officeDocument/2006/relationships/image" Target="../media/image16.wmf"/></Relationships>
</file>

<file path=xl/drawings/_rels/drawing19.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chart" Target="../charts/chart4.xml"/><Relationship Id="rId1" Type="http://schemas.openxmlformats.org/officeDocument/2006/relationships/image" Target="../media/image1.jpeg"/><Relationship Id="rId5" Type="http://schemas.openxmlformats.org/officeDocument/2006/relationships/image" Target="../media/image10.png"/><Relationship Id="rId4" Type="http://schemas.openxmlformats.org/officeDocument/2006/relationships/image" Target="../media/image20.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jpeg"/><Relationship Id="rId5" Type="http://schemas.openxmlformats.org/officeDocument/2006/relationships/image" Target="../media/image6.png"/><Relationship Id="rId4" Type="http://schemas.openxmlformats.org/officeDocument/2006/relationships/image" Target="../media/image5.png"/></Relationships>
</file>

<file path=xl/drawings/_rels/drawing20.xml.rels><?xml version="1.0" encoding="UTF-8" standalone="yes"?>
<Relationships xmlns="http://schemas.openxmlformats.org/package/2006/relationships"><Relationship Id="rId3" Type="http://schemas.openxmlformats.org/officeDocument/2006/relationships/image" Target="../media/image22.png"/><Relationship Id="rId7" Type="http://schemas.openxmlformats.org/officeDocument/2006/relationships/image" Target="../media/image10.png"/><Relationship Id="rId2" Type="http://schemas.openxmlformats.org/officeDocument/2006/relationships/image" Target="../media/image21.png"/><Relationship Id="rId1" Type="http://schemas.openxmlformats.org/officeDocument/2006/relationships/image" Target="../media/image1.jpeg"/><Relationship Id="rId6" Type="http://schemas.openxmlformats.org/officeDocument/2006/relationships/chart" Target="../charts/chart5.xml"/><Relationship Id="rId5" Type="http://schemas.openxmlformats.org/officeDocument/2006/relationships/image" Target="../media/image5.png"/><Relationship Id="rId4" Type="http://schemas.openxmlformats.org/officeDocument/2006/relationships/image" Target="../media/image23.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6.wmf"/><Relationship Id="rId2" Type="http://schemas.openxmlformats.org/officeDocument/2006/relationships/chart" Target="../charts/chart6.xm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3" Type="http://schemas.openxmlformats.org/officeDocument/2006/relationships/image" Target="../media/image26.emf"/><Relationship Id="rId2" Type="http://schemas.openxmlformats.org/officeDocument/2006/relationships/image" Target="../media/image10.png"/><Relationship Id="rId1" Type="http://schemas.openxmlformats.org/officeDocument/2006/relationships/image" Target="../media/image1.jpeg"/><Relationship Id="rId4" Type="http://schemas.openxmlformats.org/officeDocument/2006/relationships/image" Target="../media/image27.emf"/></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30.png"/><Relationship Id="rId1" Type="http://schemas.openxmlformats.org/officeDocument/2006/relationships/image" Target="../media/image1.jpeg"/><Relationship Id="rId4" Type="http://schemas.openxmlformats.org/officeDocument/2006/relationships/image" Target="../media/image31.emf"/></Relationships>
</file>

<file path=xl/drawings/_rels/drawing2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10.png"/><Relationship Id="rId1" Type="http://schemas.openxmlformats.org/officeDocument/2006/relationships/image" Target="../media/image1.jpeg"/><Relationship Id="rId4" Type="http://schemas.openxmlformats.org/officeDocument/2006/relationships/chart" Target="../charts/chart8.xml"/></Relationships>
</file>

<file path=xl/drawings/_rels/drawing29.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1.jpeg"/><Relationship Id="rId1" Type="http://schemas.openxmlformats.org/officeDocument/2006/relationships/chart" Target="../charts/chart9.xml"/></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3" Type="http://schemas.openxmlformats.org/officeDocument/2006/relationships/hyperlink" Target="http://www.dh.gov.uk/en/Publicationsandstatistics/Publications/PublicationsPolicyAndGuidance/DH_122803" TargetMode="External"/><Relationship Id="rId2" Type="http://schemas.openxmlformats.org/officeDocument/2006/relationships/image" Target="../media/image1.jpeg"/><Relationship Id="rId1" Type="http://schemas.openxmlformats.org/officeDocument/2006/relationships/chart" Target="../charts/chart13.xml"/><Relationship Id="rId6" Type="http://schemas.openxmlformats.org/officeDocument/2006/relationships/chart" Target="../charts/chart15.xml"/><Relationship Id="rId5" Type="http://schemas.openxmlformats.org/officeDocument/2006/relationships/chart" Target="../charts/chart14.xml"/><Relationship Id="rId4" Type="http://schemas.openxmlformats.org/officeDocument/2006/relationships/image" Target="../media/image3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34.png"/><Relationship Id="rId4" Type="http://schemas.openxmlformats.org/officeDocument/2006/relationships/image" Target="../media/image37.png"/></Relationships>
</file>

<file path=xl/drawings/_rels/drawing42.xml.rels><?xml version="1.0" encoding="UTF-8" standalone="yes"?>
<Relationships xmlns="http://schemas.openxmlformats.org/package/2006/relationships"><Relationship Id="rId3" Type="http://schemas.openxmlformats.org/officeDocument/2006/relationships/image" Target="../media/image40.png"/><Relationship Id="rId2" Type="http://schemas.openxmlformats.org/officeDocument/2006/relationships/image" Target="../media/image39.png"/><Relationship Id="rId1" Type="http://schemas.openxmlformats.org/officeDocument/2006/relationships/image" Target="../media/image38.png"/></Relationships>
</file>

<file path=xl/drawings/_rels/drawing43.xml.rels><?xml version="1.0" encoding="UTF-8" standalone="yes"?>
<Relationships xmlns="http://schemas.openxmlformats.org/package/2006/relationships"><Relationship Id="rId3" Type="http://schemas.openxmlformats.org/officeDocument/2006/relationships/image" Target="../media/image43.png"/><Relationship Id="rId2" Type="http://schemas.openxmlformats.org/officeDocument/2006/relationships/image" Target="../media/image42.png"/><Relationship Id="rId1" Type="http://schemas.openxmlformats.org/officeDocument/2006/relationships/image" Target="../media/image41.png"/></Relationships>
</file>

<file path=xl/drawings/_rels/drawing44.xml.rels><?xml version="1.0" encoding="UTF-8" standalone="yes"?>
<Relationships xmlns="http://schemas.openxmlformats.org/package/2006/relationships"><Relationship Id="rId3" Type="http://schemas.openxmlformats.org/officeDocument/2006/relationships/image" Target="../media/image44.png"/><Relationship Id="rId2" Type="http://schemas.openxmlformats.org/officeDocument/2006/relationships/image" Target="../media/image10.png"/><Relationship Id="rId1" Type="http://schemas.openxmlformats.org/officeDocument/2006/relationships/image" Target="../media/image1.jpeg"/><Relationship Id="rId4" Type="http://schemas.openxmlformats.org/officeDocument/2006/relationships/image" Target="../media/image45.png"/></Relationships>
</file>

<file path=xl/drawings/_rels/drawing45.xml.rels><?xml version="1.0" encoding="UTF-8" standalone="yes"?>
<Relationships xmlns="http://schemas.openxmlformats.org/package/2006/relationships"><Relationship Id="rId3" Type="http://schemas.openxmlformats.org/officeDocument/2006/relationships/image" Target="../media/image44.png"/><Relationship Id="rId2" Type="http://schemas.openxmlformats.org/officeDocument/2006/relationships/image" Target="../media/image10.png"/><Relationship Id="rId1" Type="http://schemas.openxmlformats.org/officeDocument/2006/relationships/image" Target="../media/image1.jpeg"/><Relationship Id="rId4" Type="http://schemas.openxmlformats.org/officeDocument/2006/relationships/image" Target="../media/image45.png"/></Relationships>
</file>

<file path=xl/drawings/_rels/drawing46.xml.rels><?xml version="1.0" encoding="UTF-8" standalone="yes"?>
<Relationships xmlns="http://schemas.openxmlformats.org/package/2006/relationships"><Relationship Id="rId3" Type="http://schemas.openxmlformats.org/officeDocument/2006/relationships/image" Target="../media/image46.png"/><Relationship Id="rId2" Type="http://schemas.openxmlformats.org/officeDocument/2006/relationships/image" Target="../media/image10.png"/><Relationship Id="rId1" Type="http://schemas.openxmlformats.org/officeDocument/2006/relationships/image" Target="../media/image1.jpeg"/><Relationship Id="rId4" Type="http://schemas.openxmlformats.org/officeDocument/2006/relationships/image" Target="../media/image47.emf"/></Relationships>
</file>

<file path=xl/drawings/_rels/drawing47.xml.rels><?xml version="1.0" encoding="UTF-8" standalone="yes"?>
<Relationships xmlns="http://schemas.openxmlformats.org/package/2006/relationships"><Relationship Id="rId2" Type="http://schemas.openxmlformats.org/officeDocument/2006/relationships/image" Target="../media/image50.emf"/><Relationship Id="rId1" Type="http://schemas.openxmlformats.org/officeDocument/2006/relationships/image" Target="../media/image49.png"/></Relationships>
</file>

<file path=xl/drawings/_rels/drawing4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chart" Target="../charts/chart20.xml"/></Relationships>
</file>

<file path=xl/drawings/_rels/drawing49.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chart" Target="../charts/chart24.xml"/></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4" Type="http://schemas.openxmlformats.org/officeDocument/2006/relationships/chart" Target="../charts/chart28.xml"/></Relationships>
</file>

<file path=xl/drawings/_rels/drawing5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media/image52.emf"/><Relationship Id="rId1" Type="http://schemas.openxmlformats.org/officeDocument/2006/relationships/image" Target="../media/image51.emf"/></Relationships>
</file>

<file path=xl/drawings/_rels/drawing54.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5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5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1.png"/><Relationship Id="rId2" Type="http://schemas.openxmlformats.org/officeDocument/2006/relationships/image" Target="../media/image7.png"/><Relationship Id="rId1" Type="http://schemas.openxmlformats.org/officeDocument/2006/relationships/image" Target="../media/image1.jpeg"/><Relationship Id="rId6" Type="http://schemas.openxmlformats.org/officeDocument/2006/relationships/image" Target="../media/image10.png"/><Relationship Id="rId5" Type="http://schemas.openxmlformats.org/officeDocument/2006/relationships/chart" Target="../charts/chart1.xml"/><Relationship Id="rId4" Type="http://schemas.openxmlformats.org/officeDocument/2006/relationships/image" Target="../media/image9.png"/></Relationships>
</file>

<file path=xl/drawings/_rels/drawing60.xml.rels><?xml version="1.0" encoding="UTF-8" standalone="yes"?>
<Relationships xmlns="http://schemas.openxmlformats.org/package/2006/relationships"><Relationship Id="rId3" Type="http://schemas.openxmlformats.org/officeDocument/2006/relationships/image" Target="../media/image53.png"/><Relationship Id="rId2" Type="http://schemas.openxmlformats.org/officeDocument/2006/relationships/chart" Target="../charts/chart32.xml"/><Relationship Id="rId1" Type="http://schemas.openxmlformats.org/officeDocument/2006/relationships/image" Target="../media/image1.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33.xml"/></Relationships>
</file>

<file path=xl/drawings/_rels/drawing7.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9.emf"/><Relationship Id="rId1" Type="http://schemas.openxmlformats.org/officeDocument/2006/relationships/image" Target="../media/image28.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28.vml.rels><?xml version="1.0" encoding="UTF-8" standalone="yes"?>
<Relationships xmlns="http://schemas.openxmlformats.org/package/2006/relationships"><Relationship Id="rId1" Type="http://schemas.openxmlformats.org/officeDocument/2006/relationships/image" Target="../media/image48.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editAs="oneCell">
    <xdr:from>
      <xdr:col>11</xdr:col>
      <xdr:colOff>276896</xdr:colOff>
      <xdr:row>1</xdr:row>
      <xdr:rowOff>171450</xdr:rowOff>
    </xdr:from>
    <xdr:to>
      <xdr:col>15</xdr:col>
      <xdr:colOff>431765</xdr:colOff>
      <xdr:row>5</xdr:row>
      <xdr:rowOff>76200</xdr:rowOff>
    </xdr:to>
    <xdr:pic>
      <xdr:nvPicPr>
        <xdr:cNvPr id="3" name="Picture 2" descr="http://www.york.ac.uk/che/staff/staff.ltd/CHE%20Logo%20High%20Resolution.jpg"/>
        <xdr:cNvPicPr>
          <a:picLocks noChangeAspect="1" noChangeArrowheads="1"/>
        </xdr:cNvPicPr>
      </xdr:nvPicPr>
      <xdr:blipFill>
        <a:blip xmlns:r="http://schemas.openxmlformats.org/officeDocument/2006/relationships" r:embed="rId1" cstate="print"/>
        <a:srcRect/>
        <a:stretch>
          <a:fillRect/>
        </a:stretch>
      </xdr:blipFill>
      <xdr:spPr bwMode="auto">
        <a:xfrm>
          <a:off x="8420771" y="361950"/>
          <a:ext cx="2593269" cy="1085850"/>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95251</xdr:colOff>
      <xdr:row>71</xdr:row>
      <xdr:rowOff>80961</xdr:rowOff>
    </xdr:from>
    <xdr:to>
      <xdr:col>18</xdr:col>
      <xdr:colOff>390526</xdr:colOff>
      <xdr:row>88</xdr:row>
      <xdr:rowOff>47624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352425</xdr:colOff>
      <xdr:row>16</xdr:row>
      <xdr:rowOff>157162</xdr:rowOff>
    </xdr:from>
    <xdr:to>
      <xdr:col>19</xdr:col>
      <xdr:colOff>47625</xdr:colOff>
      <xdr:row>31</xdr:row>
      <xdr:rowOff>42862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oneCellAnchor>
    <xdr:from>
      <xdr:col>4</xdr:col>
      <xdr:colOff>1158875</xdr:colOff>
      <xdr:row>3</xdr:row>
      <xdr:rowOff>95250</xdr:rowOff>
    </xdr:from>
    <xdr:ext cx="184731" cy="264560"/>
    <xdr:sp macro="" textlink="">
      <xdr:nvSpPr>
        <xdr:cNvPr id="2" name="TextBox 1"/>
        <xdr:cNvSpPr txBox="1"/>
      </xdr:nvSpPr>
      <xdr:spPr>
        <a:xfrm>
          <a:off x="48736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twoCellAnchor editAs="oneCell">
    <xdr:from>
      <xdr:col>8</xdr:col>
      <xdr:colOff>1057275</xdr:colOff>
      <xdr:row>1</xdr:row>
      <xdr:rowOff>44450</xdr:rowOff>
    </xdr:from>
    <xdr:to>
      <xdr:col>10</xdr:col>
      <xdr:colOff>537997</xdr:colOff>
      <xdr:row>5</xdr:row>
      <xdr:rowOff>22225</xdr:rowOff>
    </xdr:to>
    <xdr:pic>
      <xdr:nvPicPr>
        <xdr:cNvPr id="3" name="Picture 2" descr="http://www.york.ac.uk/che/staff/staff.ltd/CHE%20Logo%20High%20Resolution.jpg"/>
        <xdr:cNvPicPr>
          <a:picLocks noChangeAspect="1" noChangeArrowheads="1"/>
        </xdr:cNvPicPr>
      </xdr:nvPicPr>
      <xdr:blipFill>
        <a:blip xmlns:r="http://schemas.openxmlformats.org/officeDocument/2006/relationships" r:embed="rId1" cstate="print"/>
        <a:srcRect/>
        <a:stretch>
          <a:fillRect/>
        </a:stretch>
      </xdr:blipFill>
      <xdr:spPr bwMode="auto">
        <a:xfrm>
          <a:off x="9010650" y="234950"/>
          <a:ext cx="2576347" cy="1054100"/>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0</xdr:col>
          <xdr:colOff>590550</xdr:colOff>
          <xdr:row>17</xdr:row>
          <xdr:rowOff>0</xdr:rowOff>
        </xdr:from>
        <xdr:to>
          <xdr:col>2</xdr:col>
          <xdr:colOff>171450</xdr:colOff>
          <xdr:row>17</xdr:row>
          <xdr:rowOff>304800</xdr:rowOff>
        </xdr:to>
        <xdr:sp macro="" textlink="">
          <xdr:nvSpPr>
            <xdr:cNvPr id="239617" name="Check Box 1" hidden="1">
              <a:extLst>
                <a:ext uri="{63B3BB69-23CF-44E3-9099-C40C66FF867C}">
                  <a14:compatExt spid="_x0000_s2396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Show more data</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xdr:oneCellAnchor>
    <xdr:from>
      <xdr:col>4</xdr:col>
      <xdr:colOff>1158875</xdr:colOff>
      <xdr:row>3</xdr:row>
      <xdr:rowOff>95250</xdr:rowOff>
    </xdr:from>
    <xdr:ext cx="184731" cy="264560"/>
    <xdr:sp macro="" textlink="">
      <xdr:nvSpPr>
        <xdr:cNvPr id="2" name="TextBox 1"/>
        <xdr:cNvSpPr txBox="1"/>
      </xdr:nvSpPr>
      <xdr:spPr>
        <a:xfrm>
          <a:off x="48736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twoCellAnchor editAs="oneCell">
    <xdr:from>
      <xdr:col>8</xdr:col>
      <xdr:colOff>1057275</xdr:colOff>
      <xdr:row>1</xdr:row>
      <xdr:rowOff>44450</xdr:rowOff>
    </xdr:from>
    <xdr:to>
      <xdr:col>10</xdr:col>
      <xdr:colOff>709447</xdr:colOff>
      <xdr:row>5</xdr:row>
      <xdr:rowOff>22225</xdr:rowOff>
    </xdr:to>
    <xdr:pic>
      <xdr:nvPicPr>
        <xdr:cNvPr id="3" name="Picture 2" descr="http://www.york.ac.uk/che/staff/staff.ltd/CHE%20Logo%20High%20Resolution.jpg"/>
        <xdr:cNvPicPr>
          <a:picLocks noChangeAspect="1" noChangeArrowheads="1"/>
        </xdr:cNvPicPr>
      </xdr:nvPicPr>
      <xdr:blipFill>
        <a:blip xmlns:r="http://schemas.openxmlformats.org/officeDocument/2006/relationships" r:embed="rId1" cstate="print"/>
        <a:srcRect/>
        <a:stretch>
          <a:fillRect/>
        </a:stretch>
      </xdr:blipFill>
      <xdr:spPr bwMode="auto">
        <a:xfrm>
          <a:off x="9439275" y="234950"/>
          <a:ext cx="2576347" cy="1054100"/>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0</xdr:col>
          <xdr:colOff>514350</xdr:colOff>
          <xdr:row>17</xdr:row>
          <xdr:rowOff>28575</xdr:rowOff>
        </xdr:from>
        <xdr:to>
          <xdr:col>2</xdr:col>
          <xdr:colOff>95250</xdr:colOff>
          <xdr:row>18</xdr:row>
          <xdr:rowOff>19050</xdr:rowOff>
        </xdr:to>
        <xdr:sp macro="" textlink="">
          <xdr:nvSpPr>
            <xdr:cNvPr id="241665" name="Check Box 1" hidden="1">
              <a:extLst>
                <a:ext uri="{63B3BB69-23CF-44E3-9099-C40C66FF867C}">
                  <a14:compatExt spid="_x0000_s2416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Show more data</a:t>
              </a:r>
            </a:p>
          </xdr:txBody>
        </xdr:sp>
        <xdr:clientData/>
      </xdr:twoCellAnchor>
    </mc:Choice>
    <mc:Fallback/>
  </mc:AlternateContent>
  <xdr:twoCellAnchor>
    <xdr:from>
      <xdr:col>6</xdr:col>
      <xdr:colOff>1123950</xdr:colOff>
      <xdr:row>19</xdr:row>
      <xdr:rowOff>66675</xdr:rowOff>
    </xdr:from>
    <xdr:to>
      <xdr:col>8</xdr:col>
      <xdr:colOff>1085850</xdr:colOff>
      <xdr:row>27</xdr:row>
      <xdr:rowOff>9525</xdr:rowOff>
    </xdr:to>
    <xdr:sp macro="" textlink="">
      <xdr:nvSpPr>
        <xdr:cNvPr id="5" name="TextBox 4"/>
        <xdr:cNvSpPr txBox="1"/>
      </xdr:nvSpPr>
      <xdr:spPr>
        <a:xfrm>
          <a:off x="7086600" y="5238750"/>
          <a:ext cx="2381250" cy="171450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The reported activity in 2011/12 for non-admitted mental health is not comparable to activity</a:t>
          </a:r>
          <a:r>
            <a:rPr lang="en-US" sz="1100" baseline="0"/>
            <a:t> reported in previous years dure to changes in classification. For this reason it was also excluded from the calculation of national productivity for 2011/12. More about this can be found in the CHE research paper 94. </a:t>
          </a:r>
          <a:endParaRPr lang="en-US" sz="1100"/>
        </a:p>
      </xdr:txBody>
    </xdr:sp>
    <xdr:clientData/>
  </xdr:twoCellAnchor>
  <xdr:twoCellAnchor editAs="oneCell">
    <xdr:from>
      <xdr:col>6</xdr:col>
      <xdr:colOff>1009650</xdr:colOff>
      <xdr:row>18</xdr:row>
      <xdr:rowOff>219075</xdr:rowOff>
    </xdr:from>
    <xdr:to>
      <xdr:col>6</xdr:col>
      <xdr:colOff>1291012</xdr:colOff>
      <xdr:row>19</xdr:row>
      <xdr:rowOff>200025</xdr:rowOff>
    </xdr:to>
    <xdr:pic>
      <xdr:nvPicPr>
        <xdr:cNvPr id="8" name="Picture 7" descr="C:\Users\kg716\AppData\Local\Microsoft\Windows\Temporary Internet Files\Content.IE5\6C1KRBEN\MC900293188[1].wm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72300" y="5076825"/>
          <a:ext cx="281362" cy="29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oneCellAnchor>
    <xdr:from>
      <xdr:col>4</xdr:col>
      <xdr:colOff>1158875</xdr:colOff>
      <xdr:row>3</xdr:row>
      <xdr:rowOff>95250</xdr:rowOff>
    </xdr:from>
    <xdr:ext cx="184731" cy="264560"/>
    <xdr:sp macro="" textlink="">
      <xdr:nvSpPr>
        <xdr:cNvPr id="2" name="TextBox 1"/>
        <xdr:cNvSpPr txBox="1"/>
      </xdr:nvSpPr>
      <xdr:spPr>
        <a:xfrm>
          <a:off x="466407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twoCellAnchor editAs="oneCell">
    <xdr:from>
      <xdr:col>8</xdr:col>
      <xdr:colOff>1057275</xdr:colOff>
      <xdr:row>1</xdr:row>
      <xdr:rowOff>44450</xdr:rowOff>
    </xdr:from>
    <xdr:to>
      <xdr:col>10</xdr:col>
      <xdr:colOff>709447</xdr:colOff>
      <xdr:row>5</xdr:row>
      <xdr:rowOff>22225</xdr:rowOff>
    </xdr:to>
    <xdr:pic>
      <xdr:nvPicPr>
        <xdr:cNvPr id="3" name="Picture 2" descr="http://www.york.ac.uk/che/staff/staff.ltd/CHE%20Logo%20High%20Resolution.jpg"/>
        <xdr:cNvPicPr>
          <a:picLocks noChangeAspect="1" noChangeArrowheads="1"/>
        </xdr:cNvPicPr>
      </xdr:nvPicPr>
      <xdr:blipFill>
        <a:blip xmlns:r="http://schemas.openxmlformats.org/officeDocument/2006/relationships" r:embed="rId1" cstate="print"/>
        <a:srcRect/>
        <a:stretch>
          <a:fillRect/>
        </a:stretch>
      </xdr:blipFill>
      <xdr:spPr bwMode="auto">
        <a:xfrm>
          <a:off x="9010650" y="234950"/>
          <a:ext cx="2576347" cy="1054100"/>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0</xdr:col>
          <xdr:colOff>590550</xdr:colOff>
          <xdr:row>17</xdr:row>
          <xdr:rowOff>0</xdr:rowOff>
        </xdr:from>
        <xdr:to>
          <xdr:col>2</xdr:col>
          <xdr:colOff>171450</xdr:colOff>
          <xdr:row>17</xdr:row>
          <xdr:rowOff>304800</xdr:rowOff>
        </xdr:to>
        <xdr:sp macro="" textlink="">
          <xdr:nvSpPr>
            <xdr:cNvPr id="177153" name="Check Box 1" hidden="1">
              <a:extLst>
                <a:ext uri="{63B3BB69-23CF-44E3-9099-C40C66FF867C}">
                  <a14:compatExt spid="_x0000_s1771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Show more data</a:t>
              </a:r>
            </a:p>
          </xdr:txBody>
        </xdr:sp>
        <xdr:clientData/>
      </xdr:twoCellAnchor>
    </mc:Choice>
    <mc:Fallback/>
  </mc:AlternateContent>
  <xdr:twoCellAnchor>
    <xdr:from>
      <xdr:col>7</xdr:col>
      <xdr:colOff>76200</xdr:colOff>
      <xdr:row>19</xdr:row>
      <xdr:rowOff>161924</xdr:rowOff>
    </xdr:from>
    <xdr:to>
      <xdr:col>8</xdr:col>
      <xdr:colOff>1581150</xdr:colOff>
      <xdr:row>27</xdr:row>
      <xdr:rowOff>28574</xdr:rowOff>
    </xdr:to>
    <xdr:sp macro="" textlink="">
      <xdr:nvSpPr>
        <xdr:cNvPr id="6" name="TextBox 5"/>
        <xdr:cNvSpPr txBox="1"/>
      </xdr:nvSpPr>
      <xdr:spPr>
        <a:xfrm>
          <a:off x="7153275" y="5581649"/>
          <a:ext cx="2381250" cy="153352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In 2003/04 there was a big increase in community</a:t>
          </a:r>
          <a:r>
            <a:rPr lang="en-US" sz="1100" baseline="0"/>
            <a:t> care activity, due to changes in reporting. As we believe the big change does not reflect the true change in activity in community care, the reported value for this year is the average between the values in 2002/03 and 2004/05.</a:t>
          </a:r>
          <a:endParaRPr lang="en-US" sz="1100"/>
        </a:p>
      </xdr:txBody>
    </xdr:sp>
    <xdr:clientData/>
  </xdr:twoCellAnchor>
  <xdr:twoCellAnchor editAs="oneCell">
    <xdr:from>
      <xdr:col>6</xdr:col>
      <xdr:colOff>1504950</xdr:colOff>
      <xdr:row>19</xdr:row>
      <xdr:rowOff>0</xdr:rowOff>
    </xdr:from>
    <xdr:to>
      <xdr:col>7</xdr:col>
      <xdr:colOff>243262</xdr:colOff>
      <xdr:row>19</xdr:row>
      <xdr:rowOff>295275</xdr:rowOff>
    </xdr:to>
    <xdr:pic>
      <xdr:nvPicPr>
        <xdr:cNvPr id="7" name="Picture 6" descr="C:\Users\kg716\AppData\Local\Microsoft\Windows\Temporary Internet Files\Content.IE5\6C1KRBEN\MC900293188[1].wm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38975" y="5419725"/>
          <a:ext cx="281362" cy="29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4</xdr:col>
      <xdr:colOff>1158875</xdr:colOff>
      <xdr:row>3</xdr:row>
      <xdr:rowOff>95250</xdr:rowOff>
    </xdr:from>
    <xdr:ext cx="184731" cy="264560"/>
    <xdr:sp macro="" textlink="">
      <xdr:nvSpPr>
        <xdr:cNvPr id="2" name="TextBox 1"/>
        <xdr:cNvSpPr txBox="1"/>
      </xdr:nvSpPr>
      <xdr:spPr>
        <a:xfrm>
          <a:off x="48736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twoCellAnchor editAs="oneCell">
    <xdr:from>
      <xdr:col>8</xdr:col>
      <xdr:colOff>1057275</xdr:colOff>
      <xdr:row>1</xdr:row>
      <xdr:rowOff>44450</xdr:rowOff>
    </xdr:from>
    <xdr:to>
      <xdr:col>10</xdr:col>
      <xdr:colOff>709447</xdr:colOff>
      <xdr:row>5</xdr:row>
      <xdr:rowOff>22225</xdr:rowOff>
    </xdr:to>
    <xdr:pic>
      <xdr:nvPicPr>
        <xdr:cNvPr id="3" name="Picture 2" descr="http://www.york.ac.uk/che/staff/staff.ltd/CHE%20Logo%20High%20Resolution.jpg"/>
        <xdr:cNvPicPr>
          <a:picLocks noChangeAspect="1" noChangeArrowheads="1"/>
        </xdr:cNvPicPr>
      </xdr:nvPicPr>
      <xdr:blipFill>
        <a:blip xmlns:r="http://schemas.openxmlformats.org/officeDocument/2006/relationships" r:embed="rId1" cstate="print"/>
        <a:srcRect/>
        <a:stretch>
          <a:fillRect/>
        </a:stretch>
      </xdr:blipFill>
      <xdr:spPr bwMode="auto">
        <a:xfrm>
          <a:off x="9439275" y="234950"/>
          <a:ext cx="2576347" cy="1054100"/>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0</xdr:col>
          <xdr:colOff>590550</xdr:colOff>
          <xdr:row>17</xdr:row>
          <xdr:rowOff>0</xdr:rowOff>
        </xdr:from>
        <xdr:to>
          <xdr:col>2</xdr:col>
          <xdr:colOff>171450</xdr:colOff>
          <xdr:row>17</xdr:row>
          <xdr:rowOff>304800</xdr:rowOff>
        </xdr:to>
        <xdr:sp macro="" textlink="">
          <xdr:nvSpPr>
            <xdr:cNvPr id="240641" name="Check Box 1" hidden="1">
              <a:extLst>
                <a:ext uri="{63B3BB69-23CF-44E3-9099-C40C66FF867C}">
                  <a14:compatExt spid="_x0000_s2406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Show more data</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xdr:oneCellAnchor>
    <xdr:from>
      <xdr:col>4</xdr:col>
      <xdr:colOff>1158875</xdr:colOff>
      <xdr:row>3</xdr:row>
      <xdr:rowOff>95250</xdr:rowOff>
    </xdr:from>
    <xdr:ext cx="184731" cy="264560"/>
    <xdr:sp macro="" textlink="">
      <xdr:nvSpPr>
        <xdr:cNvPr id="2" name="TextBox 1"/>
        <xdr:cNvSpPr txBox="1"/>
      </xdr:nvSpPr>
      <xdr:spPr>
        <a:xfrm>
          <a:off x="466407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twoCellAnchor editAs="oneCell">
    <xdr:from>
      <xdr:col>9</xdr:col>
      <xdr:colOff>1190625</xdr:colOff>
      <xdr:row>1</xdr:row>
      <xdr:rowOff>187325</xdr:rowOff>
    </xdr:from>
    <xdr:to>
      <xdr:col>11</xdr:col>
      <xdr:colOff>823747</xdr:colOff>
      <xdr:row>5</xdr:row>
      <xdr:rowOff>165100</xdr:rowOff>
    </xdr:to>
    <xdr:pic>
      <xdr:nvPicPr>
        <xdr:cNvPr id="3" name="Picture 2" descr="http://www.york.ac.uk/che/staff/staff.ltd/CHE%20Logo%20High%20Resolution.jpg"/>
        <xdr:cNvPicPr>
          <a:picLocks noChangeAspect="1" noChangeArrowheads="1"/>
        </xdr:cNvPicPr>
      </xdr:nvPicPr>
      <xdr:blipFill>
        <a:blip xmlns:r="http://schemas.openxmlformats.org/officeDocument/2006/relationships" r:embed="rId1" cstate="print"/>
        <a:srcRect/>
        <a:stretch>
          <a:fillRect/>
        </a:stretch>
      </xdr:blipFill>
      <xdr:spPr bwMode="auto">
        <a:xfrm>
          <a:off x="9115425" y="377825"/>
          <a:ext cx="2576347" cy="1054100"/>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0</xdr:col>
          <xdr:colOff>590550</xdr:colOff>
          <xdr:row>17</xdr:row>
          <xdr:rowOff>0</xdr:rowOff>
        </xdr:from>
        <xdr:to>
          <xdr:col>2</xdr:col>
          <xdr:colOff>171450</xdr:colOff>
          <xdr:row>17</xdr:row>
          <xdr:rowOff>304800</xdr:rowOff>
        </xdr:to>
        <xdr:sp macro="" textlink="">
          <xdr:nvSpPr>
            <xdr:cNvPr id="179201" name="Check Box 1" hidden="1">
              <a:extLst>
                <a:ext uri="{63B3BB69-23CF-44E3-9099-C40C66FF867C}">
                  <a14:compatExt spid="_x0000_s1792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Show more data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590550</xdr:colOff>
          <xdr:row>12</xdr:row>
          <xdr:rowOff>28575</xdr:rowOff>
        </xdr:from>
        <xdr:to>
          <xdr:col>9</xdr:col>
          <xdr:colOff>19050</xdr:colOff>
          <xdr:row>16</xdr:row>
          <xdr:rowOff>114300</xdr:rowOff>
        </xdr:to>
        <xdr:pic>
          <xdr:nvPicPr>
            <xdr:cNvPr id="5" name="new_working"/>
            <xdr:cNvPicPr>
              <a:picLocks noChangeAspect="1" noChangeArrowheads="1"/>
              <a:extLst>
                <a:ext uri="{84589F7E-364E-4C9E-8A38-B11213B215E9}">
                  <a14:cameraTool cellRange="do" spid="_x0000_s179311"/>
                </a:ext>
              </a:extLst>
            </xdr:cNvPicPr>
          </xdr:nvPicPr>
          <xdr:blipFill>
            <a:blip xmlns:r="http://schemas.openxmlformats.org/officeDocument/2006/relationships" r:embed="rId2"/>
            <a:srcRect l="1643" t="2606" r="1643" b="2606"/>
            <a:stretch>
              <a:fillRect/>
            </a:stretch>
          </xdr:blipFill>
          <xdr:spPr bwMode="auto">
            <a:xfrm>
              <a:off x="6457950" y="2876550"/>
              <a:ext cx="2076450" cy="1343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xdr:wsDr>
</file>

<file path=xl/drawings/drawing16.xml><?xml version="1.0" encoding="utf-8"?>
<xdr:wsDr xmlns:xdr="http://schemas.openxmlformats.org/drawingml/2006/spreadsheetDrawing" xmlns:a="http://schemas.openxmlformats.org/drawingml/2006/main">
  <xdr:oneCellAnchor>
    <xdr:from>
      <xdr:col>4</xdr:col>
      <xdr:colOff>1158875</xdr:colOff>
      <xdr:row>3</xdr:row>
      <xdr:rowOff>95250</xdr:rowOff>
    </xdr:from>
    <xdr:ext cx="184731" cy="264560"/>
    <xdr:sp macro="" textlink="">
      <xdr:nvSpPr>
        <xdr:cNvPr id="2" name="TextBox 1"/>
        <xdr:cNvSpPr txBox="1"/>
      </xdr:nvSpPr>
      <xdr:spPr>
        <a:xfrm>
          <a:off x="4864100"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twoCellAnchor editAs="oneCell">
    <xdr:from>
      <xdr:col>11</xdr:col>
      <xdr:colOff>835025</xdr:colOff>
      <xdr:row>1</xdr:row>
      <xdr:rowOff>31750</xdr:rowOff>
    </xdr:from>
    <xdr:to>
      <xdr:col>14</xdr:col>
      <xdr:colOff>195097</xdr:colOff>
      <xdr:row>5</xdr:row>
      <xdr:rowOff>114300</xdr:rowOff>
    </xdr:to>
    <xdr:pic>
      <xdr:nvPicPr>
        <xdr:cNvPr id="3" name="Picture 2" descr="http://www.york.ac.uk/che/staff/staff.ltd/CHE%20Logo%20High%20Resolution.jpg"/>
        <xdr:cNvPicPr>
          <a:picLocks noChangeAspect="1" noChangeArrowheads="1"/>
        </xdr:cNvPicPr>
      </xdr:nvPicPr>
      <xdr:blipFill>
        <a:blip xmlns:r="http://schemas.openxmlformats.org/officeDocument/2006/relationships" r:embed="rId1" cstate="print"/>
        <a:srcRect/>
        <a:stretch>
          <a:fillRect/>
        </a:stretch>
      </xdr:blipFill>
      <xdr:spPr bwMode="auto">
        <a:xfrm>
          <a:off x="11645900" y="222250"/>
          <a:ext cx="2560472" cy="1054100"/>
        </a:xfrm>
        <a:prstGeom prst="rect">
          <a:avLst/>
        </a:prstGeom>
        <a:noFill/>
      </xdr:spPr>
    </xdr:pic>
    <xdr:clientData/>
  </xdr:twoCellAnchor>
  <xdr:twoCellAnchor>
    <xdr:from>
      <xdr:col>1</xdr:col>
      <xdr:colOff>18030</xdr:colOff>
      <xdr:row>21</xdr:row>
      <xdr:rowOff>19050</xdr:rowOff>
    </xdr:from>
    <xdr:to>
      <xdr:col>1</xdr:col>
      <xdr:colOff>2208780</xdr:colOff>
      <xdr:row>28</xdr:row>
      <xdr:rowOff>166301</xdr:rowOff>
    </xdr:to>
    <xdr:sp macro="" textlink="">
      <xdr:nvSpPr>
        <xdr:cNvPr id="4" name="TextBox 3"/>
        <xdr:cNvSpPr txBox="1"/>
      </xdr:nvSpPr>
      <xdr:spPr>
        <a:xfrm>
          <a:off x="627630" y="5162550"/>
          <a:ext cx="2190750" cy="1480751"/>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wrap="square" rtlCol="0" anchor="t"/>
        <a:lstStyle/>
        <a:p>
          <a:r>
            <a:rPr lang="en-US" sz="1100" b="0" i="0" u="none" strike="noStrike" baseline="0" smtClean="0">
              <a:solidFill>
                <a:schemeClr val="dk1"/>
              </a:solidFill>
              <a:latin typeface="+mn-lt"/>
              <a:ea typeface="+mn-ea"/>
              <a:cs typeface="+mn-cs"/>
            </a:rPr>
            <a:t>Comprehensive data on the activities performed in primary care settings remain unavailable. In their</a:t>
          </a:r>
        </a:p>
        <a:p>
          <a:r>
            <a:rPr lang="en-US" sz="1100" b="0" i="0" u="none" strike="noStrike" baseline="0" smtClean="0">
              <a:solidFill>
                <a:schemeClr val="dk1"/>
              </a:solidFill>
              <a:latin typeface="+mn-lt"/>
              <a:ea typeface="+mn-ea"/>
              <a:cs typeface="+mn-cs"/>
            </a:rPr>
            <a:t>absence, nationally representative survey data have been used instead. More abour primary care in RP94, page 7. </a:t>
          </a:r>
          <a:endParaRPr lang="en-GB" sz="900" b="0">
            <a:latin typeface="+mn-lt"/>
          </a:endParaRPr>
        </a:p>
      </xdr:txBody>
    </xdr:sp>
    <xdr:clientData/>
  </xdr:twoCellAnchor>
  <xdr:twoCellAnchor editAs="oneCell">
    <xdr:from>
      <xdr:col>0</xdr:col>
      <xdr:colOff>514350</xdr:colOff>
      <xdr:row>20</xdr:row>
      <xdr:rowOff>57150</xdr:rowOff>
    </xdr:from>
    <xdr:to>
      <xdr:col>1</xdr:col>
      <xdr:colOff>180265</xdr:colOff>
      <xdr:row>21</xdr:row>
      <xdr:rowOff>138281</xdr:rowOff>
    </xdr:to>
    <xdr:pic>
      <xdr:nvPicPr>
        <xdr:cNvPr id="5" name="Picture 4"/>
        <xdr:cNvPicPr>
          <a:picLocks noChangeAspect="1" noChangeArrowheads="1"/>
        </xdr:cNvPicPr>
      </xdr:nvPicPr>
      <xdr:blipFill>
        <a:blip xmlns:r="http://schemas.openxmlformats.org/officeDocument/2006/relationships" r:embed="rId2" cstate="print">
          <a:duotone>
            <a:schemeClr val="accent5">
              <a:shade val="45000"/>
              <a:satMod val="135000"/>
            </a:schemeClr>
            <a:prstClr val="white"/>
          </a:duotone>
        </a:blip>
        <a:srcRect/>
        <a:stretch>
          <a:fillRect/>
        </a:stretch>
      </xdr:blipFill>
      <xdr:spPr bwMode="auto">
        <a:xfrm flipH="1">
          <a:off x="514350" y="5010150"/>
          <a:ext cx="275515" cy="271631"/>
        </a:xfrm>
        <a:prstGeom prst="rect">
          <a:avLst/>
        </a:prstGeom>
        <a:noFill/>
      </xdr:spPr>
    </xdr:pic>
    <xdr:clientData/>
  </xdr:twoCellAnchor>
</xdr:wsDr>
</file>

<file path=xl/drawings/drawing17.xml><?xml version="1.0" encoding="utf-8"?>
<xdr:wsDr xmlns:xdr="http://schemas.openxmlformats.org/drawingml/2006/spreadsheetDrawing" xmlns:a="http://schemas.openxmlformats.org/drawingml/2006/main">
  <xdr:oneCellAnchor>
    <xdr:from>
      <xdr:col>4</xdr:col>
      <xdr:colOff>1158875</xdr:colOff>
      <xdr:row>3</xdr:row>
      <xdr:rowOff>95250</xdr:rowOff>
    </xdr:from>
    <xdr:ext cx="184731" cy="264560"/>
    <xdr:sp macro="" textlink="">
      <xdr:nvSpPr>
        <xdr:cNvPr id="2" name="TextBox 1"/>
        <xdr:cNvSpPr txBox="1"/>
      </xdr:nvSpPr>
      <xdr:spPr>
        <a:xfrm>
          <a:off x="5683250"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twoCellAnchor editAs="oneCell">
    <xdr:from>
      <xdr:col>5</xdr:col>
      <xdr:colOff>3025775</xdr:colOff>
      <xdr:row>0</xdr:row>
      <xdr:rowOff>184150</xdr:rowOff>
    </xdr:from>
    <xdr:to>
      <xdr:col>11</xdr:col>
      <xdr:colOff>299872</xdr:colOff>
      <xdr:row>5</xdr:row>
      <xdr:rowOff>95250</xdr:rowOff>
    </xdr:to>
    <xdr:pic>
      <xdr:nvPicPr>
        <xdr:cNvPr id="3" name="Picture 2" descr="http://www.york.ac.uk/che/staff/staff.ltd/CHE%20Logo%20High%20Resolution.jpg"/>
        <xdr:cNvPicPr>
          <a:picLocks noChangeAspect="1" noChangeArrowheads="1"/>
        </xdr:cNvPicPr>
      </xdr:nvPicPr>
      <xdr:blipFill>
        <a:blip xmlns:r="http://schemas.openxmlformats.org/officeDocument/2006/relationships" r:embed="rId1" cstate="print"/>
        <a:srcRect/>
        <a:stretch>
          <a:fillRect/>
        </a:stretch>
      </xdr:blipFill>
      <xdr:spPr bwMode="auto">
        <a:xfrm>
          <a:off x="8874125" y="184150"/>
          <a:ext cx="2560472" cy="1054100"/>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oneCellAnchor>
    <xdr:from>
      <xdr:col>4</xdr:col>
      <xdr:colOff>1158875</xdr:colOff>
      <xdr:row>3</xdr:row>
      <xdr:rowOff>95250</xdr:rowOff>
    </xdr:from>
    <xdr:ext cx="184731" cy="264560"/>
    <xdr:sp macro="" textlink="">
      <xdr:nvSpPr>
        <xdr:cNvPr id="2" name="TextBox 1"/>
        <xdr:cNvSpPr txBox="1"/>
      </xdr:nvSpPr>
      <xdr:spPr>
        <a:xfrm>
          <a:off x="5683250"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twoCellAnchor editAs="oneCell">
    <xdr:from>
      <xdr:col>7</xdr:col>
      <xdr:colOff>177800</xdr:colOff>
      <xdr:row>2</xdr:row>
      <xdr:rowOff>31750</xdr:rowOff>
    </xdr:from>
    <xdr:to>
      <xdr:col>8</xdr:col>
      <xdr:colOff>1804822</xdr:colOff>
      <xdr:row>6</xdr:row>
      <xdr:rowOff>9525</xdr:rowOff>
    </xdr:to>
    <xdr:pic>
      <xdr:nvPicPr>
        <xdr:cNvPr id="5" name="Picture 4" descr="http://www.york.ac.uk/che/staff/staff.ltd/CHE%20Logo%20High%20Resolution.jpg"/>
        <xdr:cNvPicPr>
          <a:picLocks noChangeAspect="1" noChangeArrowheads="1"/>
        </xdr:cNvPicPr>
      </xdr:nvPicPr>
      <xdr:blipFill>
        <a:blip xmlns:r="http://schemas.openxmlformats.org/officeDocument/2006/relationships" r:embed="rId1" cstate="print"/>
        <a:srcRect/>
        <a:stretch>
          <a:fillRect/>
        </a:stretch>
      </xdr:blipFill>
      <xdr:spPr bwMode="auto">
        <a:xfrm>
          <a:off x="8997950" y="412750"/>
          <a:ext cx="2560472" cy="1054100"/>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1</xdr:col>
          <xdr:colOff>161925</xdr:colOff>
          <xdr:row>31</xdr:row>
          <xdr:rowOff>66675</xdr:rowOff>
        </xdr:from>
        <xdr:to>
          <xdr:col>1</xdr:col>
          <xdr:colOff>1143000</xdr:colOff>
          <xdr:row>32</xdr:row>
          <xdr:rowOff>95250</xdr:rowOff>
        </xdr:to>
        <xdr:sp macro="" textlink="">
          <xdr:nvSpPr>
            <xdr:cNvPr id="182281" name="Check Box 9" hidden="1">
              <a:extLst>
                <a:ext uri="{63B3BB69-23CF-44E3-9099-C40C66FF867C}">
                  <a14:compatExt spid="_x0000_s18228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Show more data</a:t>
              </a:r>
            </a:p>
          </xdr:txBody>
        </xdr:sp>
        <xdr:clientData/>
      </xdr:twoCellAnchor>
    </mc:Choice>
    <mc:Fallback/>
  </mc:AlternateContent>
  <xdr:twoCellAnchor editAs="oneCell">
    <xdr:from>
      <xdr:col>4</xdr:col>
      <xdr:colOff>152400</xdr:colOff>
      <xdr:row>23</xdr:row>
      <xdr:rowOff>0</xdr:rowOff>
    </xdr:from>
    <xdr:to>
      <xdr:col>4</xdr:col>
      <xdr:colOff>1343025</xdr:colOff>
      <xdr:row>26</xdr:row>
      <xdr:rowOff>64477</xdr:rowOff>
    </xdr:to>
    <xdr:pic>
      <xdr:nvPicPr>
        <xdr:cNvPr id="9" name="Picture 4"/>
        <xdr:cNvPicPr>
          <a:picLocks noChangeAspect="1" noChangeArrowheads="1"/>
        </xdr:cNvPicPr>
      </xdr:nvPicPr>
      <xdr:blipFill>
        <a:blip xmlns:r="http://schemas.openxmlformats.org/officeDocument/2006/relationships" r:embed="rId2" cstate="print"/>
        <a:srcRect/>
        <a:stretch>
          <a:fillRect/>
        </a:stretch>
      </xdr:blipFill>
      <xdr:spPr bwMode="auto">
        <a:xfrm>
          <a:off x="5372100" y="6829425"/>
          <a:ext cx="1190625" cy="1007452"/>
        </a:xfrm>
        <a:prstGeom prst="rect">
          <a:avLst/>
        </a:prstGeom>
        <a:noFill/>
        <a:ln w="1">
          <a:noFill/>
          <a:miter lim="800000"/>
          <a:headEnd/>
          <a:tailEnd type="none" w="med" len="med"/>
        </a:ln>
        <a:effectLst/>
      </xdr:spPr>
    </xdr:pic>
    <xdr:clientData/>
  </xdr:twoCellAnchor>
  <xdr:twoCellAnchor editAs="oneCell">
    <xdr:from>
      <xdr:col>8</xdr:col>
      <xdr:colOff>0</xdr:colOff>
      <xdr:row>23</xdr:row>
      <xdr:rowOff>0</xdr:rowOff>
    </xdr:from>
    <xdr:to>
      <xdr:col>8</xdr:col>
      <xdr:colOff>1838325</xdr:colOff>
      <xdr:row>25</xdr:row>
      <xdr:rowOff>257175</xdr:rowOff>
    </xdr:to>
    <xdr:pic>
      <xdr:nvPicPr>
        <xdr:cNvPr id="10" name="Picture 5"/>
        <xdr:cNvPicPr>
          <a:picLocks noChangeAspect="1" noChangeArrowheads="1"/>
        </xdr:cNvPicPr>
      </xdr:nvPicPr>
      <xdr:blipFill>
        <a:blip xmlns:r="http://schemas.openxmlformats.org/officeDocument/2006/relationships" r:embed="rId3" cstate="print"/>
        <a:srcRect/>
        <a:stretch>
          <a:fillRect/>
        </a:stretch>
      </xdr:blipFill>
      <xdr:spPr bwMode="auto">
        <a:xfrm>
          <a:off x="9753600" y="6829425"/>
          <a:ext cx="1838325" cy="885825"/>
        </a:xfrm>
        <a:prstGeom prst="rect">
          <a:avLst/>
        </a:prstGeom>
        <a:noFill/>
        <a:ln w="1">
          <a:noFill/>
          <a:miter lim="800000"/>
          <a:headEnd/>
          <a:tailEnd type="none" w="med" len="med"/>
        </a:ln>
        <a:effectLst/>
      </xdr:spPr>
    </xdr:pic>
    <xdr:clientData/>
  </xdr:twoCellAnchor>
  <xdr:twoCellAnchor>
    <xdr:from>
      <xdr:col>3</xdr:col>
      <xdr:colOff>981075</xdr:colOff>
      <xdr:row>27</xdr:row>
      <xdr:rowOff>171451</xdr:rowOff>
    </xdr:from>
    <xdr:to>
      <xdr:col>7</xdr:col>
      <xdr:colOff>447675</xdr:colOff>
      <xdr:row>30</xdr:row>
      <xdr:rowOff>180975</xdr:rowOff>
    </xdr:to>
    <xdr:sp macro="" textlink="">
      <xdr:nvSpPr>
        <xdr:cNvPr id="7" name="TextBox 6"/>
        <xdr:cNvSpPr txBox="1"/>
      </xdr:nvSpPr>
      <xdr:spPr>
        <a:xfrm>
          <a:off x="4914900" y="6734176"/>
          <a:ext cx="4352925" cy="7048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0" i="0" u="none" strike="noStrike">
              <a:solidFill>
                <a:schemeClr val="dk1"/>
              </a:solidFill>
              <a:effectLst/>
              <a:latin typeface="+mn-lt"/>
              <a:ea typeface="+mn-ea"/>
              <a:cs typeface="+mn-cs"/>
            </a:rPr>
            <a:t>Primary</a:t>
          </a:r>
          <a:r>
            <a:rPr lang="en-US" sz="1100" b="0" i="0" u="none" strike="noStrike" baseline="0">
              <a:solidFill>
                <a:schemeClr val="dk1"/>
              </a:solidFill>
              <a:effectLst/>
              <a:latin typeface="+mn-lt"/>
              <a:ea typeface="+mn-ea"/>
              <a:cs typeface="+mn-cs"/>
            </a:rPr>
            <a:t> care data </a:t>
          </a:r>
          <a:r>
            <a:rPr lang="en-US" sz="1100" b="0" i="0" u="none" strike="noStrike">
              <a:solidFill>
                <a:schemeClr val="dk1"/>
              </a:solidFill>
              <a:effectLst/>
              <a:latin typeface="+mn-lt"/>
              <a:ea typeface="+mn-ea"/>
              <a:cs typeface="+mn-cs"/>
            </a:rPr>
            <a:t>prior to 2009/10 came from QResearch;</a:t>
          </a:r>
          <a:r>
            <a:rPr lang="en-US" sz="1100" b="0" i="0" u="none" strike="noStrike" baseline="0">
              <a:solidFill>
                <a:schemeClr val="dk1"/>
              </a:solidFill>
              <a:effectLst/>
              <a:latin typeface="+mn-lt"/>
              <a:ea typeface="+mn-ea"/>
              <a:cs typeface="+mn-cs"/>
            </a:rPr>
            <a:t> from then on, GP patient survey is used as our source for GP activity. More on the changes and current methodology is available from the Reseach Papers. </a:t>
          </a:r>
          <a:endParaRPr lang="en-US" sz="1100"/>
        </a:p>
      </xdr:txBody>
    </xdr:sp>
    <xdr:clientData/>
  </xdr:twoCellAnchor>
  <xdr:twoCellAnchor editAs="oneCell">
    <xdr:from>
      <xdr:col>3</xdr:col>
      <xdr:colOff>838200</xdr:colOff>
      <xdr:row>27</xdr:row>
      <xdr:rowOff>0</xdr:rowOff>
    </xdr:from>
    <xdr:to>
      <xdr:col>3</xdr:col>
      <xdr:colOff>1119562</xdr:colOff>
      <xdr:row>27</xdr:row>
      <xdr:rowOff>295275</xdr:rowOff>
    </xdr:to>
    <xdr:pic>
      <xdr:nvPicPr>
        <xdr:cNvPr id="11" name="Picture 10" descr="C:\Users\kg716\AppData\Local\Microsoft\Windows\Temporary Internet Files\Content.IE5\6C1KRBEN\MC900293188[1].wmf"/>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72025" y="6562725"/>
          <a:ext cx="281362" cy="29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oneCellAnchor>
    <xdr:from>
      <xdr:col>4</xdr:col>
      <xdr:colOff>1158875</xdr:colOff>
      <xdr:row>3</xdr:row>
      <xdr:rowOff>95250</xdr:rowOff>
    </xdr:from>
    <xdr:ext cx="184731" cy="264560"/>
    <xdr:sp macro="" textlink="">
      <xdr:nvSpPr>
        <xdr:cNvPr id="2" name="TextBox 1"/>
        <xdr:cNvSpPr txBox="1"/>
      </xdr:nvSpPr>
      <xdr:spPr>
        <a:xfrm>
          <a:off x="2901950"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twoCellAnchor editAs="oneCell">
    <xdr:from>
      <xdr:col>10</xdr:col>
      <xdr:colOff>415925</xdr:colOff>
      <xdr:row>3</xdr:row>
      <xdr:rowOff>79375</xdr:rowOff>
    </xdr:from>
    <xdr:to>
      <xdr:col>13</xdr:col>
      <xdr:colOff>1690522</xdr:colOff>
      <xdr:row>7</xdr:row>
      <xdr:rowOff>57150</xdr:rowOff>
    </xdr:to>
    <xdr:pic>
      <xdr:nvPicPr>
        <xdr:cNvPr id="3" name="Picture 2" descr="http://www.york.ac.uk/che/staff/staff.ltd/CHE%20Logo%20High%20Resolution.jpg"/>
        <xdr:cNvPicPr>
          <a:picLocks noChangeAspect="1" noChangeArrowheads="1"/>
        </xdr:cNvPicPr>
      </xdr:nvPicPr>
      <xdr:blipFill>
        <a:blip xmlns:r="http://schemas.openxmlformats.org/officeDocument/2006/relationships" r:embed="rId1" cstate="print"/>
        <a:srcRect/>
        <a:stretch>
          <a:fillRect/>
        </a:stretch>
      </xdr:blipFill>
      <xdr:spPr bwMode="auto">
        <a:xfrm>
          <a:off x="8531225" y="593725"/>
          <a:ext cx="2560472" cy="1054100"/>
        </a:xfrm>
        <a:prstGeom prst="rect">
          <a:avLst/>
        </a:prstGeom>
        <a:noFill/>
      </xdr:spPr>
    </xdr:pic>
    <xdr:clientData/>
  </xdr:twoCellAnchor>
  <xdr:twoCellAnchor>
    <xdr:from>
      <xdr:col>3</xdr:col>
      <xdr:colOff>714374</xdr:colOff>
      <xdr:row>17</xdr:row>
      <xdr:rowOff>133350</xdr:rowOff>
    </xdr:from>
    <xdr:to>
      <xdr:col>9</xdr:col>
      <xdr:colOff>809624</xdr:colOff>
      <xdr:row>31</xdr:row>
      <xdr:rowOff>57150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xdr:col>
      <xdr:colOff>0</xdr:colOff>
      <xdr:row>12</xdr:row>
      <xdr:rowOff>0</xdr:rowOff>
    </xdr:from>
    <xdr:to>
      <xdr:col>7</xdr:col>
      <xdr:colOff>9525</xdr:colOff>
      <xdr:row>15</xdr:row>
      <xdr:rowOff>9525</xdr:rowOff>
    </xdr:to>
    <xdr:pic>
      <xdr:nvPicPr>
        <xdr:cNvPr id="31748"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4638675" y="2409825"/>
          <a:ext cx="2057400" cy="952500"/>
        </a:xfrm>
        <a:prstGeom prst="rect">
          <a:avLst/>
        </a:prstGeom>
        <a:noFill/>
        <a:ln w="1">
          <a:noFill/>
          <a:miter lim="800000"/>
          <a:headEnd/>
          <a:tailEnd type="none" w="med" len="med"/>
        </a:ln>
        <a:effectLst/>
      </xdr:spPr>
    </xdr:pic>
    <xdr:clientData/>
  </xdr:twoCellAnchor>
  <xdr:twoCellAnchor editAs="oneCell">
    <xdr:from>
      <xdr:col>13</xdr:col>
      <xdr:colOff>0</xdr:colOff>
      <xdr:row>12</xdr:row>
      <xdr:rowOff>0</xdr:rowOff>
    </xdr:from>
    <xdr:to>
      <xdr:col>14</xdr:col>
      <xdr:colOff>9525</xdr:colOff>
      <xdr:row>15</xdr:row>
      <xdr:rowOff>9525</xdr:rowOff>
    </xdr:to>
    <xdr:pic>
      <xdr:nvPicPr>
        <xdr:cNvPr id="31749" name="Picture 5"/>
        <xdr:cNvPicPr>
          <a:picLocks noChangeAspect="1" noChangeArrowheads="1"/>
        </xdr:cNvPicPr>
      </xdr:nvPicPr>
      <xdr:blipFill>
        <a:blip xmlns:r="http://schemas.openxmlformats.org/officeDocument/2006/relationships" r:embed="rId4" cstate="print"/>
        <a:srcRect/>
        <a:stretch>
          <a:fillRect/>
        </a:stretch>
      </xdr:blipFill>
      <xdr:spPr bwMode="auto">
        <a:xfrm>
          <a:off x="9039225" y="2743200"/>
          <a:ext cx="2057400" cy="952500"/>
        </a:xfrm>
        <a:prstGeom prst="rect">
          <a:avLst/>
        </a:prstGeom>
        <a:noFill/>
        <a:ln w="1">
          <a:noFill/>
          <a:miter lim="800000"/>
          <a:headEnd/>
          <a:tailEnd type="none" w="med" len="med"/>
        </a:ln>
        <a:effectLst/>
      </xdr:spPr>
    </xdr:pic>
    <xdr:clientData/>
  </xdr:twoCellAnchor>
  <xdr:twoCellAnchor>
    <xdr:from>
      <xdr:col>12</xdr:col>
      <xdr:colOff>37080</xdr:colOff>
      <xdr:row>18</xdr:row>
      <xdr:rowOff>50883</xdr:rowOff>
    </xdr:from>
    <xdr:to>
      <xdr:col>14</xdr:col>
      <xdr:colOff>180975</xdr:colOff>
      <xdr:row>22</xdr:row>
      <xdr:rowOff>28575</xdr:rowOff>
    </xdr:to>
    <xdr:sp macro="" textlink="">
      <xdr:nvSpPr>
        <xdr:cNvPr id="11" name="TextBox 10"/>
        <xdr:cNvSpPr txBox="1"/>
      </xdr:nvSpPr>
      <xdr:spPr>
        <a:xfrm>
          <a:off x="8981055" y="4537158"/>
          <a:ext cx="2648970" cy="711117"/>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wrap="square" rtlCol="0" anchor="t"/>
        <a:lstStyle/>
        <a:p>
          <a:pPr algn="l"/>
          <a:r>
            <a:rPr lang="en-GB" sz="900" b="0">
              <a:latin typeface="+mn-lt"/>
            </a:rPr>
            <a:t>Quality adjustment of primary care was</a:t>
          </a:r>
          <a:r>
            <a:rPr lang="en-GB" sz="900" b="0" baseline="0">
              <a:latin typeface="+mn-lt"/>
            </a:rPr>
            <a:t> first introduced in 2003/04 when QOF data became available.</a:t>
          </a:r>
          <a:endParaRPr lang="en-GB" sz="900" b="0">
            <a:latin typeface="+mn-lt"/>
          </a:endParaRPr>
        </a:p>
      </xdr:txBody>
    </xdr:sp>
    <xdr:clientData/>
  </xdr:twoCellAnchor>
  <xdr:twoCellAnchor editAs="oneCell">
    <xdr:from>
      <xdr:col>11</xdr:col>
      <xdr:colOff>200025</xdr:colOff>
      <xdr:row>17</xdr:row>
      <xdr:rowOff>76200</xdr:rowOff>
    </xdr:from>
    <xdr:to>
      <xdr:col>12</xdr:col>
      <xdr:colOff>161215</xdr:colOff>
      <xdr:row>18</xdr:row>
      <xdr:rowOff>157331</xdr:rowOff>
    </xdr:to>
    <xdr:pic>
      <xdr:nvPicPr>
        <xdr:cNvPr id="12" name="Picture 11"/>
        <xdr:cNvPicPr>
          <a:picLocks noChangeAspect="1" noChangeArrowheads="1"/>
        </xdr:cNvPicPr>
      </xdr:nvPicPr>
      <xdr:blipFill>
        <a:blip xmlns:r="http://schemas.openxmlformats.org/officeDocument/2006/relationships" r:embed="rId5" cstate="print">
          <a:duotone>
            <a:schemeClr val="accent5">
              <a:shade val="45000"/>
              <a:satMod val="135000"/>
            </a:schemeClr>
            <a:prstClr val="white"/>
          </a:duotone>
        </a:blip>
        <a:srcRect/>
        <a:stretch>
          <a:fillRect/>
        </a:stretch>
      </xdr:blipFill>
      <xdr:spPr bwMode="auto">
        <a:xfrm flipH="1">
          <a:off x="8829675" y="4371975"/>
          <a:ext cx="275515" cy="271631"/>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1</xdr:col>
          <xdr:colOff>0</xdr:colOff>
          <xdr:row>18</xdr:row>
          <xdr:rowOff>0</xdr:rowOff>
        </xdr:from>
        <xdr:to>
          <xdr:col>2</xdr:col>
          <xdr:colOff>66675</xdr:colOff>
          <xdr:row>19</xdr:row>
          <xdr:rowOff>19050</xdr:rowOff>
        </xdr:to>
        <xdr:sp macro="" textlink="">
          <xdr:nvSpPr>
            <xdr:cNvPr id="31750" name="Option Button 6" hidden="1">
              <a:extLst>
                <a:ext uri="{63B3BB69-23CF-44E3-9099-C40C66FF867C}">
                  <a14:compatExt spid="_x0000_s317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xdr:row>
          <xdr:rowOff>76200</xdr:rowOff>
        </xdr:from>
        <xdr:to>
          <xdr:col>1</xdr:col>
          <xdr:colOff>514350</xdr:colOff>
          <xdr:row>20</xdr:row>
          <xdr:rowOff>180975</xdr:rowOff>
        </xdr:to>
        <xdr:sp macro="" textlink="">
          <xdr:nvSpPr>
            <xdr:cNvPr id="31751" name="Option Button 7" hidden="1">
              <a:extLst>
                <a:ext uri="{63B3BB69-23CF-44E3-9099-C40C66FF867C}">
                  <a14:compatExt spid="_x0000_s317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27</xdr:row>
          <xdr:rowOff>152400</xdr:rowOff>
        </xdr:from>
        <xdr:to>
          <xdr:col>2</xdr:col>
          <xdr:colOff>171450</xdr:colOff>
          <xdr:row>29</xdr:row>
          <xdr:rowOff>47625</xdr:rowOff>
        </xdr:to>
        <xdr:sp macro="" textlink="">
          <xdr:nvSpPr>
            <xdr:cNvPr id="31752" name="Check Box 8" hidden="1">
              <a:extLst>
                <a:ext uri="{63B3BB69-23CF-44E3-9099-C40C66FF867C}">
                  <a14:compatExt spid="_x0000_s317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Show more data</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13</xdr:col>
      <xdr:colOff>571500</xdr:colOff>
      <xdr:row>2</xdr:row>
      <xdr:rowOff>0</xdr:rowOff>
    </xdr:from>
    <xdr:to>
      <xdr:col>18</xdr:col>
      <xdr:colOff>71272</xdr:colOff>
      <xdr:row>5</xdr:row>
      <xdr:rowOff>190500</xdr:rowOff>
    </xdr:to>
    <xdr:pic>
      <xdr:nvPicPr>
        <xdr:cNvPr id="2" name="Picture 1" descr="http://www.york.ac.uk/che/staff/staff.ltd/CHE%20Logo%20High%20Resolution.jpg"/>
        <xdr:cNvPicPr>
          <a:picLocks noChangeAspect="1" noChangeArrowheads="1"/>
        </xdr:cNvPicPr>
      </xdr:nvPicPr>
      <xdr:blipFill>
        <a:blip xmlns:r="http://schemas.openxmlformats.org/officeDocument/2006/relationships" r:embed="rId1" cstate="print"/>
        <a:srcRect/>
        <a:stretch>
          <a:fillRect/>
        </a:stretch>
      </xdr:blipFill>
      <xdr:spPr bwMode="auto">
        <a:xfrm>
          <a:off x="8496300" y="381000"/>
          <a:ext cx="2547772" cy="1066800"/>
        </a:xfrm>
        <a:prstGeom prst="rect">
          <a:avLst/>
        </a:prstGeom>
        <a:noFill/>
      </xdr:spPr>
    </xdr:pic>
    <xdr:clientData/>
  </xdr:twoCellAnchor>
  <xdr:oneCellAnchor>
    <xdr:from>
      <xdr:col>8</xdr:col>
      <xdr:colOff>438150</xdr:colOff>
      <xdr:row>15</xdr:row>
      <xdr:rowOff>19050</xdr:rowOff>
    </xdr:from>
    <xdr:ext cx="184731" cy="264560"/>
    <xdr:sp macro="" textlink="">
      <xdr:nvSpPr>
        <xdr:cNvPr id="3" name="TextBox 2"/>
        <xdr:cNvSpPr txBox="1"/>
      </xdr:nvSpPr>
      <xdr:spPr>
        <a:xfrm>
          <a:off x="5314950"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twoCellAnchor editAs="oneCell">
    <xdr:from>
      <xdr:col>1</xdr:col>
      <xdr:colOff>0</xdr:colOff>
      <xdr:row>18</xdr:row>
      <xdr:rowOff>0</xdr:rowOff>
    </xdr:from>
    <xdr:to>
      <xdr:col>6</xdr:col>
      <xdr:colOff>381000</xdr:colOff>
      <xdr:row>20</xdr:row>
      <xdr:rowOff>161925</xdr:rowOff>
    </xdr:to>
    <xdr:pic>
      <xdr:nvPicPr>
        <xdr:cNvPr id="72713" name="Picture 9"/>
        <xdr:cNvPicPr>
          <a:picLocks noChangeAspect="1" noChangeArrowheads="1"/>
        </xdr:cNvPicPr>
      </xdr:nvPicPr>
      <xdr:blipFill>
        <a:blip xmlns:r="http://schemas.openxmlformats.org/officeDocument/2006/relationships" r:embed="rId2" cstate="print"/>
        <a:srcRect/>
        <a:stretch>
          <a:fillRect/>
        </a:stretch>
      </xdr:blipFill>
      <xdr:spPr bwMode="auto">
        <a:xfrm>
          <a:off x="609600" y="4686300"/>
          <a:ext cx="3429000" cy="781050"/>
        </a:xfrm>
        <a:prstGeom prst="rect">
          <a:avLst/>
        </a:prstGeom>
        <a:noFill/>
        <a:ln w="1">
          <a:noFill/>
          <a:miter lim="800000"/>
          <a:headEnd/>
          <a:tailEnd type="none" w="med" len="med"/>
        </a:ln>
        <a:effectLst/>
      </xdr:spPr>
    </xdr:pic>
    <xdr:clientData/>
  </xdr:twoCellAnchor>
  <xdr:twoCellAnchor>
    <xdr:from>
      <xdr:col>4</xdr:col>
      <xdr:colOff>426785</xdr:colOff>
      <xdr:row>20</xdr:row>
      <xdr:rowOff>150075</xdr:rowOff>
    </xdr:from>
    <xdr:to>
      <xdr:col>7</xdr:col>
      <xdr:colOff>17210</xdr:colOff>
      <xdr:row>21</xdr:row>
      <xdr:rowOff>84202</xdr:rowOff>
    </xdr:to>
    <xdr:sp macro="" textlink="">
      <xdr:nvSpPr>
        <xdr:cNvPr id="6" name="Right Arrow 5"/>
        <xdr:cNvSpPr/>
      </xdr:nvSpPr>
      <xdr:spPr>
        <a:xfrm rot="12185878">
          <a:off x="2865185" y="5455500"/>
          <a:ext cx="1419225" cy="124627"/>
        </a:xfrm>
        <a:prstGeom prst="rightArrow">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endParaRPr lang="en-GB" sz="900"/>
        </a:p>
      </xdr:txBody>
    </xdr:sp>
    <xdr:clientData/>
  </xdr:twoCellAnchor>
  <xdr:twoCellAnchor editAs="oneCell">
    <xdr:from>
      <xdr:col>1</xdr:col>
      <xdr:colOff>171449</xdr:colOff>
      <xdr:row>24</xdr:row>
      <xdr:rowOff>83281</xdr:rowOff>
    </xdr:from>
    <xdr:to>
      <xdr:col>1</xdr:col>
      <xdr:colOff>590549</xdr:colOff>
      <xdr:row>26</xdr:row>
      <xdr:rowOff>118550</xdr:rowOff>
    </xdr:to>
    <xdr:pic>
      <xdr:nvPicPr>
        <xdr:cNvPr id="15" name="Picture 13"/>
        <xdr:cNvPicPr>
          <a:picLocks noChangeAspect="1" noChangeArrowheads="1"/>
        </xdr:cNvPicPr>
      </xdr:nvPicPr>
      <xdr:blipFill>
        <a:blip xmlns:r="http://schemas.openxmlformats.org/officeDocument/2006/relationships" r:embed="rId3" cstate="print">
          <a:duotone>
            <a:schemeClr val="accent5">
              <a:shade val="45000"/>
              <a:satMod val="135000"/>
            </a:schemeClr>
            <a:prstClr val="white"/>
          </a:duotone>
        </a:blip>
        <a:srcRect/>
        <a:stretch>
          <a:fillRect/>
        </a:stretch>
      </xdr:blipFill>
      <xdr:spPr bwMode="auto">
        <a:xfrm flipH="1">
          <a:off x="781049" y="6531706"/>
          <a:ext cx="419100" cy="416269"/>
        </a:xfrm>
        <a:prstGeom prst="rect">
          <a:avLst/>
        </a:prstGeom>
        <a:noFill/>
      </xdr:spPr>
    </xdr:pic>
    <xdr:clientData/>
  </xdr:twoCellAnchor>
  <xdr:twoCellAnchor editAs="oneCell">
    <xdr:from>
      <xdr:col>1</xdr:col>
      <xdr:colOff>238125</xdr:colOff>
      <xdr:row>28</xdr:row>
      <xdr:rowOff>276225</xdr:rowOff>
    </xdr:from>
    <xdr:to>
      <xdr:col>5</xdr:col>
      <xdr:colOff>457200</xdr:colOff>
      <xdr:row>29</xdr:row>
      <xdr:rowOff>133350</xdr:rowOff>
    </xdr:to>
    <xdr:pic>
      <xdr:nvPicPr>
        <xdr:cNvPr id="16" name="Picture 6"/>
        <xdr:cNvPicPr>
          <a:picLocks noChangeAspect="1" noChangeArrowheads="1"/>
        </xdr:cNvPicPr>
      </xdr:nvPicPr>
      <xdr:blipFill>
        <a:blip xmlns:r="http://schemas.openxmlformats.org/officeDocument/2006/relationships" r:embed="rId4" cstate="print"/>
        <a:srcRect/>
        <a:stretch>
          <a:fillRect/>
        </a:stretch>
      </xdr:blipFill>
      <xdr:spPr bwMode="auto">
        <a:xfrm>
          <a:off x="847725" y="7105650"/>
          <a:ext cx="2657475" cy="447675"/>
        </a:xfrm>
        <a:prstGeom prst="rect">
          <a:avLst/>
        </a:prstGeom>
        <a:noFill/>
        <a:ln w="1">
          <a:noFill/>
          <a:miter lim="800000"/>
          <a:headEnd/>
          <a:tailEnd type="none" w="med" len="med"/>
        </a:ln>
        <a:effectLst/>
      </xdr:spPr>
    </xdr:pic>
    <xdr:clientData/>
  </xdr:twoCellAnchor>
  <xdr:twoCellAnchor>
    <xdr:from>
      <xdr:col>5</xdr:col>
      <xdr:colOff>594405</xdr:colOff>
      <xdr:row>29</xdr:row>
      <xdr:rowOff>26742</xdr:rowOff>
    </xdr:from>
    <xdr:to>
      <xdr:col>6</xdr:col>
      <xdr:colOff>591667</xdr:colOff>
      <xdr:row>29</xdr:row>
      <xdr:rowOff>127603</xdr:rowOff>
    </xdr:to>
    <xdr:sp macro="" textlink="">
      <xdr:nvSpPr>
        <xdr:cNvPr id="18" name="Right Arrow 17"/>
        <xdr:cNvSpPr/>
      </xdr:nvSpPr>
      <xdr:spPr>
        <a:xfrm rot="11304721" flipV="1">
          <a:off x="3642405" y="7446717"/>
          <a:ext cx="606862" cy="100861"/>
        </a:xfrm>
        <a:prstGeom prst="rightArrow">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endParaRPr lang="en-GB" sz="900"/>
        </a:p>
      </xdr:txBody>
    </xdr:sp>
    <xdr:clientData/>
  </xdr:twoCellAnchor>
  <xdr:twoCellAnchor editAs="oneCell">
    <xdr:from>
      <xdr:col>1</xdr:col>
      <xdr:colOff>228600</xdr:colOff>
      <xdr:row>33</xdr:row>
      <xdr:rowOff>123825</xdr:rowOff>
    </xdr:from>
    <xdr:to>
      <xdr:col>3</xdr:col>
      <xdr:colOff>247650</xdr:colOff>
      <xdr:row>35</xdr:row>
      <xdr:rowOff>123825</xdr:rowOff>
    </xdr:to>
    <xdr:pic>
      <xdr:nvPicPr>
        <xdr:cNvPr id="72715" name="Picture 11"/>
        <xdr:cNvPicPr>
          <a:picLocks noChangeAspect="1" noChangeArrowheads="1"/>
        </xdr:cNvPicPr>
      </xdr:nvPicPr>
      <xdr:blipFill>
        <a:blip xmlns:r="http://schemas.openxmlformats.org/officeDocument/2006/relationships" r:embed="rId5" cstate="print"/>
        <a:srcRect/>
        <a:stretch>
          <a:fillRect/>
        </a:stretch>
      </xdr:blipFill>
      <xdr:spPr bwMode="auto">
        <a:xfrm>
          <a:off x="838200" y="8305800"/>
          <a:ext cx="1238250" cy="381000"/>
        </a:xfrm>
        <a:prstGeom prst="rect">
          <a:avLst/>
        </a:prstGeom>
        <a:noFill/>
      </xdr:spPr>
    </xdr:pic>
    <xdr:clientData/>
  </xdr:twoCellAnchor>
  <xdr:twoCellAnchor>
    <xdr:from>
      <xdr:col>3</xdr:col>
      <xdr:colOff>221608</xdr:colOff>
      <xdr:row>34</xdr:row>
      <xdr:rowOff>123071</xdr:rowOff>
    </xdr:from>
    <xdr:to>
      <xdr:col>4</xdr:col>
      <xdr:colOff>364388</xdr:colOff>
      <xdr:row>35</xdr:row>
      <xdr:rowOff>40799</xdr:rowOff>
    </xdr:to>
    <xdr:sp macro="" textlink="">
      <xdr:nvSpPr>
        <xdr:cNvPr id="20" name="Right Arrow 19"/>
        <xdr:cNvSpPr/>
      </xdr:nvSpPr>
      <xdr:spPr>
        <a:xfrm rot="11304721" flipV="1">
          <a:off x="2050408" y="8495546"/>
          <a:ext cx="752380" cy="108228"/>
        </a:xfrm>
        <a:prstGeom prst="rightArrow">
          <a:avLst/>
        </a:prstGeom>
        <a:ln w="12700">
          <a:solidFill>
            <a:schemeClr val="tx1"/>
          </a:solid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endParaRPr lang="en-GB" sz="900"/>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4</xdr:col>
      <xdr:colOff>1158875</xdr:colOff>
      <xdr:row>3</xdr:row>
      <xdr:rowOff>95250</xdr:rowOff>
    </xdr:from>
    <xdr:ext cx="184731" cy="264560"/>
    <xdr:sp macro="" textlink="">
      <xdr:nvSpPr>
        <xdr:cNvPr id="3" name="TextBox 2"/>
        <xdr:cNvSpPr txBox="1"/>
      </xdr:nvSpPr>
      <xdr:spPr>
        <a:xfrm>
          <a:off x="102076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twoCellAnchor editAs="oneCell">
    <xdr:from>
      <xdr:col>8</xdr:col>
      <xdr:colOff>1235075</xdr:colOff>
      <xdr:row>2</xdr:row>
      <xdr:rowOff>50800</xdr:rowOff>
    </xdr:from>
    <xdr:to>
      <xdr:col>10</xdr:col>
      <xdr:colOff>533400</xdr:colOff>
      <xdr:row>5</xdr:row>
      <xdr:rowOff>255296</xdr:rowOff>
    </xdr:to>
    <xdr:pic>
      <xdr:nvPicPr>
        <xdr:cNvPr id="6" name="Picture 5" descr="http://www.york.ac.uk/che/staff/staff.ltd/CHE%20Logo%20High%20Resolution.jpg"/>
        <xdr:cNvPicPr>
          <a:picLocks noChangeAspect="1" noChangeArrowheads="1"/>
        </xdr:cNvPicPr>
      </xdr:nvPicPr>
      <xdr:blipFill>
        <a:blip xmlns:r="http://schemas.openxmlformats.org/officeDocument/2006/relationships" r:embed="rId1" cstate="print"/>
        <a:srcRect/>
        <a:stretch>
          <a:fillRect/>
        </a:stretch>
      </xdr:blipFill>
      <xdr:spPr bwMode="auto">
        <a:xfrm>
          <a:off x="8693150" y="431800"/>
          <a:ext cx="2393950" cy="985546"/>
        </a:xfrm>
        <a:prstGeom prst="rect">
          <a:avLst/>
        </a:prstGeom>
        <a:noFill/>
      </xdr:spPr>
    </xdr:pic>
    <xdr:clientData/>
  </xdr:twoCellAnchor>
  <xdr:twoCellAnchor editAs="oneCell">
    <xdr:from>
      <xdr:col>8</xdr:col>
      <xdr:colOff>0</xdr:colOff>
      <xdr:row>10</xdr:row>
      <xdr:rowOff>0</xdr:rowOff>
    </xdr:from>
    <xdr:to>
      <xdr:col>9</xdr:col>
      <xdr:colOff>9525</xdr:colOff>
      <xdr:row>11</xdr:row>
      <xdr:rowOff>9525</xdr:rowOff>
    </xdr:to>
    <xdr:pic>
      <xdr:nvPicPr>
        <xdr:cNvPr id="66562"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7458075" y="2524125"/>
          <a:ext cx="2657475" cy="447675"/>
        </a:xfrm>
        <a:prstGeom prst="rect">
          <a:avLst/>
        </a:prstGeom>
        <a:noFill/>
        <a:ln w="1">
          <a:noFill/>
          <a:miter lim="800000"/>
          <a:headEnd/>
          <a:tailEnd type="none" w="med" len="med"/>
        </a:ln>
        <a:effectLst/>
      </xdr:spPr>
    </xdr:pic>
    <xdr:clientData/>
  </xdr:twoCellAnchor>
  <xdr:twoCellAnchor editAs="oneCell">
    <xdr:from>
      <xdr:col>8</xdr:col>
      <xdr:colOff>0</xdr:colOff>
      <xdr:row>11</xdr:row>
      <xdr:rowOff>0</xdr:rowOff>
    </xdr:from>
    <xdr:to>
      <xdr:col>9</xdr:col>
      <xdr:colOff>9525</xdr:colOff>
      <xdr:row>12</xdr:row>
      <xdr:rowOff>9525</xdr:rowOff>
    </xdr:to>
    <xdr:pic>
      <xdr:nvPicPr>
        <xdr:cNvPr id="66564"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7458075" y="2962275"/>
          <a:ext cx="2657475" cy="447675"/>
        </a:xfrm>
        <a:prstGeom prst="rect">
          <a:avLst/>
        </a:prstGeom>
        <a:noFill/>
        <a:ln w="1">
          <a:noFill/>
          <a:miter lim="800000"/>
          <a:headEnd/>
          <a:tailEnd type="none" w="med" len="med"/>
        </a:ln>
        <a:effectLst/>
      </xdr:spPr>
    </xdr:pic>
    <xdr:clientData/>
  </xdr:twoCellAnchor>
  <xdr:twoCellAnchor editAs="oneCell">
    <xdr:from>
      <xdr:col>8</xdr:col>
      <xdr:colOff>0</xdr:colOff>
      <xdr:row>12</xdr:row>
      <xdr:rowOff>0</xdr:rowOff>
    </xdr:from>
    <xdr:to>
      <xdr:col>9</xdr:col>
      <xdr:colOff>9525</xdr:colOff>
      <xdr:row>13</xdr:row>
      <xdr:rowOff>9525</xdr:rowOff>
    </xdr:to>
    <xdr:pic>
      <xdr:nvPicPr>
        <xdr:cNvPr id="66565" name="Picture 5"/>
        <xdr:cNvPicPr>
          <a:picLocks noChangeAspect="1" noChangeArrowheads="1"/>
        </xdr:cNvPicPr>
      </xdr:nvPicPr>
      <xdr:blipFill>
        <a:blip xmlns:r="http://schemas.openxmlformats.org/officeDocument/2006/relationships" r:embed="rId4" cstate="print"/>
        <a:srcRect/>
        <a:stretch>
          <a:fillRect/>
        </a:stretch>
      </xdr:blipFill>
      <xdr:spPr bwMode="auto">
        <a:xfrm>
          <a:off x="7458075" y="3400425"/>
          <a:ext cx="2657475" cy="447675"/>
        </a:xfrm>
        <a:prstGeom prst="rect">
          <a:avLst/>
        </a:prstGeom>
        <a:noFill/>
        <a:ln w="1">
          <a:noFill/>
          <a:miter lim="800000"/>
          <a:headEnd/>
          <a:tailEnd type="none" w="med" len="med"/>
        </a:ln>
        <a:effectLst/>
      </xdr:spPr>
    </xdr:pic>
    <xdr:clientData/>
  </xdr:twoCellAnchor>
  <xdr:twoCellAnchor editAs="oneCell">
    <xdr:from>
      <xdr:col>8</xdr:col>
      <xdr:colOff>0</xdr:colOff>
      <xdr:row>13</xdr:row>
      <xdr:rowOff>0</xdr:rowOff>
    </xdr:from>
    <xdr:to>
      <xdr:col>9</xdr:col>
      <xdr:colOff>9525</xdr:colOff>
      <xdr:row>14</xdr:row>
      <xdr:rowOff>9525</xdr:rowOff>
    </xdr:to>
    <xdr:pic>
      <xdr:nvPicPr>
        <xdr:cNvPr id="66566" name="Picture 6"/>
        <xdr:cNvPicPr>
          <a:picLocks noChangeAspect="1" noChangeArrowheads="1"/>
        </xdr:cNvPicPr>
      </xdr:nvPicPr>
      <xdr:blipFill>
        <a:blip xmlns:r="http://schemas.openxmlformats.org/officeDocument/2006/relationships" r:embed="rId5" cstate="print"/>
        <a:srcRect/>
        <a:stretch>
          <a:fillRect/>
        </a:stretch>
      </xdr:blipFill>
      <xdr:spPr bwMode="auto">
        <a:xfrm>
          <a:off x="7458075" y="3838575"/>
          <a:ext cx="2657475" cy="447675"/>
        </a:xfrm>
        <a:prstGeom prst="rect">
          <a:avLst/>
        </a:prstGeom>
        <a:noFill/>
        <a:ln w="1">
          <a:noFill/>
          <a:miter lim="800000"/>
          <a:headEnd/>
          <a:tailEnd type="none" w="med" len="med"/>
        </a:ln>
        <a:effectLst/>
      </xdr:spPr>
    </xdr:pic>
    <xdr:clientData/>
  </xdr:twoCellAnchor>
  <xdr:twoCellAnchor>
    <xdr:from>
      <xdr:col>0</xdr:col>
      <xdr:colOff>542924</xdr:colOff>
      <xdr:row>14</xdr:row>
      <xdr:rowOff>304800</xdr:rowOff>
    </xdr:from>
    <xdr:to>
      <xdr:col>6</xdr:col>
      <xdr:colOff>657224</xdr:colOff>
      <xdr:row>24</xdr:row>
      <xdr:rowOff>123825</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200025</xdr:colOff>
      <xdr:row>17</xdr:row>
      <xdr:rowOff>133350</xdr:rowOff>
    </xdr:from>
    <xdr:to>
      <xdr:col>9</xdr:col>
      <xdr:colOff>219075</xdr:colOff>
      <xdr:row>21</xdr:row>
      <xdr:rowOff>190500</xdr:rowOff>
    </xdr:to>
    <xdr:sp macro="" textlink="">
      <xdr:nvSpPr>
        <xdr:cNvPr id="10" name="TextBox 9"/>
        <xdr:cNvSpPr txBox="1"/>
      </xdr:nvSpPr>
      <xdr:spPr>
        <a:xfrm>
          <a:off x="7305675" y="5334000"/>
          <a:ext cx="3114675" cy="97155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wrap="square" rtlCol="0" anchor="t"/>
        <a:lstStyle/>
        <a:p>
          <a:pPr algn="l"/>
          <a:r>
            <a:rPr lang="en-GB" sz="900" b="0">
              <a:latin typeface="+mn-lt"/>
            </a:rPr>
            <a:t>Data source for prescribing changed from</a:t>
          </a:r>
          <a:r>
            <a:rPr lang="en-GB" sz="900" b="0" baseline="0">
              <a:latin typeface="+mn-lt"/>
            </a:rPr>
            <a:t> the BNF prescriptions data to chemical composition data in 2006/07. The data showed on this page are taken from the new source and are therefore not completely representative of the data used in the calculations of the output, input and productivity indices for the years up unto and including 2005/06. </a:t>
          </a:r>
          <a:endParaRPr lang="en-GB" sz="900" b="0">
            <a:latin typeface="Arial Rounded MT Bold" pitchFamily="34" charset="0"/>
          </a:endParaRPr>
        </a:p>
      </xdr:txBody>
    </xdr:sp>
    <xdr:clientData/>
  </xdr:twoCellAnchor>
  <xdr:twoCellAnchor editAs="oneCell">
    <xdr:from>
      <xdr:col>7</xdr:col>
      <xdr:colOff>70106</xdr:colOff>
      <xdr:row>17</xdr:row>
      <xdr:rowOff>1</xdr:rowOff>
    </xdr:from>
    <xdr:to>
      <xdr:col>7</xdr:col>
      <xdr:colOff>342899</xdr:colOff>
      <xdr:row>18</xdr:row>
      <xdr:rowOff>42351</xdr:rowOff>
    </xdr:to>
    <xdr:pic>
      <xdr:nvPicPr>
        <xdr:cNvPr id="66573" name="Picture 13"/>
        <xdr:cNvPicPr>
          <a:picLocks noChangeAspect="1" noChangeArrowheads="1"/>
        </xdr:cNvPicPr>
      </xdr:nvPicPr>
      <xdr:blipFill>
        <a:blip xmlns:r="http://schemas.openxmlformats.org/officeDocument/2006/relationships" r:embed="rId7" cstate="print">
          <a:duotone>
            <a:schemeClr val="accent5">
              <a:shade val="45000"/>
              <a:satMod val="135000"/>
            </a:schemeClr>
            <a:prstClr val="white"/>
          </a:duotone>
        </a:blip>
        <a:srcRect/>
        <a:stretch>
          <a:fillRect/>
        </a:stretch>
      </xdr:blipFill>
      <xdr:spPr bwMode="auto">
        <a:xfrm flipH="1">
          <a:off x="7175756" y="5038726"/>
          <a:ext cx="272793" cy="270950"/>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1</xdr:col>
          <xdr:colOff>0</xdr:colOff>
          <xdr:row>25</xdr:row>
          <xdr:rowOff>0</xdr:rowOff>
        </xdr:from>
        <xdr:to>
          <xdr:col>2</xdr:col>
          <xdr:colOff>9525</xdr:colOff>
          <xdr:row>26</xdr:row>
          <xdr:rowOff>66675</xdr:rowOff>
        </xdr:to>
        <xdr:sp macro="" textlink="">
          <xdr:nvSpPr>
            <xdr:cNvPr id="66561" name="Check Box 1" hidden="1">
              <a:extLst>
                <a:ext uri="{63B3BB69-23CF-44E3-9099-C40C66FF867C}">
                  <a14:compatExt spid="_x0000_s665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ea typeface="Segoe UI"/>
                  <a:cs typeface="Segoe UI"/>
                </a:rPr>
                <a:t>Show more data</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xdr:oneCellAnchor>
    <xdr:from>
      <xdr:col>5</xdr:col>
      <xdr:colOff>1158875</xdr:colOff>
      <xdr:row>3</xdr:row>
      <xdr:rowOff>95250</xdr:rowOff>
    </xdr:from>
    <xdr:ext cx="184731" cy="264560"/>
    <xdr:sp macro="" textlink="">
      <xdr:nvSpPr>
        <xdr:cNvPr id="2" name="TextBox 1"/>
        <xdr:cNvSpPr txBox="1"/>
      </xdr:nvSpPr>
      <xdr:spPr>
        <a:xfrm>
          <a:off x="634047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oneCellAnchor>
    <xdr:from>
      <xdr:col>4</xdr:col>
      <xdr:colOff>0</xdr:colOff>
      <xdr:row>17</xdr:row>
      <xdr:rowOff>95250</xdr:rowOff>
    </xdr:from>
    <xdr:ext cx="184731" cy="264560"/>
    <xdr:sp macro="" textlink="">
      <xdr:nvSpPr>
        <xdr:cNvPr id="3" name="TextBox 2"/>
        <xdr:cNvSpPr txBox="1"/>
      </xdr:nvSpPr>
      <xdr:spPr>
        <a:xfrm>
          <a:off x="5248275" y="7153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twoCellAnchor editAs="oneCell">
    <xdr:from>
      <xdr:col>7</xdr:col>
      <xdr:colOff>1409700</xdr:colOff>
      <xdr:row>2</xdr:row>
      <xdr:rowOff>19050</xdr:rowOff>
    </xdr:from>
    <xdr:to>
      <xdr:col>9</xdr:col>
      <xdr:colOff>785647</xdr:colOff>
      <xdr:row>6</xdr:row>
      <xdr:rowOff>9525</xdr:rowOff>
    </xdr:to>
    <xdr:pic>
      <xdr:nvPicPr>
        <xdr:cNvPr id="4" name="Picture 3" descr="http://www.york.ac.uk/che/staff/staff.ltd/CHE%20Logo%20High%20Resolution.jpg"/>
        <xdr:cNvPicPr>
          <a:picLocks noChangeAspect="1" noChangeArrowheads="1"/>
        </xdr:cNvPicPr>
      </xdr:nvPicPr>
      <xdr:blipFill>
        <a:blip xmlns:r="http://schemas.openxmlformats.org/officeDocument/2006/relationships" r:embed="rId1" cstate="print"/>
        <a:srcRect/>
        <a:stretch>
          <a:fillRect/>
        </a:stretch>
      </xdr:blipFill>
      <xdr:spPr bwMode="auto">
        <a:xfrm>
          <a:off x="8848725" y="400050"/>
          <a:ext cx="2557297" cy="1066800"/>
        </a:xfrm>
        <a:prstGeom prst="rect">
          <a:avLst/>
        </a:prstGeom>
        <a:noFill/>
      </xdr:spPr>
    </xdr:pic>
    <xdr:clientData/>
  </xdr:twoCellAnchor>
  <xdr:twoCellAnchor>
    <xdr:from>
      <xdr:col>0</xdr:col>
      <xdr:colOff>390525</xdr:colOff>
      <xdr:row>21</xdr:row>
      <xdr:rowOff>76200</xdr:rowOff>
    </xdr:from>
    <xdr:to>
      <xdr:col>7</xdr:col>
      <xdr:colOff>695325</xdr:colOff>
      <xdr:row>41</xdr:row>
      <xdr:rowOff>47625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0</xdr:colOff>
          <xdr:row>43</xdr:row>
          <xdr:rowOff>0</xdr:rowOff>
        </xdr:from>
        <xdr:to>
          <xdr:col>1</xdr:col>
          <xdr:colOff>1333500</xdr:colOff>
          <xdr:row>44</xdr:row>
          <xdr:rowOff>28575</xdr:rowOff>
        </xdr:to>
        <xdr:sp macro="" textlink="">
          <xdr:nvSpPr>
            <xdr:cNvPr id="142337" name="Check Box 1" hidden="1">
              <a:extLst>
                <a:ext uri="{63B3BB69-23CF-44E3-9099-C40C66FF867C}">
                  <a14:compatExt spid="_x0000_s1423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Show more data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1047750</xdr:colOff>
          <xdr:row>24</xdr:row>
          <xdr:rowOff>171450</xdr:rowOff>
        </xdr:from>
        <xdr:to>
          <xdr:col>8</xdr:col>
          <xdr:colOff>781050</xdr:colOff>
          <xdr:row>26</xdr:row>
          <xdr:rowOff>9525</xdr:rowOff>
        </xdr:to>
        <xdr:sp macro="" textlink="">
          <xdr:nvSpPr>
            <xdr:cNvPr id="142339" name="Check Box 3" hidden="1">
              <a:extLst>
                <a:ext uri="{63B3BB69-23CF-44E3-9099-C40C66FF867C}">
                  <a14:compatExt spid="_x0000_s1423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Hospital Quality adjusted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1038225</xdr:colOff>
          <xdr:row>28</xdr:row>
          <xdr:rowOff>38100</xdr:rowOff>
        </xdr:from>
        <xdr:to>
          <xdr:col>8</xdr:col>
          <xdr:colOff>771525</xdr:colOff>
          <xdr:row>29</xdr:row>
          <xdr:rowOff>66675</xdr:rowOff>
        </xdr:to>
        <xdr:sp macro="" textlink="">
          <xdr:nvSpPr>
            <xdr:cNvPr id="142340" name="Check Box 4" hidden="1">
              <a:extLst>
                <a:ext uri="{63B3BB69-23CF-44E3-9099-C40C66FF867C}">
                  <a14:compatExt spid="_x0000_s1423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Community care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1057275</xdr:colOff>
          <xdr:row>30</xdr:row>
          <xdr:rowOff>104775</xdr:rowOff>
        </xdr:from>
        <xdr:to>
          <xdr:col>8</xdr:col>
          <xdr:colOff>790575</xdr:colOff>
          <xdr:row>31</xdr:row>
          <xdr:rowOff>133350</xdr:rowOff>
        </xdr:to>
        <xdr:sp macro="" textlink="">
          <xdr:nvSpPr>
            <xdr:cNvPr id="142341" name="Check Box 5" hidden="1">
              <a:extLst>
                <a:ext uri="{63B3BB69-23CF-44E3-9099-C40C66FF867C}">
                  <a14:compatExt spid="_x0000_s1423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Primary Care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1038225</xdr:colOff>
          <xdr:row>29</xdr:row>
          <xdr:rowOff>66675</xdr:rowOff>
        </xdr:from>
        <xdr:to>
          <xdr:col>8</xdr:col>
          <xdr:colOff>771525</xdr:colOff>
          <xdr:row>30</xdr:row>
          <xdr:rowOff>95250</xdr:rowOff>
        </xdr:to>
        <xdr:sp macro="" textlink="">
          <xdr:nvSpPr>
            <xdr:cNvPr id="142342" name="Check Box 6" hidden="1">
              <a:extLst>
                <a:ext uri="{63B3BB69-23CF-44E3-9099-C40C66FF867C}">
                  <a14:compatExt spid="_x0000_s1423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Other NHS activity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1047750</xdr:colOff>
          <xdr:row>27</xdr:row>
          <xdr:rowOff>0</xdr:rowOff>
        </xdr:from>
        <xdr:to>
          <xdr:col>8</xdr:col>
          <xdr:colOff>781050</xdr:colOff>
          <xdr:row>28</xdr:row>
          <xdr:rowOff>28575</xdr:rowOff>
        </xdr:to>
        <xdr:sp macro="" textlink="">
          <xdr:nvSpPr>
            <xdr:cNvPr id="142343" name="Check Box 7" hidden="1">
              <a:extLst>
                <a:ext uri="{63B3BB69-23CF-44E3-9099-C40C66FF867C}">
                  <a14:compatExt spid="_x0000_s1423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Mental Health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1047750</xdr:colOff>
          <xdr:row>31</xdr:row>
          <xdr:rowOff>152400</xdr:rowOff>
        </xdr:from>
        <xdr:to>
          <xdr:col>8</xdr:col>
          <xdr:colOff>781050</xdr:colOff>
          <xdr:row>32</xdr:row>
          <xdr:rowOff>180975</xdr:rowOff>
        </xdr:to>
        <xdr:sp macro="" textlink="">
          <xdr:nvSpPr>
            <xdr:cNvPr id="142344" name="Check Box 8" hidden="1">
              <a:extLst>
                <a:ext uri="{63B3BB69-23CF-44E3-9099-C40C66FF867C}">
                  <a14:compatExt spid="_x0000_s1423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Prescribing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1047750</xdr:colOff>
          <xdr:row>33</xdr:row>
          <xdr:rowOff>0</xdr:rowOff>
        </xdr:from>
        <xdr:to>
          <xdr:col>8</xdr:col>
          <xdr:colOff>781050</xdr:colOff>
          <xdr:row>34</xdr:row>
          <xdr:rowOff>28575</xdr:rowOff>
        </xdr:to>
        <xdr:sp macro="" textlink="">
          <xdr:nvSpPr>
            <xdr:cNvPr id="142345" name="Check Box 9" hidden="1">
              <a:extLst>
                <a:ext uri="{63B3BB69-23CF-44E3-9099-C40C66FF867C}">
                  <a14:compatExt spid="_x0000_s1423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Total activity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1047750</xdr:colOff>
          <xdr:row>26</xdr:row>
          <xdr:rowOff>9525</xdr:rowOff>
        </xdr:from>
        <xdr:to>
          <xdr:col>8</xdr:col>
          <xdr:colOff>781050</xdr:colOff>
          <xdr:row>27</xdr:row>
          <xdr:rowOff>38100</xdr:rowOff>
        </xdr:to>
        <xdr:sp macro="" textlink="">
          <xdr:nvSpPr>
            <xdr:cNvPr id="142346" name="Check Box 10" hidden="1">
              <a:extLst>
                <a:ext uri="{63B3BB69-23CF-44E3-9099-C40C66FF867C}">
                  <a14:compatExt spid="_x0000_s1423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Outpatient</a:t>
              </a:r>
            </a:p>
          </xdr:txBody>
        </xdr:sp>
        <xdr:clientData/>
      </xdr:twoCellAnchor>
    </mc:Choice>
    <mc:Fallback/>
  </mc:AlternateContent>
  <xdr:oneCellAnchor>
    <xdr:from>
      <xdr:col>4</xdr:col>
      <xdr:colOff>0</xdr:colOff>
      <xdr:row>18</xdr:row>
      <xdr:rowOff>95250</xdr:rowOff>
    </xdr:from>
    <xdr:ext cx="184731" cy="264560"/>
    <xdr:sp macro="" textlink="">
      <xdr:nvSpPr>
        <xdr:cNvPr id="21" name="TextBox 20"/>
        <xdr:cNvSpPr txBox="1"/>
      </xdr:nvSpPr>
      <xdr:spPr>
        <a:xfrm>
          <a:off x="5248275"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twoCellAnchor>
    <xdr:from>
      <xdr:col>7</xdr:col>
      <xdr:colOff>114300</xdr:colOff>
      <xdr:row>13</xdr:row>
      <xdr:rowOff>161925</xdr:rowOff>
    </xdr:from>
    <xdr:to>
      <xdr:col>8</xdr:col>
      <xdr:colOff>371475</xdr:colOff>
      <xdr:row>14</xdr:row>
      <xdr:rowOff>247650</xdr:rowOff>
    </xdr:to>
    <xdr:sp macro="" textlink="">
      <xdr:nvSpPr>
        <xdr:cNvPr id="17" name="TextBox 16"/>
        <xdr:cNvSpPr txBox="1"/>
      </xdr:nvSpPr>
      <xdr:spPr>
        <a:xfrm>
          <a:off x="8505825" y="3686175"/>
          <a:ext cx="2305050" cy="5905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a:t>Mental health was not included in 2011/12 due to re-classification of activities. </a:t>
          </a:r>
        </a:p>
      </xdr:txBody>
    </xdr:sp>
    <xdr:clientData/>
  </xdr:twoCellAnchor>
  <xdr:twoCellAnchor editAs="oneCell">
    <xdr:from>
      <xdr:col>7</xdr:col>
      <xdr:colOff>0</xdr:colOff>
      <xdr:row>13</xdr:row>
      <xdr:rowOff>0</xdr:rowOff>
    </xdr:from>
    <xdr:to>
      <xdr:col>7</xdr:col>
      <xdr:colOff>281362</xdr:colOff>
      <xdr:row>13</xdr:row>
      <xdr:rowOff>295275</xdr:rowOff>
    </xdr:to>
    <xdr:pic>
      <xdr:nvPicPr>
        <xdr:cNvPr id="18" name="Picture 17" descr="C:\Users\kg716\AppData\Local\Microsoft\Windows\Temporary Internet Files\Content.IE5\6C1KRBEN\MC900293188[1].wmf"/>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391525" y="3524250"/>
          <a:ext cx="281362" cy="29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oneCellAnchor>
    <xdr:from>
      <xdr:col>5</xdr:col>
      <xdr:colOff>1158875</xdr:colOff>
      <xdr:row>3</xdr:row>
      <xdr:rowOff>95250</xdr:rowOff>
    </xdr:from>
    <xdr:ext cx="184731" cy="264560"/>
    <xdr:sp macro="" textlink="">
      <xdr:nvSpPr>
        <xdr:cNvPr id="2" name="TextBox 1"/>
        <xdr:cNvSpPr txBox="1"/>
      </xdr:nvSpPr>
      <xdr:spPr>
        <a:xfrm>
          <a:off x="1106487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oneCellAnchor>
    <xdr:from>
      <xdr:col>5</xdr:col>
      <xdr:colOff>0</xdr:colOff>
      <xdr:row>19</xdr:row>
      <xdr:rowOff>95250</xdr:rowOff>
    </xdr:from>
    <xdr:ext cx="184731" cy="264560"/>
    <xdr:sp macro="" textlink="">
      <xdr:nvSpPr>
        <xdr:cNvPr id="3" name="TextBox 2"/>
        <xdr:cNvSpPr txBox="1"/>
      </xdr:nvSpPr>
      <xdr:spPr>
        <a:xfrm>
          <a:off x="9906000" y="647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twoCellAnchor editAs="oneCell">
    <xdr:from>
      <xdr:col>7</xdr:col>
      <xdr:colOff>1409700</xdr:colOff>
      <xdr:row>2</xdr:row>
      <xdr:rowOff>123825</xdr:rowOff>
    </xdr:from>
    <xdr:to>
      <xdr:col>8</xdr:col>
      <xdr:colOff>1585747</xdr:colOff>
      <xdr:row>6</xdr:row>
      <xdr:rowOff>114300</xdr:rowOff>
    </xdr:to>
    <xdr:pic>
      <xdr:nvPicPr>
        <xdr:cNvPr id="4" name="Picture 3" descr="http://www.york.ac.uk/che/staff/staff.ltd/CHE%20Logo%20High%20Resolution.jpg"/>
        <xdr:cNvPicPr>
          <a:picLocks noChangeAspect="1" noChangeArrowheads="1"/>
        </xdr:cNvPicPr>
      </xdr:nvPicPr>
      <xdr:blipFill>
        <a:blip xmlns:r="http://schemas.openxmlformats.org/officeDocument/2006/relationships" r:embed="rId1" cstate="print"/>
        <a:srcRect/>
        <a:stretch>
          <a:fillRect/>
        </a:stretch>
      </xdr:blipFill>
      <xdr:spPr bwMode="auto">
        <a:xfrm>
          <a:off x="16078200" y="504825"/>
          <a:ext cx="2557297" cy="1066800"/>
        </a:xfrm>
        <a:prstGeom prst="rect">
          <a:avLst/>
        </a:prstGeom>
        <a:noFill/>
      </xdr:spPr>
    </xdr:pic>
    <xdr:clientData/>
  </xdr:twoCellAnchor>
  <xdr:oneCellAnchor>
    <xdr:from>
      <xdr:col>5</xdr:col>
      <xdr:colOff>0</xdr:colOff>
      <xdr:row>20</xdr:row>
      <xdr:rowOff>95250</xdr:rowOff>
    </xdr:from>
    <xdr:ext cx="184731" cy="264560"/>
    <xdr:sp macro="" textlink="">
      <xdr:nvSpPr>
        <xdr:cNvPr id="5" name="TextBox 4"/>
        <xdr:cNvSpPr txBox="1"/>
      </xdr:nvSpPr>
      <xdr:spPr>
        <a:xfrm>
          <a:off x="9906000" y="666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9</xdr:col>
      <xdr:colOff>1158875</xdr:colOff>
      <xdr:row>3</xdr:row>
      <xdr:rowOff>95250</xdr:rowOff>
    </xdr:from>
    <xdr:ext cx="184731" cy="264560"/>
    <xdr:sp macro="" textlink="">
      <xdr:nvSpPr>
        <xdr:cNvPr id="3" name="TextBox 2"/>
        <xdr:cNvSpPr txBox="1"/>
      </xdr:nvSpPr>
      <xdr:spPr>
        <a:xfrm>
          <a:off x="1209357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twoCellAnchor editAs="oneCell">
    <xdr:from>
      <xdr:col>8</xdr:col>
      <xdr:colOff>1714500</xdr:colOff>
      <xdr:row>1</xdr:row>
      <xdr:rowOff>180975</xdr:rowOff>
    </xdr:from>
    <xdr:to>
      <xdr:col>11</xdr:col>
      <xdr:colOff>391111</xdr:colOff>
      <xdr:row>3</xdr:row>
      <xdr:rowOff>628650</xdr:rowOff>
    </xdr:to>
    <xdr:pic>
      <xdr:nvPicPr>
        <xdr:cNvPr id="5" name="Picture 4" descr="http://www.york.ac.uk/che/staff/staff.ltd/CHE%20Logo%20High%20Resolution.jpg"/>
        <xdr:cNvPicPr>
          <a:picLocks noChangeAspect="1" noChangeArrowheads="1"/>
        </xdr:cNvPicPr>
      </xdr:nvPicPr>
      <xdr:blipFill>
        <a:blip xmlns:r="http://schemas.openxmlformats.org/officeDocument/2006/relationships" r:embed="rId1" cstate="print"/>
        <a:srcRect/>
        <a:stretch>
          <a:fillRect/>
        </a:stretch>
      </xdr:blipFill>
      <xdr:spPr bwMode="auto">
        <a:xfrm>
          <a:off x="9239250" y="342900"/>
          <a:ext cx="2543761" cy="1066800"/>
        </a:xfrm>
        <a:prstGeom prst="rect">
          <a:avLst/>
        </a:prstGeom>
        <a:noFill/>
      </xdr:spPr>
    </xdr:pic>
    <xdr:clientData/>
  </xdr:twoCellAnchor>
  <xdr:twoCellAnchor editAs="oneCell">
    <xdr:from>
      <xdr:col>6</xdr:col>
      <xdr:colOff>0</xdr:colOff>
      <xdr:row>21</xdr:row>
      <xdr:rowOff>0</xdr:rowOff>
    </xdr:from>
    <xdr:to>
      <xdr:col>7</xdr:col>
      <xdr:colOff>9525</xdr:colOff>
      <xdr:row>28</xdr:row>
      <xdr:rowOff>9525</xdr:rowOff>
    </xdr:to>
    <xdr:pic>
      <xdr:nvPicPr>
        <xdr:cNvPr id="7174" name="Picture 6"/>
        <xdr:cNvPicPr>
          <a:picLocks noChangeAspect="1" noChangeArrowheads="1"/>
        </xdr:cNvPicPr>
      </xdr:nvPicPr>
      <xdr:blipFill>
        <a:blip xmlns:r="http://schemas.openxmlformats.org/officeDocument/2006/relationships" r:embed="rId2" cstate="print"/>
        <a:srcRect/>
        <a:stretch>
          <a:fillRect/>
        </a:stretch>
      </xdr:blipFill>
      <xdr:spPr bwMode="auto">
        <a:xfrm>
          <a:off x="4962525" y="2085975"/>
          <a:ext cx="2057400" cy="2209800"/>
        </a:xfrm>
        <a:prstGeom prst="rect">
          <a:avLst/>
        </a:prstGeom>
        <a:noFill/>
        <a:ln w="1">
          <a:noFill/>
          <a:miter lim="800000"/>
          <a:headEnd/>
          <a:tailEnd type="none" w="med" len="med"/>
        </a:ln>
        <a:effectLst/>
      </xdr:spPr>
    </xdr:pic>
    <xdr:clientData/>
  </xdr:twoCellAnchor>
  <xdr:twoCellAnchor editAs="oneCell">
    <xdr:from>
      <xdr:col>14</xdr:col>
      <xdr:colOff>0</xdr:colOff>
      <xdr:row>20</xdr:row>
      <xdr:rowOff>0</xdr:rowOff>
    </xdr:from>
    <xdr:to>
      <xdr:col>15</xdr:col>
      <xdr:colOff>9525</xdr:colOff>
      <xdr:row>29</xdr:row>
      <xdr:rowOff>9525</xdr:rowOff>
    </xdr:to>
    <xdr:pic>
      <xdr:nvPicPr>
        <xdr:cNvPr id="7175" name="Picture 7"/>
        <xdr:cNvPicPr>
          <a:picLocks noChangeAspect="1" noChangeArrowheads="1"/>
        </xdr:cNvPicPr>
      </xdr:nvPicPr>
      <xdr:blipFill>
        <a:blip xmlns:r="http://schemas.openxmlformats.org/officeDocument/2006/relationships" r:embed="rId3" cstate="print"/>
        <a:srcRect/>
        <a:stretch>
          <a:fillRect/>
        </a:stretch>
      </xdr:blipFill>
      <xdr:spPr bwMode="auto">
        <a:xfrm>
          <a:off x="13535025" y="3343275"/>
          <a:ext cx="2057400" cy="2838450"/>
        </a:xfrm>
        <a:prstGeom prst="rect">
          <a:avLst/>
        </a:prstGeom>
        <a:noFill/>
        <a:ln w="1">
          <a:noFill/>
          <a:miter lim="800000"/>
          <a:headEnd/>
          <a:tailEnd type="none" w="med" len="med"/>
        </a:ln>
        <a:effectLst/>
      </xdr:spPr>
    </xdr:pic>
    <xdr:clientData/>
  </xdr:twoCellAnchor>
  <mc:AlternateContent xmlns:mc="http://schemas.openxmlformats.org/markup-compatibility/2006">
    <mc:Choice xmlns:a14="http://schemas.microsoft.com/office/drawing/2010/main" Requires="a14">
      <xdr:twoCellAnchor editAs="oneCell">
        <xdr:from>
          <xdr:col>1</xdr:col>
          <xdr:colOff>9525</xdr:colOff>
          <xdr:row>30</xdr:row>
          <xdr:rowOff>9525</xdr:rowOff>
        </xdr:from>
        <xdr:to>
          <xdr:col>1</xdr:col>
          <xdr:colOff>1162050</xdr:colOff>
          <xdr:row>30</xdr:row>
          <xdr:rowOff>276225</xdr:rowOff>
        </xdr:to>
        <xdr:sp macro="" textlink="">
          <xdr:nvSpPr>
            <xdr:cNvPr id="7170" name="Check Box 2" hidden="1">
              <a:extLst>
                <a:ext uri="{63B3BB69-23CF-44E3-9099-C40C66FF867C}">
                  <a14:compatExt spid="_x0000_s71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ea typeface="Segoe UI"/>
                  <a:cs typeface="Segoe UI"/>
                </a:rPr>
                <a:t>Show more data</a:t>
              </a:r>
            </a:p>
          </xdr:txBody>
        </xdr:sp>
        <xdr:clientData/>
      </xdr:twoCellAnchor>
    </mc:Choice>
    <mc:Fallback/>
  </mc:AlternateContent>
</xdr:wsDr>
</file>

<file path=xl/drawings/drawing24.xml><?xml version="1.0" encoding="utf-8"?>
<xdr:wsDr xmlns:xdr="http://schemas.openxmlformats.org/drawingml/2006/spreadsheetDrawing" xmlns:a="http://schemas.openxmlformats.org/drawingml/2006/main">
  <xdr:oneCellAnchor>
    <xdr:from>
      <xdr:col>4</xdr:col>
      <xdr:colOff>1158875</xdr:colOff>
      <xdr:row>3</xdr:row>
      <xdr:rowOff>95250</xdr:rowOff>
    </xdr:from>
    <xdr:ext cx="184731" cy="264560"/>
    <xdr:sp macro="" textlink="">
      <xdr:nvSpPr>
        <xdr:cNvPr id="3" name="TextBox 2"/>
        <xdr:cNvSpPr txBox="1"/>
      </xdr:nvSpPr>
      <xdr:spPr>
        <a:xfrm>
          <a:off x="6750050"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twoCellAnchor editAs="oneCell">
    <xdr:from>
      <xdr:col>11</xdr:col>
      <xdr:colOff>85725</xdr:colOff>
      <xdr:row>1</xdr:row>
      <xdr:rowOff>113878</xdr:rowOff>
    </xdr:from>
    <xdr:to>
      <xdr:col>12</xdr:col>
      <xdr:colOff>504825</xdr:colOff>
      <xdr:row>5</xdr:row>
      <xdr:rowOff>133349</xdr:rowOff>
    </xdr:to>
    <xdr:pic>
      <xdr:nvPicPr>
        <xdr:cNvPr id="6" name="Picture 5" descr="http://www.york.ac.uk/che/staff/staff.ltd/CHE%20Logo%20High%20Resolution.jpg"/>
        <xdr:cNvPicPr>
          <a:picLocks noChangeAspect="1" noChangeArrowheads="1"/>
        </xdr:cNvPicPr>
      </xdr:nvPicPr>
      <xdr:blipFill>
        <a:blip xmlns:r="http://schemas.openxmlformats.org/officeDocument/2006/relationships" r:embed="rId1" cstate="print"/>
        <a:srcRect/>
        <a:stretch>
          <a:fillRect/>
        </a:stretch>
      </xdr:blipFill>
      <xdr:spPr bwMode="auto">
        <a:xfrm>
          <a:off x="9972675" y="304378"/>
          <a:ext cx="2466975" cy="1029121"/>
        </a:xfrm>
        <a:prstGeom prst="rect">
          <a:avLst/>
        </a:prstGeom>
        <a:noFill/>
      </xdr:spPr>
    </xdr:pic>
    <xdr:clientData/>
  </xdr:twoCellAnchor>
  <xdr:twoCellAnchor>
    <xdr:from>
      <xdr:col>8</xdr:col>
      <xdr:colOff>635540</xdr:colOff>
      <xdr:row>18</xdr:row>
      <xdr:rowOff>11905</xdr:rowOff>
    </xdr:from>
    <xdr:to>
      <xdr:col>11</xdr:col>
      <xdr:colOff>258764</xdr:colOff>
      <xdr:row>23</xdr:row>
      <xdr:rowOff>219075</xdr:rowOff>
    </xdr:to>
    <xdr:sp macro="" textlink="">
      <xdr:nvSpPr>
        <xdr:cNvPr id="9" name="TextBox 8"/>
        <xdr:cNvSpPr txBox="1"/>
      </xdr:nvSpPr>
      <xdr:spPr>
        <a:xfrm>
          <a:off x="7445915" y="4783930"/>
          <a:ext cx="2699799" cy="148352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wrap="square" rtlCol="0" anchor="t"/>
        <a:lstStyle/>
        <a:p>
          <a:pPr algn="l"/>
          <a:r>
            <a:rPr lang="en-GB" sz="900" b="0">
              <a:latin typeface="+mn-lt"/>
            </a:rPr>
            <a:t>Series from 1998/99 - 2002/03 is not completely comparable to the series from 2003/04 onwards, as different data sources were used. In particular, PCT financial returns were not available up unto and including 2002/03.</a:t>
          </a:r>
        </a:p>
        <a:p>
          <a:pPr algn="l"/>
          <a:endParaRPr lang="en-GB" sz="900" b="0" baseline="0">
            <a:latin typeface="+mn-lt"/>
          </a:endParaRPr>
        </a:p>
        <a:p>
          <a:pPr algn="l"/>
          <a:r>
            <a:rPr lang="en-GB" sz="900" b="0" baseline="0">
              <a:latin typeface="+mn-lt"/>
            </a:rPr>
            <a:t>Values  for SHA presented in the sparklines are very small comapred to Trusts and PCTs and therefore appear as zeroes. </a:t>
          </a:r>
        </a:p>
      </xdr:txBody>
    </xdr:sp>
    <xdr:clientData/>
  </xdr:twoCellAnchor>
  <xdr:twoCellAnchor editAs="oneCell">
    <xdr:from>
      <xdr:col>8</xdr:col>
      <xdr:colOff>485775</xdr:colOff>
      <xdr:row>17</xdr:row>
      <xdr:rowOff>114300</xdr:rowOff>
    </xdr:from>
    <xdr:to>
      <xdr:col>8</xdr:col>
      <xdr:colOff>758568</xdr:colOff>
      <xdr:row>18</xdr:row>
      <xdr:rowOff>156650</xdr:rowOff>
    </xdr:to>
    <xdr:pic>
      <xdr:nvPicPr>
        <xdr:cNvPr id="10" name="Picture 9"/>
        <xdr:cNvPicPr>
          <a:picLocks noChangeAspect="1" noChangeArrowheads="1"/>
        </xdr:cNvPicPr>
      </xdr:nvPicPr>
      <xdr:blipFill>
        <a:blip xmlns:r="http://schemas.openxmlformats.org/officeDocument/2006/relationships" r:embed="rId2" cstate="print">
          <a:duotone>
            <a:schemeClr val="accent5">
              <a:shade val="45000"/>
              <a:satMod val="135000"/>
            </a:schemeClr>
            <a:prstClr val="white"/>
          </a:duotone>
        </a:blip>
        <a:srcRect/>
        <a:stretch>
          <a:fillRect/>
        </a:stretch>
      </xdr:blipFill>
      <xdr:spPr bwMode="auto">
        <a:xfrm flipH="1">
          <a:off x="7162800" y="4667250"/>
          <a:ext cx="272793" cy="270950"/>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0</xdr:col>
          <xdr:colOff>600075</xdr:colOff>
          <xdr:row>17</xdr:row>
          <xdr:rowOff>219075</xdr:rowOff>
        </xdr:from>
        <xdr:to>
          <xdr:col>1</xdr:col>
          <xdr:colOff>1123950</xdr:colOff>
          <xdr:row>18</xdr:row>
          <xdr:rowOff>209550</xdr:rowOff>
        </xdr:to>
        <xdr:sp macro="" textlink="">
          <xdr:nvSpPr>
            <xdr:cNvPr id="12289" name="Check Box 1" hidden="1">
              <a:extLst>
                <a:ext uri="{63B3BB69-23CF-44E3-9099-C40C66FF867C}">
                  <a14:compatExt spid="_x0000_s122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ea typeface="Segoe UI"/>
                  <a:cs typeface="Segoe UI"/>
                </a:rPr>
                <a:t>Show more data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10</xdr:row>
          <xdr:rowOff>466724</xdr:rowOff>
        </xdr:from>
        <xdr:to>
          <xdr:col>8</xdr:col>
          <xdr:colOff>1990724</xdr:colOff>
          <xdr:row>15</xdr:row>
          <xdr:rowOff>266700</xdr:rowOff>
        </xdr:to>
        <xdr:pic>
          <xdr:nvPicPr>
            <xdr:cNvPr id="12324" name="Picture 6"/>
            <xdr:cNvPicPr>
              <a:picLocks noChangeAspect="1" noChangeArrowheads="1"/>
              <a:extLst>
                <a:ext uri="{84589F7E-364E-4C9E-8A38-B11213B215E9}">
                  <a14:cameraTool cellRange="current_labour" spid="_x0000_s12734"/>
                </a:ext>
              </a:extLst>
            </xdr:cNvPicPr>
          </xdr:nvPicPr>
          <xdr:blipFill>
            <a:blip xmlns:r="http://schemas.openxmlformats.org/officeDocument/2006/relationships" r:embed="rId3"/>
            <a:srcRect l="1718" t="2277" r="1718" b="2277"/>
            <a:stretch>
              <a:fillRect/>
            </a:stretch>
          </xdr:blipFill>
          <xdr:spPr bwMode="auto">
            <a:xfrm>
              <a:off x="6829425" y="2809874"/>
              <a:ext cx="1971674" cy="14287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483597</xdr:colOff>
          <xdr:row>11</xdr:row>
          <xdr:rowOff>9525</xdr:rowOff>
        </xdr:from>
        <xdr:to>
          <xdr:col>12</xdr:col>
          <xdr:colOff>114300</xdr:colOff>
          <xdr:row>16</xdr:row>
          <xdr:rowOff>85725</xdr:rowOff>
        </xdr:to>
        <xdr:pic>
          <xdr:nvPicPr>
            <xdr:cNvPr id="12325" name="Picture 7"/>
            <xdr:cNvPicPr>
              <a:picLocks noChangeAspect="1" noChangeArrowheads="1"/>
              <a:extLst>
                <a:ext uri="{84589F7E-364E-4C9E-8A38-B11213B215E9}">
                  <a14:cameraTool cellRange="constant_labour" spid="_x0000_s12735"/>
                </a:ext>
              </a:extLst>
            </xdr:cNvPicPr>
          </xdr:nvPicPr>
          <xdr:blipFill>
            <a:blip xmlns:r="http://schemas.openxmlformats.org/officeDocument/2006/relationships" r:embed="rId4"/>
            <a:srcRect l="1643" t="2277" r="1643" b="2277"/>
            <a:stretch>
              <a:fillRect/>
            </a:stretch>
          </xdr:blipFill>
          <xdr:spPr bwMode="auto">
            <a:xfrm>
              <a:off x="9856197" y="2838450"/>
              <a:ext cx="2192928" cy="15049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editAs="oneCell">
    <xdr:from>
      <xdr:col>9</xdr:col>
      <xdr:colOff>1909185</xdr:colOff>
      <xdr:row>2</xdr:row>
      <xdr:rowOff>1</xdr:rowOff>
    </xdr:from>
    <xdr:to>
      <xdr:col>14</xdr:col>
      <xdr:colOff>866775</xdr:colOff>
      <xdr:row>8</xdr:row>
      <xdr:rowOff>142875</xdr:rowOff>
    </xdr:to>
    <xdr:pic>
      <xdr:nvPicPr>
        <xdr:cNvPr id="2" name="Picture 1" descr="http://www.york.ac.uk/che/staff/staff.ltd/CHE%20Logo%20High%20Resolution.jpg"/>
        <xdr:cNvPicPr>
          <a:picLocks noChangeAspect="1" noChangeArrowheads="1"/>
        </xdr:cNvPicPr>
      </xdr:nvPicPr>
      <xdr:blipFill>
        <a:blip xmlns:r="http://schemas.openxmlformats.org/officeDocument/2006/relationships" r:embed="rId1" cstate="print"/>
        <a:srcRect/>
        <a:stretch>
          <a:fillRect/>
        </a:stretch>
      </xdr:blipFill>
      <xdr:spPr bwMode="auto">
        <a:xfrm>
          <a:off x="13767810" y="381001"/>
          <a:ext cx="5853690" cy="2428874"/>
        </a:xfrm>
        <a:prstGeom prst="rect">
          <a:avLst/>
        </a:prstGeom>
        <a:noFill/>
      </xdr:spPr>
    </xdr:pic>
    <xdr:clientData/>
  </xdr:twoCellAnchor>
  <xdr:oneCellAnchor>
    <xdr:from>
      <xdr:col>6</xdr:col>
      <xdr:colOff>1158875</xdr:colOff>
      <xdr:row>3</xdr:row>
      <xdr:rowOff>95250</xdr:rowOff>
    </xdr:from>
    <xdr:ext cx="184731" cy="264560"/>
    <xdr:sp macro="" textlink="">
      <xdr:nvSpPr>
        <xdr:cNvPr id="3" name="TextBox 2"/>
        <xdr:cNvSpPr txBox="1"/>
      </xdr:nvSpPr>
      <xdr:spPr>
        <a:xfrm>
          <a:off x="9474200"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4</xdr:col>
      <xdr:colOff>1158875</xdr:colOff>
      <xdr:row>3</xdr:row>
      <xdr:rowOff>95250</xdr:rowOff>
    </xdr:from>
    <xdr:ext cx="184731" cy="264560"/>
    <xdr:sp macro="" textlink="">
      <xdr:nvSpPr>
        <xdr:cNvPr id="2" name="TextBox 1"/>
        <xdr:cNvSpPr txBox="1"/>
      </xdr:nvSpPr>
      <xdr:spPr>
        <a:xfrm>
          <a:off x="3940175" y="58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twoCellAnchor editAs="oneCell">
    <xdr:from>
      <xdr:col>11</xdr:col>
      <xdr:colOff>57280</xdr:colOff>
      <xdr:row>1</xdr:row>
      <xdr:rowOff>102571</xdr:rowOff>
    </xdr:from>
    <xdr:to>
      <xdr:col>14</xdr:col>
      <xdr:colOff>450891</xdr:colOff>
      <xdr:row>6</xdr:row>
      <xdr:rowOff>1663</xdr:rowOff>
    </xdr:to>
    <xdr:pic>
      <xdr:nvPicPr>
        <xdr:cNvPr id="3" name="Picture 2" descr="http://www.york.ac.uk/che/staff/staff.ltd/CHE%20Logo%20High%20Resolution.jpg"/>
        <xdr:cNvPicPr>
          <a:picLocks noChangeAspect="1" noChangeArrowheads="1"/>
        </xdr:cNvPicPr>
      </xdr:nvPicPr>
      <xdr:blipFill>
        <a:blip xmlns:r="http://schemas.openxmlformats.org/officeDocument/2006/relationships" r:embed="rId1" cstate="print"/>
        <a:srcRect/>
        <a:stretch>
          <a:fillRect/>
        </a:stretch>
      </xdr:blipFill>
      <xdr:spPr bwMode="auto">
        <a:xfrm>
          <a:off x="8258305" y="264496"/>
          <a:ext cx="2574836" cy="1080192"/>
        </a:xfrm>
        <a:prstGeom prst="rect">
          <a:avLst/>
        </a:prstGeom>
        <a:noFill/>
      </xdr:spPr>
    </xdr:pic>
    <xdr:clientData/>
  </xdr:twoCellAnchor>
  <xdr:twoCellAnchor>
    <xdr:from>
      <xdr:col>8</xdr:col>
      <xdr:colOff>190647</xdr:colOff>
      <xdr:row>8</xdr:row>
      <xdr:rowOff>48745</xdr:rowOff>
    </xdr:from>
    <xdr:to>
      <xdr:col>12</xdr:col>
      <xdr:colOff>223546</xdr:colOff>
      <xdr:row>11</xdr:row>
      <xdr:rowOff>38878</xdr:rowOff>
    </xdr:to>
    <xdr:sp macro="" textlink="">
      <xdr:nvSpPr>
        <xdr:cNvPr id="4" name="TextBox 3"/>
        <xdr:cNvSpPr txBox="1"/>
      </xdr:nvSpPr>
      <xdr:spPr>
        <a:xfrm>
          <a:off x="6143772" y="1848970"/>
          <a:ext cx="3099949" cy="714033"/>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wrap="square" rtlCol="0" anchor="t"/>
        <a:lstStyle/>
        <a:p>
          <a:pPr algn="l"/>
          <a:r>
            <a:rPr lang="en-GB" sz="900" b="0">
              <a:latin typeface="+mn-lt"/>
            </a:rPr>
            <a:t>Series</a:t>
          </a:r>
          <a:r>
            <a:rPr lang="en-GB" sz="900" b="0" baseline="0">
              <a:latin typeface="+mn-lt"/>
            </a:rPr>
            <a:t>  from 1998/99 - 2003/04 is not completely comparable to series  2011/12, since different data sources were used in the past, due to inavailability of PCT financial returns. </a:t>
          </a:r>
          <a:endParaRPr lang="en-GB" sz="900" b="0">
            <a:latin typeface="+mn-lt"/>
          </a:endParaRPr>
        </a:p>
      </xdr:txBody>
    </xdr:sp>
    <xdr:clientData/>
  </xdr:twoCellAnchor>
  <xdr:twoCellAnchor editAs="oneCell">
    <xdr:from>
      <xdr:col>8</xdr:col>
      <xdr:colOff>48597</xdr:colOff>
      <xdr:row>7</xdr:row>
      <xdr:rowOff>136070</xdr:rowOff>
    </xdr:from>
    <xdr:to>
      <xdr:col>8</xdr:col>
      <xdr:colOff>324112</xdr:colOff>
      <xdr:row>8</xdr:row>
      <xdr:rowOff>174436</xdr:rowOff>
    </xdr:to>
    <xdr:pic>
      <xdr:nvPicPr>
        <xdr:cNvPr id="5" name="Picture 4"/>
        <xdr:cNvPicPr>
          <a:picLocks noChangeAspect="1" noChangeArrowheads="1"/>
        </xdr:cNvPicPr>
      </xdr:nvPicPr>
      <xdr:blipFill>
        <a:blip xmlns:r="http://schemas.openxmlformats.org/officeDocument/2006/relationships" r:embed="rId2" cstate="print">
          <a:duotone>
            <a:schemeClr val="accent5">
              <a:shade val="45000"/>
              <a:satMod val="135000"/>
            </a:schemeClr>
            <a:prstClr val="white"/>
          </a:duotone>
        </a:blip>
        <a:srcRect/>
        <a:stretch>
          <a:fillRect/>
        </a:stretch>
      </xdr:blipFill>
      <xdr:spPr bwMode="auto">
        <a:xfrm flipH="1">
          <a:off x="6001722" y="1707695"/>
          <a:ext cx="275515" cy="266966"/>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0</xdr:col>
          <xdr:colOff>600075</xdr:colOff>
          <xdr:row>28</xdr:row>
          <xdr:rowOff>28575</xdr:rowOff>
        </xdr:from>
        <xdr:to>
          <xdr:col>2</xdr:col>
          <xdr:colOff>219075</xdr:colOff>
          <xdr:row>29</xdr:row>
          <xdr:rowOff>66675</xdr:rowOff>
        </xdr:to>
        <xdr:sp macro="" textlink="">
          <xdr:nvSpPr>
            <xdr:cNvPr id="231425" name="Check Box 1" hidden="1">
              <a:extLst>
                <a:ext uri="{63B3BB69-23CF-44E3-9099-C40C66FF867C}">
                  <a14:compatExt spid="_x0000_s2314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Show more data</a:t>
              </a:r>
            </a:p>
          </xdr:txBody>
        </xdr:sp>
        <xdr:clientData/>
      </xdr:twoCellAnchor>
    </mc:Choice>
    <mc:Fallback/>
  </mc:AlternateContent>
</xdr:wsDr>
</file>

<file path=xl/drawings/drawing27.xml><?xml version="1.0" encoding="utf-8"?>
<xdr:wsDr xmlns:xdr="http://schemas.openxmlformats.org/drawingml/2006/spreadsheetDrawing" xmlns:a="http://schemas.openxmlformats.org/drawingml/2006/main">
  <xdr:oneCellAnchor>
    <xdr:from>
      <xdr:col>4</xdr:col>
      <xdr:colOff>1158875</xdr:colOff>
      <xdr:row>3</xdr:row>
      <xdr:rowOff>95250</xdr:rowOff>
    </xdr:from>
    <xdr:ext cx="184731" cy="264560"/>
    <xdr:sp macro="" textlink="">
      <xdr:nvSpPr>
        <xdr:cNvPr id="3" name="TextBox 2"/>
        <xdr:cNvSpPr txBox="1"/>
      </xdr:nvSpPr>
      <xdr:spPr>
        <a:xfrm>
          <a:off x="12426950"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twoCellAnchor editAs="oneCell">
    <xdr:from>
      <xdr:col>9</xdr:col>
      <xdr:colOff>504372</xdr:colOff>
      <xdr:row>2</xdr:row>
      <xdr:rowOff>5380</xdr:rowOff>
    </xdr:from>
    <xdr:to>
      <xdr:col>13</xdr:col>
      <xdr:colOff>489768</xdr:colOff>
      <xdr:row>6</xdr:row>
      <xdr:rowOff>65036</xdr:rowOff>
    </xdr:to>
    <xdr:pic>
      <xdr:nvPicPr>
        <xdr:cNvPr id="5" name="Picture 4" descr="http://www.york.ac.uk/che/staff/staff.ltd/CHE%20Logo%20High%20Resolution.jpg"/>
        <xdr:cNvPicPr>
          <a:picLocks noChangeAspect="1" noChangeArrowheads="1"/>
        </xdr:cNvPicPr>
      </xdr:nvPicPr>
      <xdr:blipFill>
        <a:blip xmlns:r="http://schemas.openxmlformats.org/officeDocument/2006/relationships" r:embed="rId1" cstate="print"/>
        <a:srcRect/>
        <a:stretch>
          <a:fillRect/>
        </a:stretch>
      </xdr:blipFill>
      <xdr:spPr bwMode="auto">
        <a:xfrm>
          <a:off x="8999117" y="335839"/>
          <a:ext cx="2570754" cy="1089911"/>
        </a:xfrm>
        <a:prstGeom prst="rect">
          <a:avLst/>
        </a:prstGeom>
        <a:noFill/>
      </xdr:spPr>
    </xdr:pic>
    <xdr:clientData/>
  </xdr:twoCellAnchor>
  <xdr:twoCellAnchor editAs="oneCell">
    <xdr:from>
      <xdr:col>8</xdr:col>
      <xdr:colOff>0</xdr:colOff>
      <xdr:row>11</xdr:row>
      <xdr:rowOff>0</xdr:rowOff>
    </xdr:from>
    <xdr:to>
      <xdr:col>9</xdr:col>
      <xdr:colOff>9526</xdr:colOff>
      <xdr:row>15</xdr:row>
      <xdr:rowOff>9525</xdr:rowOff>
    </xdr:to>
    <xdr:pic>
      <xdr:nvPicPr>
        <xdr:cNvPr id="102404" name="Picture 4"/>
        <xdr:cNvPicPr>
          <a:picLocks noChangeAspect="1" noChangeArrowheads="1"/>
        </xdr:cNvPicPr>
      </xdr:nvPicPr>
      <xdr:blipFill>
        <a:blip xmlns:r="http://schemas.openxmlformats.org/officeDocument/2006/relationships" r:embed="rId2" cstate="print"/>
        <a:srcRect/>
        <a:stretch>
          <a:fillRect/>
        </a:stretch>
      </xdr:blipFill>
      <xdr:spPr bwMode="auto">
        <a:xfrm>
          <a:off x="6429375" y="2905125"/>
          <a:ext cx="2057400" cy="1266825"/>
        </a:xfrm>
        <a:prstGeom prst="rect">
          <a:avLst/>
        </a:prstGeom>
        <a:noFill/>
        <a:ln w="1">
          <a:noFill/>
          <a:miter lim="800000"/>
          <a:headEnd/>
          <a:tailEnd type="none" w="med" len="med"/>
        </a:ln>
        <a:effectLst/>
      </xdr:spPr>
    </xdr:pic>
    <xdr:clientData/>
  </xdr:twoCellAnchor>
  <xdr:twoCellAnchor>
    <xdr:from>
      <xdr:col>10</xdr:col>
      <xdr:colOff>423912</xdr:colOff>
      <xdr:row>10</xdr:row>
      <xdr:rowOff>165379</xdr:rowOff>
    </xdr:from>
    <xdr:to>
      <xdr:col>14</xdr:col>
      <xdr:colOff>369337</xdr:colOff>
      <xdr:row>12</xdr:row>
      <xdr:rowOff>38877</xdr:rowOff>
    </xdr:to>
    <xdr:sp macro="" textlink="">
      <xdr:nvSpPr>
        <xdr:cNvPr id="6" name="TextBox 5"/>
        <xdr:cNvSpPr txBox="1"/>
      </xdr:nvSpPr>
      <xdr:spPr>
        <a:xfrm>
          <a:off x="9530978" y="2459155"/>
          <a:ext cx="2453027" cy="835717"/>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wrap="square" rtlCol="0" anchor="t"/>
        <a:lstStyle/>
        <a:p>
          <a:pPr algn="l"/>
          <a:r>
            <a:rPr lang="en-GB" sz="900" b="0">
              <a:latin typeface="+mn-lt"/>
            </a:rPr>
            <a:t>Series</a:t>
          </a:r>
          <a:r>
            <a:rPr lang="en-GB" sz="900" b="0" baseline="0">
              <a:latin typeface="+mn-lt"/>
            </a:rPr>
            <a:t>  from 1998/99 - 2003/04 is not completely comparable to the series  2003/04 - 2011/12, since different data sources were used in early years, due to inavailability of PCT financial returns. </a:t>
          </a:r>
          <a:endParaRPr lang="en-GB" sz="900" b="0">
            <a:latin typeface="+mn-lt"/>
          </a:endParaRPr>
        </a:p>
      </xdr:txBody>
    </xdr:sp>
    <xdr:clientData/>
  </xdr:twoCellAnchor>
  <xdr:twoCellAnchor editAs="oneCell">
    <xdr:from>
      <xdr:col>10</xdr:col>
      <xdr:colOff>281862</xdr:colOff>
      <xdr:row>10</xdr:row>
      <xdr:rowOff>19439</xdr:rowOff>
    </xdr:from>
    <xdr:to>
      <xdr:col>10</xdr:col>
      <xdr:colOff>557377</xdr:colOff>
      <xdr:row>10</xdr:row>
      <xdr:rowOff>291070</xdr:rowOff>
    </xdr:to>
    <xdr:pic>
      <xdr:nvPicPr>
        <xdr:cNvPr id="7" name="Picture 6"/>
        <xdr:cNvPicPr>
          <a:picLocks noChangeAspect="1" noChangeArrowheads="1"/>
        </xdr:cNvPicPr>
      </xdr:nvPicPr>
      <xdr:blipFill>
        <a:blip xmlns:r="http://schemas.openxmlformats.org/officeDocument/2006/relationships" r:embed="rId3" cstate="print">
          <a:duotone>
            <a:schemeClr val="accent5">
              <a:shade val="45000"/>
              <a:satMod val="135000"/>
            </a:schemeClr>
            <a:prstClr val="white"/>
          </a:duotone>
        </a:blip>
        <a:srcRect/>
        <a:stretch>
          <a:fillRect/>
        </a:stretch>
      </xdr:blipFill>
      <xdr:spPr bwMode="auto">
        <a:xfrm flipH="1">
          <a:off x="9359770" y="2313215"/>
          <a:ext cx="275515" cy="271631"/>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0</xdr:col>
          <xdr:colOff>504825</xdr:colOff>
          <xdr:row>33</xdr:row>
          <xdr:rowOff>47625</xdr:rowOff>
        </xdr:from>
        <xdr:to>
          <xdr:col>2</xdr:col>
          <xdr:colOff>133350</xdr:colOff>
          <xdr:row>34</xdr:row>
          <xdr:rowOff>104775</xdr:rowOff>
        </xdr:to>
        <xdr:sp macro="" textlink="">
          <xdr:nvSpPr>
            <xdr:cNvPr id="102417" name="Check Box 17" hidden="1">
              <a:extLst>
                <a:ext uri="{63B3BB69-23CF-44E3-9099-C40C66FF867C}">
                  <a14:compatExt spid="_x0000_s1024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Show more data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23</xdr:row>
          <xdr:rowOff>9525</xdr:rowOff>
        </xdr:from>
        <xdr:to>
          <xdr:col>9</xdr:col>
          <xdr:colOff>38100</xdr:colOff>
          <xdr:row>32</xdr:row>
          <xdr:rowOff>9525</xdr:rowOff>
        </xdr:to>
        <xdr:pic>
          <xdr:nvPicPr>
            <xdr:cNvPr id="102433" name="Picture 10"/>
            <xdr:cNvPicPr>
              <a:picLocks noChangeAspect="1" noChangeArrowheads="1"/>
              <a:extLst>
                <a:ext uri="{84589F7E-364E-4C9E-8A38-B11213B215E9}">
                  <a14:cameraTool cellRange="capital" spid="_x0000_s102646"/>
                </a:ext>
              </a:extLst>
            </xdr:cNvPicPr>
          </xdr:nvPicPr>
          <xdr:blipFill>
            <a:blip xmlns:r="http://schemas.openxmlformats.org/officeDocument/2006/relationships" r:embed="rId4"/>
            <a:srcRect l="1741" t="911" r="1741" b="911"/>
            <a:stretch>
              <a:fillRect/>
            </a:stretch>
          </xdr:blipFill>
          <xdr:spPr bwMode="auto">
            <a:xfrm>
              <a:off x="6543675" y="6419850"/>
              <a:ext cx="2057400" cy="394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xdr:wsDr>
</file>

<file path=xl/drawings/drawing28.xml><?xml version="1.0" encoding="utf-8"?>
<xdr:wsDr xmlns:xdr="http://schemas.openxmlformats.org/drawingml/2006/spreadsheetDrawing" xmlns:a="http://schemas.openxmlformats.org/drawingml/2006/main">
  <xdr:oneCellAnchor>
    <xdr:from>
      <xdr:col>4</xdr:col>
      <xdr:colOff>1158875</xdr:colOff>
      <xdr:row>3</xdr:row>
      <xdr:rowOff>95250</xdr:rowOff>
    </xdr:from>
    <xdr:ext cx="184731" cy="264560"/>
    <xdr:sp macro="" textlink="">
      <xdr:nvSpPr>
        <xdr:cNvPr id="2" name="TextBox 1"/>
        <xdr:cNvSpPr txBox="1"/>
      </xdr:nvSpPr>
      <xdr:spPr>
        <a:xfrm>
          <a:off x="5816600" y="43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twoCellAnchor editAs="oneCell">
    <xdr:from>
      <xdr:col>11</xdr:col>
      <xdr:colOff>57280</xdr:colOff>
      <xdr:row>1</xdr:row>
      <xdr:rowOff>102571</xdr:rowOff>
    </xdr:from>
    <xdr:to>
      <xdr:col>14</xdr:col>
      <xdr:colOff>450891</xdr:colOff>
      <xdr:row>5</xdr:row>
      <xdr:rowOff>230263</xdr:rowOff>
    </xdr:to>
    <xdr:pic>
      <xdr:nvPicPr>
        <xdr:cNvPr id="3" name="Picture 2" descr="http://www.york.ac.uk/che/staff/staff.ltd/CHE%20Logo%20High%20Resolution.jpg"/>
        <xdr:cNvPicPr>
          <a:picLocks noChangeAspect="1" noChangeArrowheads="1"/>
        </xdr:cNvPicPr>
      </xdr:nvPicPr>
      <xdr:blipFill>
        <a:blip xmlns:r="http://schemas.openxmlformats.org/officeDocument/2006/relationships" r:embed="rId1" cstate="print"/>
        <a:srcRect/>
        <a:stretch>
          <a:fillRect/>
        </a:stretch>
      </xdr:blipFill>
      <xdr:spPr bwMode="auto">
        <a:xfrm>
          <a:off x="8600622" y="267801"/>
          <a:ext cx="2570754" cy="1089911"/>
        </a:xfrm>
        <a:prstGeom prst="rect">
          <a:avLst/>
        </a:prstGeom>
        <a:noFill/>
      </xdr:spPr>
    </xdr:pic>
    <xdr:clientData/>
  </xdr:twoCellAnchor>
  <xdr:twoCellAnchor>
    <xdr:from>
      <xdr:col>8</xdr:col>
      <xdr:colOff>190647</xdr:colOff>
      <xdr:row>8</xdr:row>
      <xdr:rowOff>48745</xdr:rowOff>
    </xdr:from>
    <xdr:to>
      <xdr:col>12</xdr:col>
      <xdr:colOff>223546</xdr:colOff>
      <xdr:row>11</xdr:row>
      <xdr:rowOff>38878</xdr:rowOff>
    </xdr:to>
    <xdr:sp macro="" textlink="">
      <xdr:nvSpPr>
        <xdr:cNvPr id="6" name="TextBox 5"/>
        <xdr:cNvSpPr txBox="1"/>
      </xdr:nvSpPr>
      <xdr:spPr>
        <a:xfrm>
          <a:off x="6158351" y="1875990"/>
          <a:ext cx="3094506" cy="709368"/>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wrap="square" rtlCol="0" anchor="t"/>
        <a:lstStyle/>
        <a:p>
          <a:pPr algn="l"/>
          <a:r>
            <a:rPr lang="en-GB" sz="900" b="0">
              <a:latin typeface="+mn-lt"/>
            </a:rPr>
            <a:t>Series</a:t>
          </a:r>
          <a:r>
            <a:rPr lang="en-GB" sz="900" b="0" baseline="0">
              <a:latin typeface="+mn-lt"/>
            </a:rPr>
            <a:t>  from 1998/99 - 2003/04 is not completely comparable to series  2011/12, since different data sources were used in the past, due to inavailability of PCT financial returns. </a:t>
          </a:r>
          <a:endParaRPr lang="en-GB" sz="900" b="0">
            <a:latin typeface="+mn-lt"/>
          </a:endParaRPr>
        </a:p>
      </xdr:txBody>
    </xdr:sp>
    <xdr:clientData/>
  </xdr:twoCellAnchor>
  <xdr:twoCellAnchor editAs="oneCell">
    <xdr:from>
      <xdr:col>8</xdr:col>
      <xdr:colOff>48597</xdr:colOff>
      <xdr:row>7</xdr:row>
      <xdr:rowOff>136070</xdr:rowOff>
    </xdr:from>
    <xdr:to>
      <xdr:col>8</xdr:col>
      <xdr:colOff>324112</xdr:colOff>
      <xdr:row>8</xdr:row>
      <xdr:rowOff>174436</xdr:rowOff>
    </xdr:to>
    <xdr:pic>
      <xdr:nvPicPr>
        <xdr:cNvPr id="7" name="Picture 6"/>
        <xdr:cNvPicPr>
          <a:picLocks noChangeAspect="1" noChangeArrowheads="1"/>
        </xdr:cNvPicPr>
      </xdr:nvPicPr>
      <xdr:blipFill>
        <a:blip xmlns:r="http://schemas.openxmlformats.org/officeDocument/2006/relationships" r:embed="rId2" cstate="print">
          <a:duotone>
            <a:schemeClr val="accent5">
              <a:shade val="45000"/>
              <a:satMod val="135000"/>
            </a:schemeClr>
            <a:prstClr val="white"/>
          </a:duotone>
        </a:blip>
        <a:srcRect/>
        <a:stretch>
          <a:fillRect/>
        </a:stretch>
      </xdr:blipFill>
      <xdr:spPr bwMode="auto">
        <a:xfrm flipH="1">
          <a:off x="6346760" y="1730050"/>
          <a:ext cx="275515" cy="271631"/>
        </a:xfrm>
        <a:prstGeom prst="rect">
          <a:avLst/>
        </a:prstGeom>
        <a:noFill/>
      </xdr:spPr>
    </xdr:pic>
    <xdr:clientData/>
  </xdr:twoCellAnchor>
  <xdr:twoCellAnchor>
    <xdr:from>
      <xdr:col>0</xdr:col>
      <xdr:colOff>427652</xdr:colOff>
      <xdr:row>15</xdr:row>
      <xdr:rowOff>9720</xdr:rowOff>
    </xdr:from>
    <xdr:to>
      <xdr:col>6</xdr:col>
      <xdr:colOff>660918</xdr:colOff>
      <xdr:row>27</xdr:row>
      <xdr:rowOff>68037</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651199</xdr:colOff>
      <xdr:row>14</xdr:row>
      <xdr:rowOff>213827</xdr:rowOff>
    </xdr:from>
    <xdr:to>
      <xdr:col>14</xdr:col>
      <xdr:colOff>155509</xdr:colOff>
      <xdr:row>27</xdr:row>
      <xdr:rowOff>58317</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600075</xdr:colOff>
          <xdr:row>28</xdr:row>
          <xdr:rowOff>28575</xdr:rowOff>
        </xdr:from>
        <xdr:to>
          <xdr:col>2</xdr:col>
          <xdr:colOff>962025</xdr:colOff>
          <xdr:row>29</xdr:row>
          <xdr:rowOff>66675</xdr:rowOff>
        </xdr:to>
        <xdr:sp macro="" textlink="">
          <xdr:nvSpPr>
            <xdr:cNvPr id="91138" name="Check Box 2" hidden="1">
              <a:extLst>
                <a:ext uri="{63B3BB69-23CF-44E3-9099-C40C66FF867C}">
                  <a14:compatExt spid="_x0000_s911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Show more data</a:t>
              </a:r>
            </a:p>
          </xdr:txBody>
        </xdr:sp>
        <xdr:clientData/>
      </xdr:twoCellAnchor>
    </mc:Choice>
    <mc:Fallback/>
  </mc:AlternateContent>
</xdr:wsDr>
</file>

<file path=xl/drawings/drawing29.xml><?xml version="1.0" encoding="utf-8"?>
<xdr:wsDr xmlns:xdr="http://schemas.openxmlformats.org/drawingml/2006/spreadsheetDrawing" xmlns:a="http://schemas.openxmlformats.org/drawingml/2006/main">
  <xdr:oneCellAnchor>
    <xdr:from>
      <xdr:col>4</xdr:col>
      <xdr:colOff>1158875</xdr:colOff>
      <xdr:row>3</xdr:row>
      <xdr:rowOff>95250</xdr:rowOff>
    </xdr:from>
    <xdr:ext cx="184731" cy="264560"/>
    <xdr:sp macro="" textlink="">
      <xdr:nvSpPr>
        <xdr:cNvPr id="3" name="TextBox 2"/>
        <xdr:cNvSpPr txBox="1"/>
      </xdr:nvSpPr>
      <xdr:spPr>
        <a:xfrm>
          <a:off x="12846050"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twoCellAnchor>
    <xdr:from>
      <xdr:col>0</xdr:col>
      <xdr:colOff>555625</xdr:colOff>
      <xdr:row>22</xdr:row>
      <xdr:rowOff>28575</xdr:rowOff>
    </xdr:from>
    <xdr:to>
      <xdr:col>3</xdr:col>
      <xdr:colOff>104775</xdr:colOff>
      <xdr:row>36</xdr:row>
      <xdr:rowOff>76200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282799</xdr:colOff>
      <xdr:row>1</xdr:row>
      <xdr:rowOff>152401</xdr:rowOff>
    </xdr:from>
    <xdr:to>
      <xdr:col>8</xdr:col>
      <xdr:colOff>277871</xdr:colOff>
      <xdr:row>6</xdr:row>
      <xdr:rowOff>1</xdr:rowOff>
    </xdr:to>
    <xdr:pic>
      <xdr:nvPicPr>
        <xdr:cNvPr id="5" name="Picture 4" descr="http://www.york.ac.uk/che/staff/staff.ltd/CHE%20Logo%20High%20Resolution.jpg"/>
        <xdr:cNvPicPr>
          <a:picLocks noChangeAspect="1" noChangeArrowheads="1"/>
        </xdr:cNvPicPr>
      </xdr:nvPicPr>
      <xdr:blipFill>
        <a:blip xmlns:r="http://schemas.openxmlformats.org/officeDocument/2006/relationships" r:embed="rId2" cstate="print"/>
        <a:srcRect/>
        <a:stretch>
          <a:fillRect/>
        </a:stretch>
      </xdr:blipFill>
      <xdr:spPr bwMode="auto">
        <a:xfrm>
          <a:off x="9064849" y="342901"/>
          <a:ext cx="2557297" cy="1066800"/>
        </a:xfrm>
        <a:prstGeom prst="rect">
          <a:avLst/>
        </a:prstGeom>
        <a:noFill/>
      </xdr:spPr>
    </xdr:pic>
    <xdr:clientData/>
  </xdr:twoCellAnchor>
  <xdr:oneCellAnchor>
    <xdr:from>
      <xdr:col>3</xdr:col>
      <xdr:colOff>342898</xdr:colOff>
      <xdr:row>21</xdr:row>
      <xdr:rowOff>28573</xdr:rowOff>
    </xdr:from>
    <xdr:ext cx="3943352" cy="1485901"/>
    <xdr:sp macro="" textlink="">
      <xdr:nvSpPr>
        <xdr:cNvPr id="6" name="TextBox 5"/>
        <xdr:cNvSpPr txBox="1"/>
      </xdr:nvSpPr>
      <xdr:spPr>
        <a:xfrm>
          <a:off x="5838823" y="4829173"/>
          <a:ext cx="3943352" cy="1485901"/>
        </a:xfrm>
        <a:prstGeom prst="rect">
          <a:avLst/>
        </a:prstGeom>
        <a:noFill/>
        <a:ln w="2540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GB" sz="1100"/>
            <a:t>We use</a:t>
          </a:r>
          <a:r>
            <a:rPr lang="en-GB" sz="1100" baseline="0"/>
            <a:t> around 500 different staff groups to construct overall NHS labour input. We summarise this information by Major Staff Groups. </a:t>
          </a:r>
          <a:endParaRPr lang="en-GB"/>
        </a:p>
        <a:p>
          <a:r>
            <a:rPr lang="en-GB" sz="1100" baseline="0"/>
            <a:t>We differentiate medical staff by the last number of their occupational code, as defined in the occupational codes manual. The manual can be found on the following website: </a:t>
          </a:r>
          <a:r>
            <a:rPr lang="en-GB">
              <a:hlinkClick xmlns:r="http://schemas.openxmlformats.org/officeDocument/2006/relationships" r:id=""/>
            </a:rPr>
            <a:t>http://www.ic.nhs.uk/article/2268/NHS-Occupation-Codes</a:t>
          </a:r>
          <a:endParaRPr lang="en-GB" sz="1100"/>
        </a:p>
      </xdr:txBody>
    </xdr:sp>
    <xdr:clientData/>
  </xdr:oneCellAnchor>
  <xdr:twoCellAnchor editAs="oneCell">
    <xdr:from>
      <xdr:col>3</xdr:col>
      <xdr:colOff>200025</xdr:colOff>
      <xdr:row>20</xdr:row>
      <xdr:rowOff>85724</xdr:rowOff>
    </xdr:from>
    <xdr:to>
      <xdr:col>3</xdr:col>
      <xdr:colOff>476250</xdr:colOff>
      <xdr:row>21</xdr:row>
      <xdr:rowOff>171449</xdr:rowOff>
    </xdr:to>
    <xdr:pic>
      <xdr:nvPicPr>
        <xdr:cNvPr id="23563" name="Picture 11" descr="C:\Documents and Settings\kg716\Local Settings\Temporary Internet Files\Content.IE5\OYX2V2G0\MC900442164[1].png"/>
        <xdr:cNvPicPr>
          <a:picLocks noChangeAspect="1" noChangeArrowheads="1"/>
        </xdr:cNvPicPr>
      </xdr:nvPicPr>
      <xdr:blipFill>
        <a:blip xmlns:r="http://schemas.openxmlformats.org/officeDocument/2006/relationships" r:embed="rId3" cstate="print"/>
        <a:srcRect/>
        <a:stretch>
          <a:fillRect/>
        </a:stretch>
      </xdr:blipFill>
      <xdr:spPr bwMode="auto">
        <a:xfrm flipH="1">
          <a:off x="5695950" y="5486399"/>
          <a:ext cx="276225" cy="276225"/>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457199</xdr:colOff>
      <xdr:row>2</xdr:row>
      <xdr:rowOff>0</xdr:rowOff>
    </xdr:from>
    <xdr:to>
      <xdr:col>18</xdr:col>
      <xdr:colOff>404646</xdr:colOff>
      <xdr:row>5</xdr:row>
      <xdr:rowOff>122699</xdr:rowOff>
    </xdr:to>
    <xdr:pic>
      <xdr:nvPicPr>
        <xdr:cNvPr id="4" name="Picture 3" descr="http://www.york.ac.uk/che/staff/staff.ltd/CHE%20Logo%20High%20Resolution.jpg"/>
        <xdr:cNvPicPr>
          <a:picLocks noChangeAspect="1" noChangeArrowheads="1"/>
        </xdr:cNvPicPr>
      </xdr:nvPicPr>
      <xdr:blipFill>
        <a:blip xmlns:r="http://schemas.openxmlformats.org/officeDocument/2006/relationships" r:embed="rId1" cstate="print"/>
        <a:srcRect/>
        <a:stretch>
          <a:fillRect/>
        </a:stretch>
      </xdr:blipFill>
      <xdr:spPr bwMode="auto">
        <a:xfrm>
          <a:off x="8991599" y="381000"/>
          <a:ext cx="2385847" cy="998999"/>
        </a:xfrm>
        <a:prstGeom prst="rect">
          <a:avLst/>
        </a:prstGeom>
        <a:noFill/>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8</xdr:col>
      <xdr:colOff>1226560</xdr:colOff>
      <xdr:row>1</xdr:row>
      <xdr:rowOff>174626</xdr:rowOff>
    </xdr:from>
    <xdr:to>
      <xdr:col>13</xdr:col>
      <xdr:colOff>571500</xdr:colOff>
      <xdr:row>8</xdr:row>
      <xdr:rowOff>158750</xdr:rowOff>
    </xdr:to>
    <xdr:pic>
      <xdr:nvPicPr>
        <xdr:cNvPr id="2" name="Picture 1" descr="http://www.york.ac.uk/che/staff/staff.ltd/CHE%20Logo%20High%20Resolution.jpg"/>
        <xdr:cNvPicPr>
          <a:picLocks noChangeAspect="1" noChangeArrowheads="1"/>
        </xdr:cNvPicPr>
      </xdr:nvPicPr>
      <xdr:blipFill>
        <a:blip xmlns:r="http://schemas.openxmlformats.org/officeDocument/2006/relationships" r:embed="rId1" cstate="print"/>
        <a:srcRect/>
        <a:stretch>
          <a:fillRect/>
        </a:stretch>
      </xdr:blipFill>
      <xdr:spPr bwMode="auto">
        <a:xfrm>
          <a:off x="13837660" y="365126"/>
          <a:ext cx="5879090" cy="2435224"/>
        </a:xfrm>
        <a:prstGeom prst="rect">
          <a:avLst/>
        </a:prstGeom>
        <a:noFill/>
      </xdr:spPr>
    </xdr:pic>
    <xdr:clientData/>
  </xdr:twoCellAnchor>
  <xdr:oneCellAnchor>
    <xdr:from>
      <xdr:col>6</xdr:col>
      <xdr:colOff>1158875</xdr:colOff>
      <xdr:row>3</xdr:row>
      <xdr:rowOff>95250</xdr:rowOff>
    </xdr:from>
    <xdr:ext cx="184731" cy="264560"/>
    <xdr:sp macro="" textlink="">
      <xdr:nvSpPr>
        <xdr:cNvPr id="3" name="TextBox 2"/>
        <xdr:cNvSpPr txBox="1"/>
      </xdr:nvSpPr>
      <xdr:spPr>
        <a:xfrm>
          <a:off x="9474200"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wsDr>
</file>

<file path=xl/drawings/drawing31.xml><?xml version="1.0" encoding="utf-8"?>
<xdr:wsDr xmlns:xdr="http://schemas.openxmlformats.org/drawingml/2006/spreadsheetDrawing" xmlns:a="http://schemas.openxmlformats.org/drawingml/2006/main">
  <xdr:twoCellAnchor editAs="oneCell">
    <xdr:from>
      <xdr:col>8</xdr:col>
      <xdr:colOff>401060</xdr:colOff>
      <xdr:row>1</xdr:row>
      <xdr:rowOff>174626</xdr:rowOff>
    </xdr:from>
    <xdr:to>
      <xdr:col>10</xdr:col>
      <xdr:colOff>682625</xdr:colOff>
      <xdr:row>7</xdr:row>
      <xdr:rowOff>142875</xdr:rowOff>
    </xdr:to>
    <xdr:pic>
      <xdr:nvPicPr>
        <xdr:cNvPr id="2" name="Picture 1" descr="http://www.york.ac.uk/che/staff/staff.ltd/CHE%20Logo%20High%20Resolution.jpg"/>
        <xdr:cNvPicPr>
          <a:picLocks noChangeAspect="1" noChangeArrowheads="1"/>
        </xdr:cNvPicPr>
      </xdr:nvPicPr>
      <xdr:blipFill>
        <a:blip xmlns:r="http://schemas.openxmlformats.org/officeDocument/2006/relationships" r:embed="rId1" cstate="print"/>
        <a:srcRect/>
        <a:stretch>
          <a:fillRect/>
        </a:stretch>
      </xdr:blipFill>
      <xdr:spPr bwMode="auto">
        <a:xfrm>
          <a:off x="13482060" y="365126"/>
          <a:ext cx="5853690" cy="2428874"/>
        </a:xfrm>
        <a:prstGeom prst="rect">
          <a:avLst/>
        </a:prstGeom>
        <a:noFill/>
      </xdr:spPr>
    </xdr:pic>
    <xdr:clientData/>
  </xdr:twoCellAnchor>
  <xdr:oneCellAnchor>
    <xdr:from>
      <xdr:col>6</xdr:col>
      <xdr:colOff>1158875</xdr:colOff>
      <xdr:row>3</xdr:row>
      <xdr:rowOff>95250</xdr:rowOff>
    </xdr:from>
    <xdr:ext cx="184731" cy="264560"/>
    <xdr:sp macro="" textlink="">
      <xdr:nvSpPr>
        <xdr:cNvPr id="3" name="TextBox 2"/>
        <xdr:cNvSpPr txBox="1"/>
      </xdr:nvSpPr>
      <xdr:spPr>
        <a:xfrm>
          <a:off x="6750050"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wsDr>
</file>

<file path=xl/drawings/drawing32.xml><?xml version="1.0" encoding="utf-8"?>
<xdr:wsDr xmlns:xdr="http://schemas.openxmlformats.org/drawingml/2006/spreadsheetDrawing" xmlns:a="http://schemas.openxmlformats.org/drawingml/2006/main">
  <xdr:twoCellAnchor editAs="oneCell">
    <xdr:from>
      <xdr:col>9</xdr:col>
      <xdr:colOff>147060</xdr:colOff>
      <xdr:row>3</xdr:row>
      <xdr:rowOff>15876</xdr:rowOff>
    </xdr:from>
    <xdr:to>
      <xdr:col>17</xdr:col>
      <xdr:colOff>254000</xdr:colOff>
      <xdr:row>8</xdr:row>
      <xdr:rowOff>95250</xdr:rowOff>
    </xdr:to>
    <xdr:pic>
      <xdr:nvPicPr>
        <xdr:cNvPr id="2" name="Picture 1" descr="http://www.york.ac.uk/che/staff/staff.ltd/CHE%20Logo%20High%20Resolution.jpg"/>
        <xdr:cNvPicPr>
          <a:picLocks noChangeAspect="1" noChangeArrowheads="1"/>
        </xdr:cNvPicPr>
      </xdr:nvPicPr>
      <xdr:blipFill>
        <a:blip xmlns:r="http://schemas.openxmlformats.org/officeDocument/2006/relationships" r:embed="rId1" cstate="print"/>
        <a:srcRect/>
        <a:stretch>
          <a:fillRect/>
        </a:stretch>
      </xdr:blipFill>
      <xdr:spPr bwMode="auto">
        <a:xfrm>
          <a:off x="13643985" y="587376"/>
          <a:ext cx="5879090" cy="2441574"/>
        </a:xfrm>
        <a:prstGeom prst="rect">
          <a:avLst/>
        </a:prstGeom>
        <a:noFill/>
      </xdr:spPr>
    </xdr:pic>
    <xdr:clientData/>
  </xdr:twoCellAnchor>
  <xdr:oneCellAnchor>
    <xdr:from>
      <xdr:col>6</xdr:col>
      <xdr:colOff>1158875</xdr:colOff>
      <xdr:row>3</xdr:row>
      <xdr:rowOff>95250</xdr:rowOff>
    </xdr:from>
    <xdr:ext cx="184731" cy="264560"/>
    <xdr:sp macro="" textlink="">
      <xdr:nvSpPr>
        <xdr:cNvPr id="3" name="TextBox 2"/>
        <xdr:cNvSpPr txBox="1"/>
      </xdr:nvSpPr>
      <xdr:spPr>
        <a:xfrm>
          <a:off x="97885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wsDr>
</file>

<file path=xl/drawings/drawing33.xml><?xml version="1.0" encoding="utf-8"?>
<xdr:wsDr xmlns:xdr="http://schemas.openxmlformats.org/drawingml/2006/spreadsheetDrawing" xmlns:a="http://schemas.openxmlformats.org/drawingml/2006/main">
  <xdr:oneCellAnchor>
    <xdr:from>
      <xdr:col>4</xdr:col>
      <xdr:colOff>1158875</xdr:colOff>
      <xdr:row>3</xdr:row>
      <xdr:rowOff>95250</xdr:rowOff>
    </xdr:from>
    <xdr:ext cx="184731" cy="264560"/>
    <xdr:sp macro="" textlink="">
      <xdr:nvSpPr>
        <xdr:cNvPr id="2" name="TextBox 1" hidden="1"/>
        <xdr:cNvSpPr txBox="1"/>
      </xdr:nvSpPr>
      <xdr:spPr>
        <a:xfrm>
          <a:off x="55975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twoCellAnchor editAs="oneCell">
    <xdr:from>
      <xdr:col>7</xdr:col>
      <xdr:colOff>833004</xdr:colOff>
      <xdr:row>1</xdr:row>
      <xdr:rowOff>147204</xdr:rowOff>
    </xdr:from>
    <xdr:to>
      <xdr:col>9</xdr:col>
      <xdr:colOff>1776246</xdr:colOff>
      <xdr:row>6</xdr:row>
      <xdr:rowOff>50511</xdr:rowOff>
    </xdr:to>
    <xdr:pic>
      <xdr:nvPicPr>
        <xdr:cNvPr id="4" name="Picture 3" descr="http://www.york.ac.uk/che/staff/staff.ltd/CHE%20Logo%20High%20Resolution.jpg"/>
        <xdr:cNvPicPr>
          <a:picLocks noChangeAspect="1" noChangeArrowheads="1"/>
        </xdr:cNvPicPr>
      </xdr:nvPicPr>
      <xdr:blipFill>
        <a:blip xmlns:r="http://schemas.openxmlformats.org/officeDocument/2006/relationships" r:embed="rId1" cstate="print"/>
        <a:srcRect/>
        <a:stretch>
          <a:fillRect/>
        </a:stretch>
      </xdr:blipFill>
      <xdr:spPr bwMode="auto">
        <a:xfrm>
          <a:off x="8453004" y="337704"/>
          <a:ext cx="2572017" cy="1046307"/>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1000125</xdr:colOff>
          <xdr:row>7</xdr:row>
          <xdr:rowOff>19050</xdr:rowOff>
        </xdr:to>
        <xdr:sp macro="" textlink="">
          <xdr:nvSpPr>
            <xdr:cNvPr id="33864" name="Option Button 72" hidden="1">
              <a:extLst>
                <a:ext uri="{63B3BB69-23CF-44E3-9099-C40C66FF867C}">
                  <a14:compatExt spid="_x0000_s338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Rederence Costs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19050</xdr:rowOff>
        </xdr:from>
        <xdr:to>
          <xdr:col>1</xdr:col>
          <xdr:colOff>1000125</xdr:colOff>
          <xdr:row>8</xdr:row>
          <xdr:rowOff>38100</xdr:rowOff>
        </xdr:to>
        <xdr:sp macro="" textlink="">
          <xdr:nvSpPr>
            <xdr:cNvPr id="33865" name="Option Button 73" hidden="1">
              <a:extLst>
                <a:ext uri="{63B3BB69-23CF-44E3-9099-C40C66FF867C}">
                  <a14:compatExt spid="_x0000_s338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Financial Returns</a:t>
              </a:r>
            </a:p>
          </xdr:txBody>
        </xdr:sp>
        <xdr:clientData/>
      </xdr:twoCellAnchor>
    </mc:Choice>
    <mc:Fallback/>
  </mc:AlternateContent>
</xdr:wsDr>
</file>

<file path=xl/drawings/drawing34.xml><?xml version="1.0" encoding="utf-8"?>
<xdr:wsDr xmlns:xdr="http://schemas.openxmlformats.org/drawingml/2006/spreadsheetDrawing" xmlns:a="http://schemas.openxmlformats.org/drawingml/2006/main">
  <xdr:oneCellAnchor>
    <xdr:from>
      <xdr:col>4</xdr:col>
      <xdr:colOff>1158875</xdr:colOff>
      <xdr:row>3</xdr:row>
      <xdr:rowOff>95250</xdr:rowOff>
    </xdr:from>
    <xdr:ext cx="184731" cy="264560"/>
    <xdr:sp macro="" textlink="">
      <xdr:nvSpPr>
        <xdr:cNvPr id="2" name="TextBox 1"/>
        <xdr:cNvSpPr txBox="1"/>
      </xdr:nvSpPr>
      <xdr:spPr>
        <a:xfrm>
          <a:off x="523557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twoCellAnchor editAs="oneCell">
    <xdr:from>
      <xdr:col>9</xdr:col>
      <xdr:colOff>209550</xdr:colOff>
      <xdr:row>2</xdr:row>
      <xdr:rowOff>41275</xdr:rowOff>
    </xdr:from>
    <xdr:to>
      <xdr:col>12</xdr:col>
      <xdr:colOff>328447</xdr:colOff>
      <xdr:row>6</xdr:row>
      <xdr:rowOff>60325</xdr:rowOff>
    </xdr:to>
    <xdr:pic>
      <xdr:nvPicPr>
        <xdr:cNvPr id="3" name="Picture 2" descr="http://www.york.ac.uk/che/staff/staff.ltd/CHE%20Logo%20High%20Resolution.jpg"/>
        <xdr:cNvPicPr>
          <a:picLocks noChangeAspect="1" noChangeArrowheads="1"/>
        </xdr:cNvPicPr>
      </xdr:nvPicPr>
      <xdr:blipFill>
        <a:blip xmlns:r="http://schemas.openxmlformats.org/officeDocument/2006/relationships" r:embed="rId1" cstate="print"/>
        <a:srcRect/>
        <a:stretch>
          <a:fillRect/>
        </a:stretch>
      </xdr:blipFill>
      <xdr:spPr bwMode="auto">
        <a:xfrm>
          <a:off x="8886825" y="422275"/>
          <a:ext cx="2547772" cy="1066800"/>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1</xdr:col>
          <xdr:colOff>0</xdr:colOff>
          <xdr:row>7</xdr:row>
          <xdr:rowOff>28575</xdr:rowOff>
        </xdr:from>
        <xdr:to>
          <xdr:col>2</xdr:col>
          <xdr:colOff>342900</xdr:colOff>
          <xdr:row>8</xdr:row>
          <xdr:rowOff>19050</xdr:rowOff>
        </xdr:to>
        <xdr:sp macro="" textlink="">
          <xdr:nvSpPr>
            <xdr:cNvPr id="92161" name="Option Button 1" hidden="1">
              <a:extLst>
                <a:ext uri="{63B3BB69-23CF-44E3-9099-C40C66FF867C}">
                  <a14:compatExt spid="_x0000_s921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Trusts Financial Returns (TFR)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xdr:row>
          <xdr:rowOff>19050</xdr:rowOff>
        </xdr:from>
        <xdr:to>
          <xdr:col>1</xdr:col>
          <xdr:colOff>1257300</xdr:colOff>
          <xdr:row>9</xdr:row>
          <xdr:rowOff>9525</xdr:rowOff>
        </xdr:to>
        <xdr:sp macro="" textlink="">
          <xdr:nvSpPr>
            <xdr:cNvPr id="92162" name="Option Button 2" hidden="1">
              <a:extLst>
                <a:ext uri="{63B3BB69-23CF-44E3-9099-C40C66FF867C}">
                  <a14:compatExt spid="_x0000_s921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Reference Costs (RC)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657225</xdr:colOff>
          <xdr:row>21</xdr:row>
          <xdr:rowOff>133350</xdr:rowOff>
        </xdr:from>
        <xdr:to>
          <xdr:col>1</xdr:col>
          <xdr:colOff>1057275</xdr:colOff>
          <xdr:row>23</xdr:row>
          <xdr:rowOff>123825</xdr:rowOff>
        </xdr:to>
        <xdr:sp macro="" textlink="">
          <xdr:nvSpPr>
            <xdr:cNvPr id="92163" name="Check Box 3" hidden="1">
              <a:extLst>
                <a:ext uri="{63B3BB69-23CF-44E3-9099-C40C66FF867C}">
                  <a14:compatExt spid="_x0000_s921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ea typeface="Segoe UI"/>
                  <a:cs typeface="Segoe UI"/>
                </a:rPr>
                <a:t>Show more data</a:t>
              </a:r>
            </a:p>
          </xdr:txBody>
        </xdr:sp>
        <xdr:clientData/>
      </xdr:twoCellAnchor>
    </mc:Choice>
    <mc:Fallback/>
  </mc:AlternateContent>
</xdr:wsDr>
</file>

<file path=xl/drawings/drawing35.xml><?xml version="1.0" encoding="utf-8"?>
<xdr:wsDr xmlns:xdr="http://schemas.openxmlformats.org/drawingml/2006/spreadsheetDrawing" xmlns:a="http://schemas.openxmlformats.org/drawingml/2006/main">
  <xdr:oneCellAnchor>
    <xdr:from>
      <xdr:col>4</xdr:col>
      <xdr:colOff>1158875</xdr:colOff>
      <xdr:row>3</xdr:row>
      <xdr:rowOff>95250</xdr:rowOff>
    </xdr:from>
    <xdr:ext cx="184731" cy="264560"/>
    <xdr:sp macro="" textlink="">
      <xdr:nvSpPr>
        <xdr:cNvPr id="2" name="TextBox 1"/>
        <xdr:cNvSpPr txBox="1"/>
      </xdr:nvSpPr>
      <xdr:spPr>
        <a:xfrm>
          <a:off x="5511800"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twoCellAnchor editAs="oneCell">
    <xdr:from>
      <xdr:col>9</xdr:col>
      <xdr:colOff>209550</xdr:colOff>
      <xdr:row>2</xdr:row>
      <xdr:rowOff>41275</xdr:rowOff>
    </xdr:from>
    <xdr:to>
      <xdr:col>12</xdr:col>
      <xdr:colOff>328447</xdr:colOff>
      <xdr:row>6</xdr:row>
      <xdr:rowOff>60325</xdr:rowOff>
    </xdr:to>
    <xdr:pic>
      <xdr:nvPicPr>
        <xdr:cNvPr id="4" name="Picture 3" descr="http://www.york.ac.uk/che/staff/staff.ltd/CHE%20Logo%20High%20Resolution.jpg"/>
        <xdr:cNvPicPr>
          <a:picLocks noChangeAspect="1" noChangeArrowheads="1"/>
        </xdr:cNvPicPr>
      </xdr:nvPicPr>
      <xdr:blipFill>
        <a:blip xmlns:r="http://schemas.openxmlformats.org/officeDocument/2006/relationships" r:embed="rId1" cstate="print"/>
        <a:srcRect/>
        <a:stretch>
          <a:fillRect/>
        </a:stretch>
      </xdr:blipFill>
      <xdr:spPr bwMode="auto">
        <a:xfrm>
          <a:off x="8886825" y="422275"/>
          <a:ext cx="2547772" cy="1066800"/>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1</xdr:col>
          <xdr:colOff>0</xdr:colOff>
          <xdr:row>7</xdr:row>
          <xdr:rowOff>28575</xdr:rowOff>
        </xdr:from>
        <xdr:to>
          <xdr:col>2</xdr:col>
          <xdr:colOff>342900</xdr:colOff>
          <xdr:row>8</xdr:row>
          <xdr:rowOff>19050</xdr:rowOff>
        </xdr:to>
        <xdr:sp macro="" textlink="">
          <xdr:nvSpPr>
            <xdr:cNvPr id="37890" name="Option Button 2" hidden="1">
              <a:extLst>
                <a:ext uri="{63B3BB69-23CF-44E3-9099-C40C66FF867C}">
                  <a14:compatExt spid="_x0000_s378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Trusts Financial Returns (TFR)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xdr:row>
          <xdr:rowOff>19050</xdr:rowOff>
        </xdr:from>
        <xdr:to>
          <xdr:col>1</xdr:col>
          <xdr:colOff>1257300</xdr:colOff>
          <xdr:row>9</xdr:row>
          <xdr:rowOff>9525</xdr:rowOff>
        </xdr:to>
        <xdr:sp macro="" textlink="">
          <xdr:nvSpPr>
            <xdr:cNvPr id="37891" name="Option Button 3" hidden="1">
              <a:extLst>
                <a:ext uri="{63B3BB69-23CF-44E3-9099-C40C66FF867C}">
                  <a14:compatExt spid="_x0000_s378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Reference Costs (RC)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657225</xdr:colOff>
          <xdr:row>21</xdr:row>
          <xdr:rowOff>133350</xdr:rowOff>
        </xdr:from>
        <xdr:to>
          <xdr:col>1</xdr:col>
          <xdr:colOff>1057275</xdr:colOff>
          <xdr:row>23</xdr:row>
          <xdr:rowOff>123825</xdr:rowOff>
        </xdr:to>
        <xdr:sp macro="" textlink="">
          <xdr:nvSpPr>
            <xdr:cNvPr id="37899" name="Check Box 11" hidden="1">
              <a:extLst>
                <a:ext uri="{63B3BB69-23CF-44E3-9099-C40C66FF867C}">
                  <a14:compatExt spid="_x0000_s378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ea typeface="Segoe UI"/>
                  <a:cs typeface="Segoe UI"/>
                </a:rPr>
                <a:t>Show more data</a:t>
              </a:r>
            </a:p>
          </xdr:txBody>
        </xdr:sp>
        <xdr:clientData/>
      </xdr:twoCellAnchor>
    </mc:Choice>
    <mc:Fallback/>
  </mc:AlternateContent>
</xdr:wsDr>
</file>

<file path=xl/drawings/drawing36.xml><?xml version="1.0" encoding="utf-8"?>
<xdr:wsDr xmlns:xdr="http://schemas.openxmlformats.org/drawingml/2006/spreadsheetDrawing" xmlns:a="http://schemas.openxmlformats.org/drawingml/2006/main">
  <xdr:oneCellAnchor>
    <xdr:from>
      <xdr:col>4</xdr:col>
      <xdr:colOff>1158875</xdr:colOff>
      <xdr:row>3</xdr:row>
      <xdr:rowOff>95250</xdr:rowOff>
    </xdr:from>
    <xdr:ext cx="184731" cy="264560"/>
    <xdr:sp macro="" textlink="">
      <xdr:nvSpPr>
        <xdr:cNvPr id="3" name="TextBox 2"/>
        <xdr:cNvSpPr txBox="1"/>
      </xdr:nvSpPr>
      <xdr:spPr>
        <a:xfrm>
          <a:off x="725487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twoCellAnchor>
    <xdr:from>
      <xdr:col>0</xdr:col>
      <xdr:colOff>555625</xdr:colOff>
      <xdr:row>22</xdr:row>
      <xdr:rowOff>95250</xdr:rowOff>
    </xdr:from>
    <xdr:to>
      <xdr:col>1</xdr:col>
      <xdr:colOff>0</xdr:colOff>
      <xdr:row>36</xdr:row>
      <xdr:rowOff>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0</xdr:colOff>
      <xdr:row>15</xdr:row>
      <xdr:rowOff>95250</xdr:rowOff>
    </xdr:from>
    <xdr:ext cx="184731" cy="264560"/>
    <xdr:sp macro="" textlink="">
      <xdr:nvSpPr>
        <xdr:cNvPr id="5" name="TextBox 4"/>
        <xdr:cNvSpPr txBox="1"/>
      </xdr:nvSpPr>
      <xdr:spPr>
        <a:xfrm>
          <a:off x="1828800" y="466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twoCellAnchor>
    <xdr:from>
      <xdr:col>0</xdr:col>
      <xdr:colOff>381000</xdr:colOff>
      <xdr:row>10</xdr:row>
      <xdr:rowOff>174624</xdr:rowOff>
    </xdr:from>
    <xdr:to>
      <xdr:col>4</xdr:col>
      <xdr:colOff>333375</xdr:colOff>
      <xdr:row>28</xdr:row>
      <xdr:rowOff>19050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333376</xdr:colOff>
      <xdr:row>40</xdr:row>
      <xdr:rowOff>133350</xdr:rowOff>
    </xdr:from>
    <xdr:to>
      <xdr:col>6</xdr:col>
      <xdr:colOff>447676</xdr:colOff>
      <xdr:row>62</xdr:row>
      <xdr:rowOff>111124</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295275</xdr:colOff>
      <xdr:row>2</xdr:row>
      <xdr:rowOff>34925</xdr:rowOff>
    </xdr:from>
    <xdr:to>
      <xdr:col>7</xdr:col>
      <xdr:colOff>1163472</xdr:colOff>
      <xdr:row>6</xdr:row>
      <xdr:rowOff>104775</xdr:rowOff>
    </xdr:to>
    <xdr:pic>
      <xdr:nvPicPr>
        <xdr:cNvPr id="8" name="Picture 7" descr="http://www.york.ac.uk/che/staff/staff.ltd/CHE%20Logo%20High%20Resolution.jpg"/>
        <xdr:cNvPicPr>
          <a:picLocks noChangeAspect="1" noChangeArrowheads="1"/>
        </xdr:cNvPicPr>
      </xdr:nvPicPr>
      <xdr:blipFill>
        <a:blip xmlns:r="http://schemas.openxmlformats.org/officeDocument/2006/relationships" r:embed="rId4" cstate="print"/>
        <a:srcRect/>
        <a:stretch>
          <a:fillRect/>
        </a:stretch>
      </xdr:blipFill>
      <xdr:spPr bwMode="auto">
        <a:xfrm>
          <a:off x="8562975" y="415925"/>
          <a:ext cx="2563647" cy="1060450"/>
        </a:xfrm>
        <a:prstGeom prst="rect">
          <a:avLst/>
        </a:prstGeom>
        <a:noFill/>
      </xdr:spPr>
    </xdr:pic>
    <xdr:clientData/>
  </xdr:twoCellAnchor>
</xdr:wsDr>
</file>

<file path=xl/drawings/drawing37.xml><?xml version="1.0" encoding="utf-8"?>
<xdr:wsDr xmlns:xdr="http://schemas.openxmlformats.org/drawingml/2006/spreadsheetDrawing" xmlns:a="http://schemas.openxmlformats.org/drawingml/2006/main">
  <xdr:oneCellAnchor>
    <xdr:from>
      <xdr:col>4</xdr:col>
      <xdr:colOff>1158875</xdr:colOff>
      <xdr:row>3</xdr:row>
      <xdr:rowOff>95250</xdr:rowOff>
    </xdr:from>
    <xdr:ext cx="184731" cy="264560"/>
    <xdr:sp macro="" textlink="">
      <xdr:nvSpPr>
        <xdr:cNvPr id="2" name="TextBox 1"/>
        <xdr:cNvSpPr txBox="1"/>
      </xdr:nvSpPr>
      <xdr:spPr>
        <a:xfrm>
          <a:off x="43021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twoCellAnchor>
    <xdr:from>
      <xdr:col>7</xdr:col>
      <xdr:colOff>895350</xdr:colOff>
      <xdr:row>7</xdr:row>
      <xdr:rowOff>276224</xdr:rowOff>
    </xdr:from>
    <xdr:to>
      <xdr:col>10</xdr:col>
      <xdr:colOff>952500</xdr:colOff>
      <xdr:row>20</xdr:row>
      <xdr:rowOff>257174</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4</xdr:col>
      <xdr:colOff>0</xdr:colOff>
      <xdr:row>16</xdr:row>
      <xdr:rowOff>95250</xdr:rowOff>
    </xdr:from>
    <xdr:ext cx="184731" cy="264560"/>
    <xdr:sp macro="" textlink="">
      <xdr:nvSpPr>
        <xdr:cNvPr id="4" name="TextBox 3"/>
        <xdr:cNvSpPr txBox="1"/>
      </xdr:nvSpPr>
      <xdr:spPr>
        <a:xfrm>
          <a:off x="32099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twoCellAnchor editAs="oneCell">
    <xdr:from>
      <xdr:col>8</xdr:col>
      <xdr:colOff>1019175</xdr:colOff>
      <xdr:row>1</xdr:row>
      <xdr:rowOff>123825</xdr:rowOff>
    </xdr:from>
    <xdr:to>
      <xdr:col>10</xdr:col>
      <xdr:colOff>661822</xdr:colOff>
      <xdr:row>5</xdr:row>
      <xdr:rowOff>238125</xdr:rowOff>
    </xdr:to>
    <xdr:pic>
      <xdr:nvPicPr>
        <xdr:cNvPr id="5" name="Picture 4" descr="http://www.york.ac.uk/che/staff/staff.ltd/CHE%20Logo%20High%20Resolution.jpg"/>
        <xdr:cNvPicPr>
          <a:picLocks noChangeAspect="1" noChangeArrowheads="1"/>
        </xdr:cNvPicPr>
      </xdr:nvPicPr>
      <xdr:blipFill>
        <a:blip xmlns:r="http://schemas.openxmlformats.org/officeDocument/2006/relationships" r:embed="rId2" cstate="print"/>
        <a:srcRect/>
        <a:stretch>
          <a:fillRect/>
        </a:stretch>
      </xdr:blipFill>
      <xdr:spPr bwMode="auto">
        <a:xfrm>
          <a:off x="8648700" y="314325"/>
          <a:ext cx="2557297" cy="1066800"/>
        </a:xfrm>
        <a:prstGeom prst="rect">
          <a:avLst/>
        </a:prstGeom>
        <a:noFill/>
      </xdr:spPr>
    </xdr:pic>
    <xdr:clientData/>
  </xdr:twoCellAnchor>
  <xdr:twoCellAnchor>
    <xdr:from>
      <xdr:col>5</xdr:col>
      <xdr:colOff>342900</xdr:colOff>
      <xdr:row>8</xdr:row>
      <xdr:rowOff>190499</xdr:rowOff>
    </xdr:from>
    <xdr:to>
      <xdr:col>7</xdr:col>
      <xdr:colOff>714375</xdr:colOff>
      <xdr:row>18</xdr:row>
      <xdr:rowOff>95250</xdr:rowOff>
    </xdr:to>
    <xdr:sp macro="" textlink="">
      <xdr:nvSpPr>
        <xdr:cNvPr id="6" name="TextBox 5">
          <a:hlinkClick xmlns:r="http://schemas.openxmlformats.org/officeDocument/2006/relationships" r:id="rId3"/>
        </xdr:cNvPr>
        <xdr:cNvSpPr txBox="1"/>
      </xdr:nvSpPr>
      <xdr:spPr>
        <a:xfrm>
          <a:off x="4648200" y="2114549"/>
          <a:ext cx="2562225" cy="1809751"/>
        </a:xfrm>
        <a:prstGeom prst="rect">
          <a:avLst/>
        </a:prstGeom>
        <a:solidFill>
          <a:schemeClr val="lt1"/>
        </a:solidFill>
        <a:ln w="25400"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t>Reference Costs database provides detailed  c</a:t>
          </a:r>
          <a:r>
            <a:rPr lang="en-GB" sz="1100" baseline="0"/>
            <a:t>ost data about activity and unit costs of specific services provided in different settings.</a:t>
          </a:r>
        </a:p>
        <a:p>
          <a:r>
            <a:rPr lang="en-GB" sz="1100" baseline="0"/>
            <a:t>The setting 'Other' includes activity and unit costs in any other setting than the ones listed. A detailed breakdown and explanation can be found in the Reference Costs guid </a:t>
          </a:r>
          <a:r>
            <a:rPr lang="en-GB" sz="1100" baseline="0">
              <a:solidFill>
                <a:schemeClr val="dk1"/>
              </a:solidFill>
              <a:latin typeface="+mn-lt"/>
              <a:ea typeface="+mn-ea"/>
              <a:cs typeface="+mn-cs"/>
            </a:rPr>
            <a:t>ebook, available </a:t>
          </a:r>
          <a:r>
            <a:rPr lang="en-GB" sz="1100" u="sng" baseline="0">
              <a:solidFill>
                <a:schemeClr val="tx2"/>
              </a:solidFill>
              <a:latin typeface="+mn-lt"/>
              <a:ea typeface="+mn-ea"/>
              <a:cs typeface="+mn-cs"/>
            </a:rPr>
            <a:t>here. </a:t>
          </a:r>
          <a:endParaRPr lang="en-GB" sz="1100" u="sng">
            <a:solidFill>
              <a:schemeClr val="tx2"/>
            </a:solidFill>
          </a:endParaRPr>
        </a:p>
      </xdr:txBody>
    </xdr:sp>
    <xdr:clientData/>
  </xdr:twoCellAnchor>
  <xdr:twoCellAnchor editAs="oneCell">
    <xdr:from>
      <xdr:col>5</xdr:col>
      <xdr:colOff>209550</xdr:colOff>
      <xdr:row>8</xdr:row>
      <xdr:rowOff>47625</xdr:rowOff>
    </xdr:from>
    <xdr:to>
      <xdr:col>5</xdr:col>
      <xdr:colOff>485775</xdr:colOff>
      <xdr:row>9</xdr:row>
      <xdr:rowOff>133350</xdr:rowOff>
    </xdr:to>
    <xdr:pic>
      <xdr:nvPicPr>
        <xdr:cNvPr id="7" name="Picture 11" descr="C:\Documents and Settings\kg716\Local Settings\Temporary Internet Files\Content.IE5\OYX2V2G0\MC900442164[1].png"/>
        <xdr:cNvPicPr>
          <a:picLocks noChangeAspect="1" noChangeArrowheads="1"/>
        </xdr:cNvPicPr>
      </xdr:nvPicPr>
      <xdr:blipFill>
        <a:blip xmlns:r="http://schemas.openxmlformats.org/officeDocument/2006/relationships" r:embed="rId4" cstate="print"/>
        <a:srcRect/>
        <a:stretch>
          <a:fillRect/>
        </a:stretch>
      </xdr:blipFill>
      <xdr:spPr bwMode="auto">
        <a:xfrm flipH="1">
          <a:off x="4514850" y="1971675"/>
          <a:ext cx="276225" cy="276225"/>
        </a:xfrm>
        <a:prstGeom prst="rect">
          <a:avLst/>
        </a:prstGeom>
        <a:noFill/>
      </xdr:spPr>
    </xdr:pic>
    <xdr:clientData/>
  </xdr:twoCellAnchor>
  <xdr:twoCellAnchor>
    <xdr:from>
      <xdr:col>0</xdr:col>
      <xdr:colOff>495300</xdr:colOff>
      <xdr:row>21</xdr:row>
      <xdr:rowOff>152400</xdr:rowOff>
    </xdr:from>
    <xdr:to>
      <xdr:col>6</xdr:col>
      <xdr:colOff>409575</xdr:colOff>
      <xdr:row>40</xdr:row>
      <xdr:rowOff>180975</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790576</xdr:colOff>
      <xdr:row>21</xdr:row>
      <xdr:rowOff>85724</xdr:rowOff>
    </xdr:from>
    <xdr:to>
      <xdr:col>10</xdr:col>
      <xdr:colOff>1352550</xdr:colOff>
      <xdr:row>39</xdr:row>
      <xdr:rowOff>76199</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8.xml><?xml version="1.0" encoding="utf-8"?>
<xdr:wsDr xmlns:xdr="http://schemas.openxmlformats.org/drawingml/2006/spreadsheetDrawing" xmlns:a="http://schemas.openxmlformats.org/drawingml/2006/main">
  <xdr:oneCellAnchor>
    <xdr:from>
      <xdr:col>4</xdr:col>
      <xdr:colOff>1158875</xdr:colOff>
      <xdr:row>3</xdr:row>
      <xdr:rowOff>95250</xdr:rowOff>
    </xdr:from>
    <xdr:ext cx="184731" cy="264560"/>
    <xdr:sp macro="" textlink="">
      <xdr:nvSpPr>
        <xdr:cNvPr id="2" name="TextBox 1"/>
        <xdr:cNvSpPr txBox="1"/>
      </xdr:nvSpPr>
      <xdr:spPr>
        <a:xfrm>
          <a:off x="515937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twoCellAnchor editAs="oneCell">
    <xdr:from>
      <xdr:col>9</xdr:col>
      <xdr:colOff>95250</xdr:colOff>
      <xdr:row>1</xdr:row>
      <xdr:rowOff>69850</xdr:rowOff>
    </xdr:from>
    <xdr:to>
      <xdr:col>12</xdr:col>
      <xdr:colOff>614197</xdr:colOff>
      <xdr:row>5</xdr:row>
      <xdr:rowOff>146050</xdr:rowOff>
    </xdr:to>
    <xdr:pic>
      <xdr:nvPicPr>
        <xdr:cNvPr id="3" name="Picture 2" descr="http://www.york.ac.uk/che/staff/staff.ltd/CHE%20Logo%20High%20Resolution.jpg"/>
        <xdr:cNvPicPr>
          <a:picLocks noChangeAspect="1" noChangeArrowheads="1"/>
        </xdr:cNvPicPr>
      </xdr:nvPicPr>
      <xdr:blipFill>
        <a:blip xmlns:r="http://schemas.openxmlformats.org/officeDocument/2006/relationships" r:embed="rId1" cstate="print"/>
        <a:srcRect/>
        <a:stretch>
          <a:fillRect/>
        </a:stretch>
      </xdr:blipFill>
      <xdr:spPr bwMode="auto">
        <a:xfrm>
          <a:off x="9144000" y="260350"/>
          <a:ext cx="2547772" cy="1066800"/>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1</xdr:col>
          <xdr:colOff>0</xdr:colOff>
          <xdr:row>7</xdr:row>
          <xdr:rowOff>28575</xdr:rowOff>
        </xdr:from>
        <xdr:to>
          <xdr:col>2</xdr:col>
          <xdr:colOff>342900</xdr:colOff>
          <xdr:row>8</xdr:row>
          <xdr:rowOff>19050</xdr:rowOff>
        </xdr:to>
        <xdr:sp macro="" textlink="">
          <xdr:nvSpPr>
            <xdr:cNvPr id="38913" name="Option Button 1" hidden="1">
              <a:extLst>
                <a:ext uri="{63B3BB69-23CF-44E3-9099-C40C66FF867C}">
                  <a14:compatExt spid="_x0000_s389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Trusts Financial Returns (TFR)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xdr:row>
          <xdr:rowOff>19050</xdr:rowOff>
        </xdr:from>
        <xdr:to>
          <xdr:col>1</xdr:col>
          <xdr:colOff>1257300</xdr:colOff>
          <xdr:row>9</xdr:row>
          <xdr:rowOff>9525</xdr:rowOff>
        </xdr:to>
        <xdr:sp macro="" textlink="">
          <xdr:nvSpPr>
            <xdr:cNvPr id="38914" name="Option Button 2" hidden="1">
              <a:extLst>
                <a:ext uri="{63B3BB69-23CF-44E3-9099-C40C66FF867C}">
                  <a14:compatExt spid="_x0000_s389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Reference Costs (RC)</a:t>
              </a:r>
            </a:p>
          </xdr:txBody>
        </xdr:sp>
        <xdr:clientData/>
      </xdr:twoCellAnchor>
    </mc:Choice>
    <mc:Fallback/>
  </mc:AlternateContent>
</xdr:wsDr>
</file>

<file path=xl/drawings/drawing39.xml><?xml version="1.0" encoding="utf-8"?>
<xdr:wsDr xmlns:xdr="http://schemas.openxmlformats.org/drawingml/2006/spreadsheetDrawing" xmlns:a="http://schemas.openxmlformats.org/drawingml/2006/main">
  <xdr:oneCellAnchor>
    <xdr:from>
      <xdr:col>4</xdr:col>
      <xdr:colOff>1158875</xdr:colOff>
      <xdr:row>3</xdr:row>
      <xdr:rowOff>95250</xdr:rowOff>
    </xdr:from>
    <xdr:ext cx="184731" cy="264560"/>
    <xdr:sp macro="" textlink="">
      <xdr:nvSpPr>
        <xdr:cNvPr id="3" name="TextBox 2"/>
        <xdr:cNvSpPr txBox="1"/>
      </xdr:nvSpPr>
      <xdr:spPr>
        <a:xfrm>
          <a:off x="102076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twoCellAnchor editAs="oneCell">
    <xdr:from>
      <xdr:col>8</xdr:col>
      <xdr:colOff>600075</xdr:colOff>
      <xdr:row>2</xdr:row>
      <xdr:rowOff>34925</xdr:rowOff>
    </xdr:from>
    <xdr:to>
      <xdr:col>9</xdr:col>
      <xdr:colOff>1738147</xdr:colOff>
      <xdr:row>7</xdr:row>
      <xdr:rowOff>146050</xdr:rowOff>
    </xdr:to>
    <xdr:pic>
      <xdr:nvPicPr>
        <xdr:cNvPr id="5" name="Picture 4" descr="http://www.york.ac.uk/che/staff/staff.ltd/CHE%20Logo%20High%20Resolution.jpg"/>
        <xdr:cNvPicPr>
          <a:picLocks noChangeAspect="1" noChangeArrowheads="1"/>
        </xdr:cNvPicPr>
      </xdr:nvPicPr>
      <xdr:blipFill>
        <a:blip xmlns:r="http://schemas.openxmlformats.org/officeDocument/2006/relationships" r:embed="rId1" cstate="print"/>
        <a:srcRect/>
        <a:stretch>
          <a:fillRect/>
        </a:stretch>
      </xdr:blipFill>
      <xdr:spPr bwMode="auto">
        <a:xfrm>
          <a:off x="8696325" y="415925"/>
          <a:ext cx="2576347" cy="1054100"/>
        </a:xfrm>
        <a:prstGeom prst="rect">
          <a:avLst/>
        </a:prstGeom>
        <a:noFill/>
      </xdr:spPr>
    </xdr:pic>
    <xdr:clientData/>
  </xdr:twoCellAnchor>
  <xdr:twoCellAnchor>
    <xdr:from>
      <xdr:col>7</xdr:col>
      <xdr:colOff>647699</xdr:colOff>
      <xdr:row>9</xdr:row>
      <xdr:rowOff>0</xdr:rowOff>
    </xdr:from>
    <xdr:to>
      <xdr:col>11</xdr:col>
      <xdr:colOff>523875</xdr:colOff>
      <xdr:row>19</xdr:row>
      <xdr:rowOff>142875</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639185</xdr:colOff>
      <xdr:row>1</xdr:row>
      <xdr:rowOff>174626</xdr:rowOff>
    </xdr:from>
    <xdr:to>
      <xdr:col>16</xdr:col>
      <xdr:colOff>174625</xdr:colOff>
      <xdr:row>7</xdr:row>
      <xdr:rowOff>158750</xdr:rowOff>
    </xdr:to>
    <xdr:pic>
      <xdr:nvPicPr>
        <xdr:cNvPr id="2" name="Picture 1" descr="http://www.york.ac.uk/che/staff/staff.ltd/CHE%20Logo%20High%20Resolution.jpg"/>
        <xdr:cNvPicPr>
          <a:picLocks noChangeAspect="1" noChangeArrowheads="1"/>
        </xdr:cNvPicPr>
      </xdr:nvPicPr>
      <xdr:blipFill>
        <a:blip xmlns:r="http://schemas.openxmlformats.org/officeDocument/2006/relationships" r:embed="rId1" cstate="print"/>
        <a:srcRect/>
        <a:stretch>
          <a:fillRect/>
        </a:stretch>
      </xdr:blipFill>
      <xdr:spPr bwMode="auto">
        <a:xfrm>
          <a:off x="13212185" y="365126"/>
          <a:ext cx="5853690" cy="2428874"/>
        </a:xfrm>
        <a:prstGeom prst="rect">
          <a:avLst/>
        </a:prstGeom>
        <a:noFill/>
      </xdr:spPr>
    </xdr:pic>
    <xdr:clientData/>
  </xdr:twoCellAnchor>
  <xdr:oneCellAnchor>
    <xdr:from>
      <xdr:col>6</xdr:col>
      <xdr:colOff>1158875</xdr:colOff>
      <xdr:row>3</xdr:row>
      <xdr:rowOff>95250</xdr:rowOff>
    </xdr:from>
    <xdr:ext cx="184731" cy="264560"/>
    <xdr:sp macro="" textlink="">
      <xdr:nvSpPr>
        <xdr:cNvPr id="3" name="TextBox 2"/>
        <xdr:cNvSpPr txBox="1"/>
      </xdr:nvSpPr>
      <xdr:spPr>
        <a:xfrm>
          <a:off x="9474200"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oneCellAnchor>
    <xdr:from>
      <xdr:col>6</xdr:col>
      <xdr:colOff>1158875</xdr:colOff>
      <xdr:row>3</xdr:row>
      <xdr:rowOff>95250</xdr:rowOff>
    </xdr:from>
    <xdr:ext cx="184731" cy="264560"/>
    <xdr:sp macro="" textlink="">
      <xdr:nvSpPr>
        <xdr:cNvPr id="4" name="TextBox 3"/>
        <xdr:cNvSpPr txBox="1"/>
      </xdr:nvSpPr>
      <xdr:spPr>
        <a:xfrm>
          <a:off x="877887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wsDr>
</file>

<file path=xl/drawings/drawing40.xml><?xml version="1.0" encoding="utf-8"?>
<xdr:wsDr xmlns:xdr="http://schemas.openxmlformats.org/drawingml/2006/spreadsheetDrawing" xmlns:a="http://schemas.openxmlformats.org/drawingml/2006/main">
  <xdr:twoCellAnchor editAs="oneCell">
    <xdr:from>
      <xdr:col>10</xdr:col>
      <xdr:colOff>512185</xdr:colOff>
      <xdr:row>1</xdr:row>
      <xdr:rowOff>142876</xdr:rowOff>
    </xdr:from>
    <xdr:to>
      <xdr:col>12</xdr:col>
      <xdr:colOff>1841500</xdr:colOff>
      <xdr:row>8</xdr:row>
      <xdr:rowOff>15875</xdr:rowOff>
    </xdr:to>
    <xdr:pic>
      <xdr:nvPicPr>
        <xdr:cNvPr id="2" name="Picture 1" descr="http://www.york.ac.uk/che/staff/staff.ltd/CHE%20Logo%20High%20Resolution.jpg"/>
        <xdr:cNvPicPr>
          <a:picLocks noChangeAspect="1" noChangeArrowheads="1"/>
        </xdr:cNvPicPr>
      </xdr:nvPicPr>
      <xdr:blipFill>
        <a:blip xmlns:r="http://schemas.openxmlformats.org/officeDocument/2006/relationships" r:embed="rId1" cstate="print"/>
        <a:srcRect/>
        <a:stretch>
          <a:fillRect/>
        </a:stretch>
      </xdr:blipFill>
      <xdr:spPr bwMode="auto">
        <a:xfrm>
          <a:off x="15904585" y="333376"/>
          <a:ext cx="5844165" cy="2435224"/>
        </a:xfrm>
        <a:prstGeom prst="rect">
          <a:avLst/>
        </a:prstGeom>
        <a:noFill/>
      </xdr:spPr>
    </xdr:pic>
    <xdr:clientData/>
  </xdr:twoCellAnchor>
  <xdr:oneCellAnchor>
    <xdr:from>
      <xdr:col>6</xdr:col>
      <xdr:colOff>1158875</xdr:colOff>
      <xdr:row>3</xdr:row>
      <xdr:rowOff>95250</xdr:rowOff>
    </xdr:from>
    <xdr:ext cx="184731" cy="264560"/>
    <xdr:sp macro="" textlink="">
      <xdr:nvSpPr>
        <xdr:cNvPr id="3" name="TextBox 2"/>
        <xdr:cNvSpPr txBox="1"/>
      </xdr:nvSpPr>
      <xdr:spPr>
        <a:xfrm>
          <a:off x="717867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0</xdr:row>
      <xdr:rowOff>3952875</xdr:rowOff>
    </xdr:to>
    <xdr:pic>
      <xdr:nvPicPr>
        <xdr:cNvPr id="10649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057400" cy="3952875"/>
        </a:xfrm>
        <a:prstGeom prst="rect">
          <a:avLst/>
        </a:prstGeom>
        <a:noFill/>
        <a:ln w="1">
          <a:noFill/>
          <a:miter lim="800000"/>
          <a:headEnd/>
          <a:tailEnd type="none" w="med" len="med"/>
        </a:ln>
        <a:effectLst/>
      </xdr:spPr>
    </xdr:pic>
    <xdr:clientData/>
  </xdr:twoCellAnchor>
  <xdr:twoCellAnchor editAs="oneCell">
    <xdr:from>
      <xdr:col>0</xdr:col>
      <xdr:colOff>0</xdr:colOff>
      <xdr:row>1</xdr:row>
      <xdr:rowOff>0</xdr:rowOff>
    </xdr:from>
    <xdr:to>
      <xdr:col>0</xdr:col>
      <xdr:colOff>2028825</xdr:colOff>
      <xdr:row>2</xdr:row>
      <xdr:rowOff>9525</xdr:rowOff>
    </xdr:to>
    <xdr:pic>
      <xdr:nvPicPr>
        <xdr:cNvPr id="10649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3962400"/>
          <a:ext cx="2028825" cy="3952875"/>
        </a:xfrm>
        <a:prstGeom prst="rect">
          <a:avLst/>
        </a:prstGeom>
        <a:noFill/>
        <a:ln w="1">
          <a:noFill/>
          <a:miter lim="800000"/>
          <a:headEnd/>
          <a:tailEnd type="none" w="med" len="med"/>
        </a:ln>
        <a:effectLst/>
      </xdr:spPr>
    </xdr:pic>
    <xdr:clientData/>
  </xdr:twoCellAnchor>
  <xdr:twoCellAnchor editAs="oneCell">
    <xdr:from>
      <xdr:col>0</xdr:col>
      <xdr:colOff>0</xdr:colOff>
      <xdr:row>2</xdr:row>
      <xdr:rowOff>19050</xdr:rowOff>
    </xdr:from>
    <xdr:to>
      <xdr:col>1</xdr:col>
      <xdr:colOff>0</xdr:colOff>
      <xdr:row>3</xdr:row>
      <xdr:rowOff>0</xdr:rowOff>
    </xdr:to>
    <xdr:pic>
      <xdr:nvPicPr>
        <xdr:cNvPr id="106500"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0" y="7924800"/>
          <a:ext cx="2057400" cy="3952875"/>
        </a:xfrm>
        <a:prstGeom prst="rect">
          <a:avLst/>
        </a:prstGeom>
        <a:noFill/>
        <a:ln w="1">
          <a:noFill/>
          <a:miter lim="800000"/>
          <a:headEnd/>
          <a:tailEnd type="none" w="med" len="med"/>
        </a:ln>
        <a:effectLst/>
      </xdr:spPr>
    </xdr:pic>
    <xdr:clientData/>
  </xdr:twoCellAnchor>
  <xdr:twoCellAnchor editAs="oneCell">
    <xdr:from>
      <xdr:col>0</xdr:col>
      <xdr:colOff>0</xdr:colOff>
      <xdr:row>3</xdr:row>
      <xdr:rowOff>0</xdr:rowOff>
    </xdr:from>
    <xdr:to>
      <xdr:col>1</xdr:col>
      <xdr:colOff>0</xdr:colOff>
      <xdr:row>3</xdr:row>
      <xdr:rowOff>3952875</xdr:rowOff>
    </xdr:to>
    <xdr:pic>
      <xdr:nvPicPr>
        <xdr:cNvPr id="106501" name="Picture 5"/>
        <xdr:cNvPicPr>
          <a:picLocks noChangeAspect="1" noChangeArrowheads="1"/>
        </xdr:cNvPicPr>
      </xdr:nvPicPr>
      <xdr:blipFill>
        <a:blip xmlns:r="http://schemas.openxmlformats.org/officeDocument/2006/relationships" r:embed="rId4" cstate="print"/>
        <a:srcRect/>
        <a:stretch>
          <a:fillRect/>
        </a:stretch>
      </xdr:blipFill>
      <xdr:spPr bwMode="auto">
        <a:xfrm>
          <a:off x="0" y="11877675"/>
          <a:ext cx="2057400" cy="3952875"/>
        </a:xfrm>
        <a:prstGeom prst="rect">
          <a:avLst/>
        </a:prstGeom>
        <a:noFill/>
        <a:ln w="1">
          <a:noFill/>
          <a:miter lim="800000"/>
          <a:headEnd/>
          <a:tailEnd type="none" w="med" len="med"/>
        </a:ln>
        <a:effec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9525</xdr:colOff>
      <xdr:row>0</xdr:row>
      <xdr:rowOff>38100</xdr:rowOff>
    </xdr:from>
    <xdr:to>
      <xdr:col>0</xdr:col>
      <xdr:colOff>2066925</xdr:colOff>
      <xdr:row>0</xdr:row>
      <xdr:rowOff>1038225</xdr:rowOff>
    </xdr:to>
    <xdr:pic>
      <xdr:nvPicPr>
        <xdr:cNvPr id="148484"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9525" y="38100"/>
          <a:ext cx="2057400" cy="1000125"/>
        </a:xfrm>
        <a:prstGeom prst="rect">
          <a:avLst/>
        </a:prstGeom>
        <a:noFill/>
        <a:ln w="1">
          <a:noFill/>
          <a:miter lim="800000"/>
          <a:headEnd/>
          <a:tailEnd type="none" w="med" len="med"/>
        </a:ln>
        <a:effectLst/>
      </xdr:spPr>
    </xdr:pic>
    <xdr:clientData/>
  </xdr:twoCellAnchor>
  <xdr:twoCellAnchor editAs="oneCell">
    <xdr:from>
      <xdr:col>0</xdr:col>
      <xdr:colOff>0</xdr:colOff>
      <xdr:row>1</xdr:row>
      <xdr:rowOff>38100</xdr:rowOff>
    </xdr:from>
    <xdr:to>
      <xdr:col>0</xdr:col>
      <xdr:colOff>2057400</xdr:colOff>
      <xdr:row>1</xdr:row>
      <xdr:rowOff>1038225</xdr:rowOff>
    </xdr:to>
    <xdr:pic>
      <xdr:nvPicPr>
        <xdr:cNvPr id="148485" name="Picture 5"/>
        <xdr:cNvPicPr>
          <a:picLocks noChangeAspect="1" noChangeArrowheads="1"/>
        </xdr:cNvPicPr>
      </xdr:nvPicPr>
      <xdr:blipFill>
        <a:blip xmlns:r="http://schemas.openxmlformats.org/officeDocument/2006/relationships" r:embed="rId2" cstate="print"/>
        <a:srcRect/>
        <a:stretch>
          <a:fillRect/>
        </a:stretch>
      </xdr:blipFill>
      <xdr:spPr bwMode="auto">
        <a:xfrm>
          <a:off x="0" y="1123950"/>
          <a:ext cx="2057400" cy="1000125"/>
        </a:xfrm>
        <a:prstGeom prst="rect">
          <a:avLst/>
        </a:prstGeom>
        <a:noFill/>
        <a:ln w="1">
          <a:noFill/>
          <a:miter lim="800000"/>
          <a:headEnd/>
          <a:tailEnd type="none" w="med" len="med"/>
        </a:ln>
        <a:effectLst/>
      </xdr:spPr>
    </xdr:pic>
    <xdr:clientData/>
  </xdr:twoCellAnchor>
  <xdr:twoCellAnchor editAs="oneCell">
    <xdr:from>
      <xdr:col>0</xdr:col>
      <xdr:colOff>19050</xdr:colOff>
      <xdr:row>2</xdr:row>
      <xdr:rowOff>76200</xdr:rowOff>
    </xdr:from>
    <xdr:to>
      <xdr:col>0</xdr:col>
      <xdr:colOff>2076450</xdr:colOff>
      <xdr:row>2</xdr:row>
      <xdr:rowOff>1076325</xdr:rowOff>
    </xdr:to>
    <xdr:pic>
      <xdr:nvPicPr>
        <xdr:cNvPr id="148486" name="Picture 6"/>
        <xdr:cNvPicPr>
          <a:picLocks noChangeAspect="1" noChangeArrowheads="1"/>
        </xdr:cNvPicPr>
      </xdr:nvPicPr>
      <xdr:blipFill>
        <a:blip xmlns:r="http://schemas.openxmlformats.org/officeDocument/2006/relationships" r:embed="rId3" cstate="print"/>
        <a:srcRect/>
        <a:stretch>
          <a:fillRect/>
        </a:stretch>
      </xdr:blipFill>
      <xdr:spPr bwMode="auto">
        <a:xfrm>
          <a:off x="19050" y="2647950"/>
          <a:ext cx="2057400" cy="1000125"/>
        </a:xfrm>
        <a:prstGeom prst="rect">
          <a:avLst/>
        </a:prstGeom>
        <a:noFill/>
        <a:ln w="1">
          <a:noFill/>
          <a:miter lim="800000"/>
          <a:headEnd/>
          <a:tailEnd type="none" w="med" len="med"/>
        </a:ln>
        <a:effec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2057400</xdr:colOff>
      <xdr:row>0</xdr:row>
      <xdr:rowOff>1266825</xdr:rowOff>
    </xdr:to>
    <xdr:pic>
      <xdr:nvPicPr>
        <xdr:cNvPr id="1546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057400" cy="1266825"/>
        </a:xfrm>
        <a:prstGeom prst="rect">
          <a:avLst/>
        </a:prstGeom>
        <a:noFill/>
        <a:ln w="1">
          <a:noFill/>
          <a:miter lim="800000"/>
          <a:headEnd/>
          <a:tailEnd type="none" w="med" len="med"/>
        </a:ln>
        <a:effectLst/>
      </xdr:spPr>
    </xdr:pic>
    <xdr:clientData/>
  </xdr:twoCellAnchor>
  <xdr:twoCellAnchor editAs="oneCell">
    <xdr:from>
      <xdr:col>0</xdr:col>
      <xdr:colOff>0</xdr:colOff>
      <xdr:row>2</xdr:row>
      <xdr:rowOff>28575</xdr:rowOff>
    </xdr:from>
    <xdr:to>
      <xdr:col>0</xdr:col>
      <xdr:colOff>2057400</xdr:colOff>
      <xdr:row>2</xdr:row>
      <xdr:rowOff>1295400</xdr:rowOff>
    </xdr:to>
    <xdr:pic>
      <xdr:nvPicPr>
        <xdr:cNvPr id="154627"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0" y="2686050"/>
          <a:ext cx="2057400" cy="1266825"/>
        </a:xfrm>
        <a:prstGeom prst="rect">
          <a:avLst/>
        </a:prstGeom>
        <a:noFill/>
        <a:ln w="1">
          <a:noFill/>
          <a:miter lim="800000"/>
          <a:headEnd/>
          <a:tailEnd type="none" w="med" len="med"/>
        </a:ln>
        <a:effectLst/>
      </xdr:spPr>
    </xdr:pic>
    <xdr:clientData/>
  </xdr:twoCellAnchor>
  <xdr:twoCellAnchor editAs="oneCell">
    <xdr:from>
      <xdr:col>0</xdr:col>
      <xdr:colOff>0</xdr:colOff>
      <xdr:row>1</xdr:row>
      <xdr:rowOff>47625</xdr:rowOff>
    </xdr:from>
    <xdr:to>
      <xdr:col>0</xdr:col>
      <xdr:colOff>2057400</xdr:colOff>
      <xdr:row>1</xdr:row>
      <xdr:rowOff>1314450</xdr:rowOff>
    </xdr:to>
    <xdr:pic>
      <xdr:nvPicPr>
        <xdr:cNvPr id="154628"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0" y="1333500"/>
          <a:ext cx="2057400" cy="1266825"/>
        </a:xfrm>
        <a:prstGeom prst="rect">
          <a:avLst/>
        </a:prstGeom>
        <a:noFill/>
        <a:ln w="1">
          <a:noFill/>
          <a:miter lim="800000"/>
          <a:headEnd/>
          <a:tailEnd type="none" w="med" len="med"/>
        </a:ln>
        <a:effectLst/>
      </xdr:spPr>
    </xdr:pic>
    <xdr:clientData/>
  </xdr:twoCellAnchor>
</xdr:wsDr>
</file>

<file path=xl/drawings/drawing44.xml><?xml version="1.0" encoding="utf-8"?>
<xdr:wsDr xmlns:xdr="http://schemas.openxmlformats.org/drawingml/2006/spreadsheetDrawing" xmlns:a="http://schemas.openxmlformats.org/drawingml/2006/main">
  <xdr:oneCellAnchor>
    <xdr:from>
      <xdr:col>4</xdr:col>
      <xdr:colOff>1158875</xdr:colOff>
      <xdr:row>3</xdr:row>
      <xdr:rowOff>95250</xdr:rowOff>
    </xdr:from>
    <xdr:ext cx="184731" cy="264560"/>
    <xdr:sp macro="" textlink="">
      <xdr:nvSpPr>
        <xdr:cNvPr id="2" name="TextBox 1"/>
        <xdr:cNvSpPr txBox="1"/>
      </xdr:nvSpPr>
      <xdr:spPr>
        <a:xfrm>
          <a:off x="378777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twoCellAnchor editAs="oneCell">
    <xdr:from>
      <xdr:col>10</xdr:col>
      <xdr:colOff>695325</xdr:colOff>
      <xdr:row>2</xdr:row>
      <xdr:rowOff>12700</xdr:rowOff>
    </xdr:from>
    <xdr:to>
      <xdr:col>15</xdr:col>
      <xdr:colOff>223673</xdr:colOff>
      <xdr:row>6</xdr:row>
      <xdr:rowOff>33791</xdr:rowOff>
    </xdr:to>
    <xdr:pic>
      <xdr:nvPicPr>
        <xdr:cNvPr id="3" name="Picture 2" descr="http://www.york.ac.uk/che/staff/staff.ltd/CHE%20Logo%20High%20Resolution.jpg"/>
        <xdr:cNvPicPr>
          <a:picLocks noChangeAspect="1" noChangeArrowheads="1"/>
        </xdr:cNvPicPr>
      </xdr:nvPicPr>
      <xdr:blipFill>
        <a:blip xmlns:r="http://schemas.openxmlformats.org/officeDocument/2006/relationships" r:embed="rId1" cstate="print"/>
        <a:srcRect/>
        <a:stretch>
          <a:fillRect/>
        </a:stretch>
      </xdr:blipFill>
      <xdr:spPr bwMode="auto">
        <a:xfrm>
          <a:off x="8220075" y="393700"/>
          <a:ext cx="2547773" cy="1068841"/>
        </a:xfrm>
        <a:prstGeom prst="rect">
          <a:avLst/>
        </a:prstGeom>
        <a:noFill/>
      </xdr:spPr>
    </xdr:pic>
    <xdr:clientData/>
  </xdr:twoCellAnchor>
  <xdr:twoCellAnchor>
    <xdr:from>
      <xdr:col>11</xdr:col>
      <xdr:colOff>359315</xdr:colOff>
      <xdr:row>10</xdr:row>
      <xdr:rowOff>107155</xdr:rowOff>
    </xdr:from>
    <xdr:to>
      <xdr:col>15</xdr:col>
      <xdr:colOff>468314</xdr:colOff>
      <xdr:row>14</xdr:row>
      <xdr:rowOff>111125</xdr:rowOff>
    </xdr:to>
    <xdr:sp macro="" textlink="">
      <xdr:nvSpPr>
        <xdr:cNvPr id="4" name="TextBox 3"/>
        <xdr:cNvSpPr txBox="1"/>
      </xdr:nvSpPr>
      <xdr:spPr>
        <a:xfrm>
          <a:off x="8579390" y="1993105"/>
          <a:ext cx="2433099" cy="116602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wrap="square" rtlCol="0" anchor="t"/>
        <a:lstStyle/>
        <a:p>
          <a:pPr algn="l"/>
          <a:endParaRPr lang="en-GB" sz="900" b="0">
            <a:latin typeface="+mn-lt"/>
          </a:endParaRPr>
        </a:p>
        <a:p>
          <a:pPr algn="l"/>
          <a:r>
            <a:rPr lang="en-GB" sz="900" b="0">
              <a:latin typeface="+mn-lt"/>
            </a:rPr>
            <a:t>Series from 1998/99 - 2002/03 is not completely comparable to the series from 2003/04 onwards, as different data sources were used. In particular, PCT financial returns were not available up unto and including 2002/03.</a:t>
          </a:r>
        </a:p>
      </xdr:txBody>
    </xdr:sp>
    <xdr:clientData/>
  </xdr:twoCellAnchor>
  <xdr:twoCellAnchor editAs="oneCell">
    <xdr:from>
      <xdr:col>11</xdr:col>
      <xdr:colOff>247650</xdr:colOff>
      <xdr:row>9</xdr:row>
      <xdr:rowOff>190500</xdr:rowOff>
    </xdr:from>
    <xdr:to>
      <xdr:col>11</xdr:col>
      <xdr:colOff>520443</xdr:colOff>
      <xdr:row>10</xdr:row>
      <xdr:rowOff>232850</xdr:rowOff>
    </xdr:to>
    <xdr:pic>
      <xdr:nvPicPr>
        <xdr:cNvPr id="5" name="Picture 4"/>
        <xdr:cNvPicPr>
          <a:picLocks noChangeAspect="1" noChangeArrowheads="1"/>
        </xdr:cNvPicPr>
      </xdr:nvPicPr>
      <xdr:blipFill>
        <a:blip xmlns:r="http://schemas.openxmlformats.org/officeDocument/2006/relationships" r:embed="rId2" cstate="print">
          <a:duotone>
            <a:schemeClr val="accent5">
              <a:shade val="45000"/>
              <a:satMod val="135000"/>
            </a:schemeClr>
            <a:prstClr val="white"/>
          </a:duotone>
        </a:blip>
        <a:srcRect/>
        <a:stretch>
          <a:fillRect/>
        </a:stretch>
      </xdr:blipFill>
      <xdr:spPr bwMode="auto">
        <a:xfrm flipH="1">
          <a:off x="8467725" y="1847850"/>
          <a:ext cx="272793" cy="270950"/>
        </a:xfrm>
        <a:prstGeom prst="rect">
          <a:avLst/>
        </a:prstGeom>
        <a:noFill/>
      </xdr:spPr>
    </xdr:pic>
    <xdr:clientData/>
  </xdr:twoCellAnchor>
  <xdr:twoCellAnchor editAs="oneCell">
    <xdr:from>
      <xdr:col>8</xdr:col>
      <xdr:colOff>0</xdr:colOff>
      <xdr:row>11</xdr:row>
      <xdr:rowOff>0</xdr:rowOff>
    </xdr:from>
    <xdr:to>
      <xdr:col>9</xdr:col>
      <xdr:colOff>1685925</xdr:colOff>
      <xdr:row>11</xdr:row>
      <xdr:rowOff>257175</xdr:rowOff>
    </xdr:to>
    <xdr:pic>
      <xdr:nvPicPr>
        <xdr:cNvPr id="6"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5686425" y="2209800"/>
          <a:ext cx="2057400" cy="257175"/>
        </a:xfrm>
        <a:prstGeom prst="rect">
          <a:avLst/>
        </a:prstGeom>
        <a:noFill/>
        <a:ln w="1">
          <a:noFill/>
          <a:miter lim="800000"/>
          <a:headEnd/>
          <a:tailEnd type="none" w="med" len="med"/>
        </a:ln>
        <a:effectLst/>
      </xdr:spPr>
    </xdr:pic>
    <xdr:clientData/>
  </xdr:twoCellAnchor>
  <xdr:twoCellAnchor editAs="oneCell">
    <xdr:from>
      <xdr:col>8</xdr:col>
      <xdr:colOff>0</xdr:colOff>
      <xdr:row>13</xdr:row>
      <xdr:rowOff>0</xdr:rowOff>
    </xdr:from>
    <xdr:to>
      <xdr:col>9</xdr:col>
      <xdr:colOff>1685925</xdr:colOff>
      <xdr:row>13</xdr:row>
      <xdr:rowOff>257175</xdr:rowOff>
    </xdr:to>
    <xdr:pic>
      <xdr:nvPicPr>
        <xdr:cNvPr id="7" name="Picture 3"/>
        <xdr:cNvPicPr>
          <a:picLocks noChangeAspect="1" noChangeArrowheads="1"/>
        </xdr:cNvPicPr>
      </xdr:nvPicPr>
      <xdr:blipFill>
        <a:blip xmlns:r="http://schemas.openxmlformats.org/officeDocument/2006/relationships" r:embed="rId4" cstate="print"/>
        <a:srcRect/>
        <a:stretch>
          <a:fillRect/>
        </a:stretch>
      </xdr:blipFill>
      <xdr:spPr bwMode="auto">
        <a:xfrm>
          <a:off x="5686425" y="2724150"/>
          <a:ext cx="2057400" cy="257175"/>
        </a:xfrm>
        <a:prstGeom prst="rect">
          <a:avLst/>
        </a:prstGeom>
        <a:noFill/>
        <a:ln w="1">
          <a:noFill/>
          <a:miter lim="800000"/>
          <a:headEnd/>
          <a:tailEnd type="none" w="med" len="med"/>
        </a:ln>
        <a:effectLst/>
      </xdr:spPr>
    </xdr:pic>
    <xdr:clientData/>
  </xdr:twoCellAnchor>
  <mc:AlternateContent xmlns:mc="http://schemas.openxmlformats.org/markup-compatibility/2006">
    <mc:Choice xmlns:a14="http://schemas.microsoft.com/office/drawing/2010/main" Requires="a14">
      <xdr:twoCellAnchor editAs="oneCell">
        <xdr:from>
          <xdr:col>0</xdr:col>
          <xdr:colOff>571500</xdr:colOff>
          <xdr:row>14</xdr:row>
          <xdr:rowOff>180975</xdr:rowOff>
        </xdr:from>
        <xdr:to>
          <xdr:col>1</xdr:col>
          <xdr:colOff>1009650</xdr:colOff>
          <xdr:row>15</xdr:row>
          <xdr:rowOff>114300</xdr:rowOff>
        </xdr:to>
        <xdr:sp macro="" textlink="">
          <xdr:nvSpPr>
            <xdr:cNvPr id="242689" name="Check Box 1" hidden="1">
              <a:extLst>
                <a:ext uri="{63B3BB69-23CF-44E3-9099-C40C66FF867C}">
                  <a14:compatExt spid="_x0000_s2426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ea typeface="Segoe UI"/>
                  <a:cs typeface="Segoe UI"/>
                </a:rPr>
                <a:t>Show more data</a:t>
              </a:r>
            </a:p>
          </xdr:txBody>
        </xdr:sp>
        <xdr:clientData/>
      </xdr:twoCellAnchor>
    </mc:Choice>
    <mc:Fallback/>
  </mc:AlternateContent>
</xdr:wsDr>
</file>

<file path=xl/drawings/drawing45.xml><?xml version="1.0" encoding="utf-8"?>
<xdr:wsDr xmlns:xdr="http://schemas.openxmlformats.org/drawingml/2006/spreadsheetDrawing" xmlns:a="http://schemas.openxmlformats.org/drawingml/2006/main">
  <xdr:oneCellAnchor>
    <xdr:from>
      <xdr:col>4</xdr:col>
      <xdr:colOff>1158875</xdr:colOff>
      <xdr:row>3</xdr:row>
      <xdr:rowOff>95250</xdr:rowOff>
    </xdr:from>
    <xdr:ext cx="184731" cy="264560"/>
    <xdr:sp macro="" textlink="">
      <xdr:nvSpPr>
        <xdr:cNvPr id="2" name="TextBox 1"/>
        <xdr:cNvSpPr txBox="1"/>
      </xdr:nvSpPr>
      <xdr:spPr>
        <a:xfrm>
          <a:off x="4197350"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twoCellAnchor editAs="oneCell">
    <xdr:from>
      <xdr:col>10</xdr:col>
      <xdr:colOff>695325</xdr:colOff>
      <xdr:row>2</xdr:row>
      <xdr:rowOff>12700</xdr:rowOff>
    </xdr:from>
    <xdr:to>
      <xdr:col>15</xdr:col>
      <xdr:colOff>223673</xdr:colOff>
      <xdr:row>6</xdr:row>
      <xdr:rowOff>33791</xdr:rowOff>
    </xdr:to>
    <xdr:pic>
      <xdr:nvPicPr>
        <xdr:cNvPr id="3" name="Picture 2" descr="http://www.york.ac.uk/che/staff/staff.ltd/CHE%20Logo%20High%20Resolution.jpg"/>
        <xdr:cNvPicPr>
          <a:picLocks noChangeAspect="1" noChangeArrowheads="1"/>
        </xdr:cNvPicPr>
      </xdr:nvPicPr>
      <xdr:blipFill>
        <a:blip xmlns:r="http://schemas.openxmlformats.org/officeDocument/2006/relationships" r:embed="rId1" cstate="print"/>
        <a:srcRect/>
        <a:stretch>
          <a:fillRect/>
        </a:stretch>
      </xdr:blipFill>
      <xdr:spPr bwMode="auto">
        <a:xfrm>
          <a:off x="8105775" y="393700"/>
          <a:ext cx="2547772" cy="1068841"/>
        </a:xfrm>
        <a:prstGeom prst="rect">
          <a:avLst/>
        </a:prstGeom>
        <a:noFill/>
      </xdr:spPr>
    </xdr:pic>
    <xdr:clientData/>
  </xdr:twoCellAnchor>
  <xdr:twoCellAnchor>
    <xdr:from>
      <xdr:col>11</xdr:col>
      <xdr:colOff>359315</xdr:colOff>
      <xdr:row>8</xdr:row>
      <xdr:rowOff>107155</xdr:rowOff>
    </xdr:from>
    <xdr:to>
      <xdr:col>15</xdr:col>
      <xdr:colOff>468314</xdr:colOff>
      <xdr:row>12</xdr:row>
      <xdr:rowOff>111125</xdr:rowOff>
    </xdr:to>
    <xdr:sp macro="" textlink="">
      <xdr:nvSpPr>
        <xdr:cNvPr id="6" name="TextBox 5"/>
        <xdr:cNvSpPr txBox="1"/>
      </xdr:nvSpPr>
      <xdr:spPr>
        <a:xfrm>
          <a:off x="8560340" y="1993105"/>
          <a:ext cx="2433099" cy="116602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wrap="square" rtlCol="0" anchor="t"/>
        <a:lstStyle/>
        <a:p>
          <a:pPr algn="l"/>
          <a:endParaRPr lang="en-GB" sz="900" b="0">
            <a:latin typeface="+mn-lt"/>
          </a:endParaRPr>
        </a:p>
        <a:p>
          <a:pPr algn="l"/>
          <a:r>
            <a:rPr lang="en-GB" sz="900" b="0">
              <a:latin typeface="+mn-lt"/>
            </a:rPr>
            <a:t>Series from 1998/99 - 2002/03 is not completely comparable to the series from 2003/04 onwards, as different data sources were used. In particular, PCT financial returns were not available up unto and including 2002/03.</a:t>
          </a:r>
        </a:p>
      </xdr:txBody>
    </xdr:sp>
    <xdr:clientData/>
  </xdr:twoCellAnchor>
  <xdr:twoCellAnchor editAs="oneCell">
    <xdr:from>
      <xdr:col>11</xdr:col>
      <xdr:colOff>247650</xdr:colOff>
      <xdr:row>7</xdr:row>
      <xdr:rowOff>190500</xdr:rowOff>
    </xdr:from>
    <xdr:to>
      <xdr:col>11</xdr:col>
      <xdr:colOff>520443</xdr:colOff>
      <xdr:row>8</xdr:row>
      <xdr:rowOff>232850</xdr:rowOff>
    </xdr:to>
    <xdr:pic>
      <xdr:nvPicPr>
        <xdr:cNvPr id="7" name="Picture 6"/>
        <xdr:cNvPicPr>
          <a:picLocks noChangeAspect="1" noChangeArrowheads="1"/>
        </xdr:cNvPicPr>
      </xdr:nvPicPr>
      <xdr:blipFill>
        <a:blip xmlns:r="http://schemas.openxmlformats.org/officeDocument/2006/relationships" r:embed="rId2" cstate="print">
          <a:duotone>
            <a:schemeClr val="accent5">
              <a:shade val="45000"/>
              <a:satMod val="135000"/>
            </a:schemeClr>
            <a:prstClr val="white"/>
          </a:duotone>
        </a:blip>
        <a:srcRect/>
        <a:stretch>
          <a:fillRect/>
        </a:stretch>
      </xdr:blipFill>
      <xdr:spPr bwMode="auto">
        <a:xfrm flipH="1">
          <a:off x="8448675" y="1847850"/>
          <a:ext cx="272793" cy="270950"/>
        </a:xfrm>
        <a:prstGeom prst="rect">
          <a:avLst/>
        </a:prstGeom>
        <a:noFill/>
      </xdr:spPr>
    </xdr:pic>
    <xdr:clientData/>
  </xdr:twoCellAnchor>
  <xdr:twoCellAnchor editAs="oneCell">
    <xdr:from>
      <xdr:col>8</xdr:col>
      <xdr:colOff>0</xdr:colOff>
      <xdr:row>9</xdr:row>
      <xdr:rowOff>0</xdr:rowOff>
    </xdr:from>
    <xdr:to>
      <xdr:col>9</xdr:col>
      <xdr:colOff>1685925</xdr:colOff>
      <xdr:row>9</xdr:row>
      <xdr:rowOff>257175</xdr:rowOff>
    </xdr:to>
    <xdr:pic>
      <xdr:nvPicPr>
        <xdr:cNvPr id="76802"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5534025" y="2209800"/>
          <a:ext cx="2057400" cy="257175"/>
        </a:xfrm>
        <a:prstGeom prst="rect">
          <a:avLst/>
        </a:prstGeom>
        <a:noFill/>
        <a:ln w="1">
          <a:noFill/>
          <a:miter lim="800000"/>
          <a:headEnd/>
          <a:tailEnd type="none" w="med" len="med"/>
        </a:ln>
        <a:effectLst/>
      </xdr:spPr>
    </xdr:pic>
    <xdr:clientData/>
  </xdr:twoCellAnchor>
  <xdr:twoCellAnchor editAs="oneCell">
    <xdr:from>
      <xdr:col>8</xdr:col>
      <xdr:colOff>0</xdr:colOff>
      <xdr:row>11</xdr:row>
      <xdr:rowOff>0</xdr:rowOff>
    </xdr:from>
    <xdr:to>
      <xdr:col>9</xdr:col>
      <xdr:colOff>1685925</xdr:colOff>
      <xdr:row>11</xdr:row>
      <xdr:rowOff>257175</xdr:rowOff>
    </xdr:to>
    <xdr:pic>
      <xdr:nvPicPr>
        <xdr:cNvPr id="76803" name="Picture 3"/>
        <xdr:cNvPicPr>
          <a:picLocks noChangeAspect="1" noChangeArrowheads="1"/>
        </xdr:cNvPicPr>
      </xdr:nvPicPr>
      <xdr:blipFill>
        <a:blip xmlns:r="http://schemas.openxmlformats.org/officeDocument/2006/relationships" r:embed="rId4" cstate="print"/>
        <a:srcRect/>
        <a:stretch>
          <a:fillRect/>
        </a:stretch>
      </xdr:blipFill>
      <xdr:spPr bwMode="auto">
        <a:xfrm>
          <a:off x="5534025" y="2724150"/>
          <a:ext cx="2057400" cy="257175"/>
        </a:xfrm>
        <a:prstGeom prst="rect">
          <a:avLst/>
        </a:prstGeom>
        <a:noFill/>
        <a:ln w="1">
          <a:noFill/>
          <a:miter lim="800000"/>
          <a:headEnd/>
          <a:tailEnd type="none" w="med" len="med"/>
        </a:ln>
        <a:effectLst/>
      </xdr:spPr>
    </xdr:pic>
    <xdr:clientData/>
  </xdr:twoCellAnchor>
  <mc:AlternateContent xmlns:mc="http://schemas.openxmlformats.org/markup-compatibility/2006">
    <mc:Choice xmlns:a14="http://schemas.microsoft.com/office/drawing/2010/main" Requires="a14">
      <xdr:twoCellAnchor editAs="oneCell">
        <xdr:from>
          <xdr:col>0</xdr:col>
          <xdr:colOff>571500</xdr:colOff>
          <xdr:row>12</xdr:row>
          <xdr:rowOff>180975</xdr:rowOff>
        </xdr:from>
        <xdr:to>
          <xdr:col>1</xdr:col>
          <xdr:colOff>1009650</xdr:colOff>
          <xdr:row>13</xdr:row>
          <xdr:rowOff>114300</xdr:rowOff>
        </xdr:to>
        <xdr:sp macro="" textlink="">
          <xdr:nvSpPr>
            <xdr:cNvPr id="76801" name="Check Box 1" hidden="1">
              <a:extLst>
                <a:ext uri="{63B3BB69-23CF-44E3-9099-C40C66FF867C}">
                  <a14:compatExt spid="_x0000_s768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ea typeface="Segoe UI"/>
                  <a:cs typeface="Segoe UI"/>
                </a:rPr>
                <a:t>Show more data</a:t>
              </a:r>
            </a:p>
          </xdr:txBody>
        </xdr:sp>
        <xdr:clientData/>
      </xdr:twoCellAnchor>
    </mc:Choice>
    <mc:Fallback/>
  </mc:AlternateContent>
</xdr:wsDr>
</file>

<file path=xl/drawings/drawing46.xml><?xml version="1.0" encoding="utf-8"?>
<xdr:wsDr xmlns:xdr="http://schemas.openxmlformats.org/drawingml/2006/spreadsheetDrawing" xmlns:a="http://schemas.openxmlformats.org/drawingml/2006/main">
  <xdr:oneCellAnchor>
    <xdr:from>
      <xdr:col>4</xdr:col>
      <xdr:colOff>1158875</xdr:colOff>
      <xdr:row>3</xdr:row>
      <xdr:rowOff>95250</xdr:rowOff>
    </xdr:from>
    <xdr:ext cx="184731" cy="264560"/>
    <xdr:sp macro="" textlink="">
      <xdr:nvSpPr>
        <xdr:cNvPr id="2" name="TextBox 1"/>
        <xdr:cNvSpPr txBox="1"/>
      </xdr:nvSpPr>
      <xdr:spPr>
        <a:xfrm>
          <a:off x="515937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twoCellAnchor editAs="oneCell">
    <xdr:from>
      <xdr:col>10</xdr:col>
      <xdr:colOff>190500</xdr:colOff>
      <xdr:row>1</xdr:row>
      <xdr:rowOff>174625</xdr:rowOff>
    </xdr:from>
    <xdr:to>
      <xdr:col>12</xdr:col>
      <xdr:colOff>109372</xdr:colOff>
      <xdr:row>6</xdr:row>
      <xdr:rowOff>5216</xdr:rowOff>
    </xdr:to>
    <xdr:pic>
      <xdr:nvPicPr>
        <xdr:cNvPr id="3" name="Picture 2" descr="http://www.york.ac.uk/che/staff/staff.ltd/CHE%20Logo%20High%20Resolution.jpg"/>
        <xdr:cNvPicPr>
          <a:picLocks noChangeAspect="1" noChangeArrowheads="1"/>
        </xdr:cNvPicPr>
      </xdr:nvPicPr>
      <xdr:blipFill>
        <a:blip xmlns:r="http://schemas.openxmlformats.org/officeDocument/2006/relationships" r:embed="rId1" cstate="print"/>
        <a:srcRect/>
        <a:stretch>
          <a:fillRect/>
        </a:stretch>
      </xdr:blipFill>
      <xdr:spPr bwMode="auto">
        <a:xfrm>
          <a:off x="9067800" y="365125"/>
          <a:ext cx="2547772" cy="1068841"/>
        </a:xfrm>
        <a:prstGeom prst="rect">
          <a:avLst/>
        </a:prstGeom>
        <a:noFill/>
      </xdr:spPr>
    </xdr:pic>
    <xdr:clientData/>
  </xdr:twoCellAnchor>
  <xdr:twoCellAnchor>
    <xdr:from>
      <xdr:col>10</xdr:col>
      <xdr:colOff>942975</xdr:colOff>
      <xdr:row>8</xdr:row>
      <xdr:rowOff>162946</xdr:rowOff>
    </xdr:from>
    <xdr:to>
      <xdr:col>11</xdr:col>
      <xdr:colOff>285750</xdr:colOff>
      <xdr:row>14</xdr:row>
      <xdr:rowOff>66675</xdr:rowOff>
    </xdr:to>
    <xdr:sp macro="" textlink="">
      <xdr:nvSpPr>
        <xdr:cNvPr id="7" name="TextBox 6"/>
        <xdr:cNvSpPr txBox="1"/>
      </xdr:nvSpPr>
      <xdr:spPr>
        <a:xfrm>
          <a:off x="9820275" y="2048896"/>
          <a:ext cx="1390650" cy="1713479"/>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wrap="square" rtlCol="0" anchor="t"/>
        <a:lstStyle/>
        <a:p>
          <a:pPr algn="l"/>
          <a:r>
            <a:rPr lang="en-GB" sz="900" b="0">
              <a:latin typeface="+mn-lt"/>
            </a:rPr>
            <a:t>Series from 1998/99 - 2002/03 is</a:t>
          </a:r>
          <a:r>
            <a:rPr lang="en-GB" sz="900" b="0" baseline="0">
              <a:latin typeface="+mn-lt"/>
            </a:rPr>
            <a:t> </a:t>
          </a:r>
          <a:r>
            <a:rPr lang="en-GB" sz="900" b="0">
              <a:latin typeface="+mn-lt"/>
            </a:rPr>
            <a:t>not completely comparable to the series  from 2003/04 onwards, as different data sources were used. In particular, PCTs financial  returns were not available up unto and including 2002/03.</a:t>
          </a:r>
        </a:p>
      </xdr:txBody>
    </xdr:sp>
    <xdr:clientData/>
  </xdr:twoCellAnchor>
  <xdr:twoCellAnchor editAs="oneCell">
    <xdr:from>
      <xdr:col>10</xdr:col>
      <xdr:colOff>801120</xdr:colOff>
      <xdr:row>8</xdr:row>
      <xdr:rowOff>26534</xdr:rowOff>
    </xdr:from>
    <xdr:to>
      <xdr:col>10</xdr:col>
      <xdr:colOff>1076635</xdr:colOff>
      <xdr:row>8</xdr:row>
      <xdr:rowOff>298165</xdr:rowOff>
    </xdr:to>
    <xdr:pic>
      <xdr:nvPicPr>
        <xdr:cNvPr id="8" name="Picture 7"/>
        <xdr:cNvPicPr>
          <a:picLocks noChangeAspect="1" noChangeArrowheads="1"/>
        </xdr:cNvPicPr>
      </xdr:nvPicPr>
      <xdr:blipFill>
        <a:blip xmlns:r="http://schemas.openxmlformats.org/officeDocument/2006/relationships" r:embed="rId2" cstate="print">
          <a:duotone>
            <a:schemeClr val="accent5">
              <a:shade val="45000"/>
              <a:satMod val="135000"/>
            </a:schemeClr>
            <a:prstClr val="white"/>
          </a:duotone>
        </a:blip>
        <a:srcRect/>
        <a:stretch>
          <a:fillRect/>
        </a:stretch>
      </xdr:blipFill>
      <xdr:spPr bwMode="auto">
        <a:xfrm flipH="1">
          <a:off x="9678420" y="1912484"/>
          <a:ext cx="275515" cy="271631"/>
        </a:xfrm>
        <a:prstGeom prst="rect">
          <a:avLst/>
        </a:prstGeom>
        <a:noFill/>
      </xdr:spPr>
    </xdr:pic>
    <xdr:clientData/>
  </xdr:twoCellAnchor>
  <xdr:twoCellAnchor editAs="oneCell">
    <xdr:from>
      <xdr:col>8</xdr:col>
      <xdr:colOff>76200</xdr:colOff>
      <xdr:row>9</xdr:row>
      <xdr:rowOff>38100</xdr:rowOff>
    </xdr:from>
    <xdr:to>
      <xdr:col>8</xdr:col>
      <xdr:colOff>1971675</xdr:colOff>
      <xdr:row>12</xdr:row>
      <xdr:rowOff>262246</xdr:rowOff>
    </xdr:to>
    <xdr:pic>
      <xdr:nvPicPr>
        <xdr:cNvPr id="44044" name="Picture 12"/>
        <xdr:cNvPicPr>
          <a:picLocks noChangeAspect="1" noChangeArrowheads="1"/>
        </xdr:cNvPicPr>
      </xdr:nvPicPr>
      <xdr:blipFill>
        <a:blip xmlns:r="http://schemas.openxmlformats.org/officeDocument/2006/relationships" r:embed="rId3" cstate="print"/>
        <a:srcRect/>
        <a:stretch>
          <a:fillRect/>
        </a:stretch>
      </xdr:blipFill>
      <xdr:spPr bwMode="auto">
        <a:xfrm>
          <a:off x="6648450" y="2247900"/>
          <a:ext cx="1895475" cy="1167121"/>
        </a:xfrm>
        <a:prstGeom prst="rect">
          <a:avLst/>
        </a:prstGeom>
        <a:noFill/>
        <a:ln w="1">
          <a:noFill/>
          <a:miter lim="800000"/>
          <a:headEnd/>
          <a:tailEnd type="none" w="med" len="med"/>
        </a:ln>
        <a:effectLst/>
      </xdr:spPr>
    </xdr:pic>
    <xdr:clientData/>
  </xdr:twoCellAnchor>
  <mc:AlternateContent xmlns:mc="http://schemas.openxmlformats.org/markup-compatibility/2006">
    <mc:Choice xmlns:a14="http://schemas.microsoft.com/office/drawing/2010/main" Requires="a14">
      <xdr:twoCellAnchor editAs="oneCell">
        <xdr:from>
          <xdr:col>1</xdr:col>
          <xdr:colOff>0</xdr:colOff>
          <xdr:row>29</xdr:row>
          <xdr:rowOff>9525</xdr:rowOff>
        </xdr:from>
        <xdr:to>
          <xdr:col>2</xdr:col>
          <xdr:colOff>504825</xdr:colOff>
          <xdr:row>30</xdr:row>
          <xdr:rowOff>38100</xdr:rowOff>
        </xdr:to>
        <xdr:sp macro="" textlink="">
          <xdr:nvSpPr>
            <xdr:cNvPr id="44039" name="Check Box 7" hidden="1">
              <a:extLst>
                <a:ext uri="{63B3BB69-23CF-44E3-9099-C40C66FF867C}">
                  <a14:compatExt spid="_x0000_s440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ea typeface="Segoe UI"/>
                  <a:cs typeface="Segoe UI"/>
                </a:rPr>
                <a:t>Show more data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20</xdr:row>
          <xdr:rowOff>104772</xdr:rowOff>
        </xdr:from>
        <xdr:to>
          <xdr:col>9</xdr:col>
          <xdr:colOff>76200</xdr:colOff>
          <xdr:row>28</xdr:row>
          <xdr:rowOff>190497</xdr:rowOff>
        </xdr:to>
        <xdr:pic>
          <xdr:nvPicPr>
            <xdr:cNvPr id="44061" name="Picture 13"/>
            <xdr:cNvPicPr>
              <a:picLocks noChangeAspect="1" noChangeArrowheads="1"/>
              <a:extLst>
                <a:ext uri="{84589F7E-364E-4C9E-8A38-B11213B215E9}">
                  <a14:cameraTool cellRange="intermediates" spid="_x0000_s44276"/>
                </a:ext>
              </a:extLst>
            </xdr:cNvPicPr>
          </xdr:nvPicPr>
          <xdr:blipFill>
            <a:blip xmlns:r="http://schemas.openxmlformats.org/officeDocument/2006/relationships" r:embed="rId4"/>
            <a:srcRect l="1726" t="1758" r="1726" b="1758"/>
            <a:stretch>
              <a:fillRect/>
            </a:stretch>
          </xdr:blipFill>
          <xdr:spPr bwMode="auto">
            <a:xfrm>
              <a:off x="6296025" y="5153022"/>
              <a:ext cx="2076450" cy="2600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2057400</xdr:colOff>
      <xdr:row>0</xdr:row>
      <xdr:rowOff>1990725</xdr:rowOff>
    </xdr:to>
    <xdr:pic>
      <xdr:nvPicPr>
        <xdr:cNvPr id="7987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057400" cy="1990725"/>
        </a:xfrm>
        <a:prstGeom prst="rect">
          <a:avLst/>
        </a:prstGeom>
        <a:noFill/>
        <a:ln w="1">
          <a:noFill/>
          <a:miter lim="800000"/>
          <a:headEnd/>
          <a:tailEnd type="none" w="med" len="med"/>
        </a:ln>
        <a:effectLst/>
      </xdr:spPr>
    </xdr:pic>
    <xdr:clientData/>
  </xdr:twoCellAnchor>
  <xdr:twoCellAnchor editAs="oneCell">
    <xdr:from>
      <xdr:col>0</xdr:col>
      <xdr:colOff>0</xdr:colOff>
      <xdr:row>1</xdr:row>
      <xdr:rowOff>19050</xdr:rowOff>
    </xdr:from>
    <xdr:to>
      <xdr:col>0</xdr:col>
      <xdr:colOff>2057400</xdr:colOff>
      <xdr:row>1</xdr:row>
      <xdr:rowOff>2543175</xdr:rowOff>
    </xdr:to>
    <xdr:pic>
      <xdr:nvPicPr>
        <xdr:cNvPr id="9" name="Picture 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038350"/>
          <a:ext cx="2057400" cy="2524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17</xdr:col>
      <xdr:colOff>609599</xdr:colOff>
      <xdr:row>7</xdr:row>
      <xdr:rowOff>104775</xdr:rowOff>
    </xdr:from>
    <xdr:to>
      <xdr:col>24</xdr:col>
      <xdr:colOff>352424</xdr:colOff>
      <xdr:row>22</xdr:row>
      <xdr:rowOff>138112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95249</xdr:colOff>
      <xdr:row>7</xdr:row>
      <xdr:rowOff>109537</xdr:rowOff>
    </xdr:from>
    <xdr:to>
      <xdr:col>34</xdr:col>
      <xdr:colOff>85724</xdr:colOff>
      <xdr:row>22</xdr:row>
      <xdr:rowOff>133350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47625</xdr:colOff>
      <xdr:row>23</xdr:row>
      <xdr:rowOff>95250</xdr:rowOff>
    </xdr:from>
    <xdr:to>
      <xdr:col>36</xdr:col>
      <xdr:colOff>95250</xdr:colOff>
      <xdr:row>39</xdr:row>
      <xdr:rowOff>180974</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609600</xdr:colOff>
      <xdr:row>23</xdr:row>
      <xdr:rowOff>104775</xdr:rowOff>
    </xdr:from>
    <xdr:to>
      <xdr:col>25</xdr:col>
      <xdr:colOff>419100</xdr:colOff>
      <xdr:row>39</xdr:row>
      <xdr:rowOff>161925</xdr:rowOff>
    </xdr:to>
    <xdr:graphicFrame macro="">
      <xdr:nvGraphicFramePr>
        <xdr:cNvPr id="5"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4943475</xdr:colOff>
      <xdr:row>0</xdr:row>
      <xdr:rowOff>2571750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19050</xdr:rowOff>
    </xdr:from>
    <xdr:to>
      <xdr:col>1</xdr:col>
      <xdr:colOff>0</xdr:colOff>
      <xdr:row>2</xdr:row>
      <xdr:rowOff>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xdr:row>
      <xdr:rowOff>9525</xdr:rowOff>
    </xdr:from>
    <xdr:to>
      <xdr:col>0</xdr:col>
      <xdr:colOff>4943475</xdr:colOff>
      <xdr:row>3</xdr:row>
      <xdr:rowOff>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0</xdr:row>
      <xdr:rowOff>0</xdr:rowOff>
    </xdr:from>
    <xdr:to>
      <xdr:col>3</xdr:col>
      <xdr:colOff>723899</xdr:colOff>
      <xdr:row>0</xdr:row>
      <xdr:rowOff>2571750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1226560</xdr:colOff>
      <xdr:row>1</xdr:row>
      <xdr:rowOff>174626</xdr:rowOff>
    </xdr:from>
    <xdr:to>
      <xdr:col>16</xdr:col>
      <xdr:colOff>285750</xdr:colOff>
      <xdr:row>7</xdr:row>
      <xdr:rowOff>142875</xdr:rowOff>
    </xdr:to>
    <xdr:pic>
      <xdr:nvPicPr>
        <xdr:cNvPr id="2" name="Picture 1" descr="http://www.york.ac.uk/che/staff/staff.ltd/CHE%20Logo%20High%20Resolution.jpg"/>
        <xdr:cNvPicPr>
          <a:picLocks noChangeAspect="1" noChangeArrowheads="1"/>
        </xdr:cNvPicPr>
      </xdr:nvPicPr>
      <xdr:blipFill>
        <a:blip xmlns:r="http://schemas.openxmlformats.org/officeDocument/2006/relationships" r:embed="rId1" cstate="print"/>
        <a:srcRect/>
        <a:stretch>
          <a:fillRect/>
        </a:stretch>
      </xdr:blipFill>
      <xdr:spPr bwMode="auto">
        <a:xfrm>
          <a:off x="13831310" y="365126"/>
          <a:ext cx="5853690" cy="2428874"/>
        </a:xfrm>
        <a:prstGeom prst="rect">
          <a:avLst/>
        </a:prstGeom>
        <a:noFill/>
      </xdr:spPr>
    </xdr:pic>
    <xdr:clientData/>
  </xdr:twoCellAnchor>
  <xdr:oneCellAnchor>
    <xdr:from>
      <xdr:col>6</xdr:col>
      <xdr:colOff>1158875</xdr:colOff>
      <xdr:row>3</xdr:row>
      <xdr:rowOff>95250</xdr:rowOff>
    </xdr:from>
    <xdr:ext cx="184731" cy="264560"/>
    <xdr:sp macro="" textlink="">
      <xdr:nvSpPr>
        <xdr:cNvPr id="3" name="TextBox 2"/>
        <xdr:cNvSpPr txBox="1"/>
      </xdr:nvSpPr>
      <xdr:spPr>
        <a:xfrm>
          <a:off x="9461500"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wsDr>
</file>

<file path=xl/drawings/drawing50.xml><?xml version="1.0" encoding="utf-8"?>
<xdr:wsDr xmlns:xdr="http://schemas.openxmlformats.org/drawingml/2006/spreadsheetDrawing" xmlns:a="http://schemas.openxmlformats.org/drawingml/2006/main">
  <xdr:twoCellAnchor>
    <xdr:from>
      <xdr:col>17</xdr:col>
      <xdr:colOff>609599</xdr:colOff>
      <xdr:row>7</xdr:row>
      <xdr:rowOff>104775</xdr:rowOff>
    </xdr:from>
    <xdr:to>
      <xdr:col>24</xdr:col>
      <xdr:colOff>352424</xdr:colOff>
      <xdr:row>29</xdr:row>
      <xdr:rowOff>138112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95249</xdr:colOff>
      <xdr:row>7</xdr:row>
      <xdr:rowOff>109537</xdr:rowOff>
    </xdr:from>
    <xdr:to>
      <xdr:col>34</xdr:col>
      <xdr:colOff>85724</xdr:colOff>
      <xdr:row>28</xdr:row>
      <xdr:rowOff>133350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47625</xdr:colOff>
      <xdr:row>29</xdr:row>
      <xdr:rowOff>95250</xdr:rowOff>
    </xdr:from>
    <xdr:to>
      <xdr:col>36</xdr:col>
      <xdr:colOff>95250</xdr:colOff>
      <xdr:row>45</xdr:row>
      <xdr:rowOff>180974</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609600</xdr:colOff>
      <xdr:row>30</xdr:row>
      <xdr:rowOff>104775</xdr:rowOff>
    </xdr:from>
    <xdr:to>
      <xdr:col>25</xdr:col>
      <xdr:colOff>419100</xdr:colOff>
      <xdr:row>46</xdr:row>
      <xdr:rowOff>161925</xdr:rowOff>
    </xdr:to>
    <xdr:graphicFrame macro="">
      <xdr:nvGraphicFramePr>
        <xdr:cNvPr id="5"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1.xml><?xml version="1.0" encoding="utf-8"?>
<xdr:wsDr xmlns:xdr="http://schemas.openxmlformats.org/drawingml/2006/spreadsheetDrawing" xmlns:a="http://schemas.openxmlformats.org/drawingml/2006/main">
  <xdr:oneCellAnchor>
    <xdr:from>
      <xdr:col>5</xdr:col>
      <xdr:colOff>1158875</xdr:colOff>
      <xdr:row>3</xdr:row>
      <xdr:rowOff>95250</xdr:rowOff>
    </xdr:from>
    <xdr:ext cx="184731" cy="264560"/>
    <xdr:sp macro="" textlink="">
      <xdr:nvSpPr>
        <xdr:cNvPr id="3" name="TextBox 2"/>
        <xdr:cNvSpPr txBox="1"/>
      </xdr:nvSpPr>
      <xdr:spPr>
        <a:xfrm>
          <a:off x="717867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oneCellAnchor>
    <xdr:from>
      <xdr:col>5</xdr:col>
      <xdr:colOff>0</xdr:colOff>
      <xdr:row>20</xdr:row>
      <xdr:rowOff>95250</xdr:rowOff>
    </xdr:from>
    <xdr:ext cx="184731" cy="264560"/>
    <xdr:sp macro="" textlink="">
      <xdr:nvSpPr>
        <xdr:cNvPr id="10" name="TextBox 9"/>
        <xdr:cNvSpPr txBox="1"/>
      </xdr:nvSpPr>
      <xdr:spPr>
        <a:xfrm>
          <a:off x="7239000"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twoCellAnchor editAs="oneCell">
    <xdr:from>
      <xdr:col>9</xdr:col>
      <xdr:colOff>1019175</xdr:colOff>
      <xdr:row>1</xdr:row>
      <xdr:rowOff>123825</xdr:rowOff>
    </xdr:from>
    <xdr:to>
      <xdr:col>11</xdr:col>
      <xdr:colOff>661822</xdr:colOff>
      <xdr:row>5</xdr:row>
      <xdr:rowOff>219075</xdr:rowOff>
    </xdr:to>
    <xdr:pic>
      <xdr:nvPicPr>
        <xdr:cNvPr id="11" name="Picture 10" descr="http://www.york.ac.uk/che/staff/staff.ltd/CHE%20Logo%20High%20Resolution.jpg"/>
        <xdr:cNvPicPr>
          <a:picLocks noChangeAspect="1" noChangeArrowheads="1"/>
        </xdr:cNvPicPr>
      </xdr:nvPicPr>
      <xdr:blipFill>
        <a:blip xmlns:r="http://schemas.openxmlformats.org/officeDocument/2006/relationships" r:embed="rId1" cstate="print"/>
        <a:srcRect/>
        <a:stretch>
          <a:fillRect/>
        </a:stretch>
      </xdr:blipFill>
      <xdr:spPr bwMode="auto">
        <a:xfrm>
          <a:off x="8648700" y="314325"/>
          <a:ext cx="2557297" cy="1066800"/>
        </a:xfrm>
        <a:prstGeom prst="rect">
          <a:avLst/>
        </a:prstGeom>
        <a:noFill/>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10</xdr:col>
      <xdr:colOff>512185</xdr:colOff>
      <xdr:row>1</xdr:row>
      <xdr:rowOff>142876</xdr:rowOff>
    </xdr:from>
    <xdr:to>
      <xdr:col>12</xdr:col>
      <xdr:colOff>1555750</xdr:colOff>
      <xdr:row>8</xdr:row>
      <xdr:rowOff>15875</xdr:rowOff>
    </xdr:to>
    <xdr:pic>
      <xdr:nvPicPr>
        <xdr:cNvPr id="2" name="Picture 1" descr="http://www.york.ac.uk/che/staff/staff.ltd/CHE%20Logo%20High%20Resolution.jpg"/>
        <xdr:cNvPicPr>
          <a:picLocks noChangeAspect="1" noChangeArrowheads="1"/>
        </xdr:cNvPicPr>
      </xdr:nvPicPr>
      <xdr:blipFill>
        <a:blip xmlns:r="http://schemas.openxmlformats.org/officeDocument/2006/relationships" r:embed="rId1" cstate="print"/>
        <a:srcRect/>
        <a:stretch>
          <a:fillRect/>
        </a:stretch>
      </xdr:blipFill>
      <xdr:spPr bwMode="auto">
        <a:xfrm>
          <a:off x="15056860" y="333376"/>
          <a:ext cx="5844165" cy="2435224"/>
        </a:xfrm>
        <a:prstGeom prst="rect">
          <a:avLst/>
        </a:prstGeom>
        <a:noFill/>
      </xdr:spPr>
    </xdr:pic>
    <xdr:clientData/>
  </xdr:twoCellAnchor>
  <xdr:oneCellAnchor>
    <xdr:from>
      <xdr:col>6</xdr:col>
      <xdr:colOff>1158875</xdr:colOff>
      <xdr:row>3</xdr:row>
      <xdr:rowOff>95250</xdr:rowOff>
    </xdr:from>
    <xdr:ext cx="184731" cy="264560"/>
    <xdr:sp macro="" textlink="">
      <xdr:nvSpPr>
        <xdr:cNvPr id="3" name="TextBox 2"/>
        <xdr:cNvSpPr txBox="1"/>
      </xdr:nvSpPr>
      <xdr:spPr>
        <a:xfrm>
          <a:off x="729297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1</xdr:row>
      <xdr:rowOff>28575</xdr:rowOff>
    </xdr:from>
    <xdr:to>
      <xdr:col>0</xdr:col>
      <xdr:colOff>1828800</xdr:colOff>
      <xdr:row>2</xdr:row>
      <xdr:rowOff>9525</xdr:rowOff>
    </xdr:to>
    <xdr:pic>
      <xdr:nvPicPr>
        <xdr:cNvPr id="73735" name="Picture 7"/>
        <xdr:cNvPicPr>
          <a:picLocks noChangeAspect="1" noChangeArrowheads="1"/>
        </xdr:cNvPicPr>
      </xdr:nvPicPr>
      <xdr:blipFill>
        <a:blip xmlns:r="http://schemas.openxmlformats.org/officeDocument/2006/relationships" r:embed="rId1" cstate="print"/>
        <a:srcRect/>
        <a:stretch>
          <a:fillRect/>
        </a:stretch>
      </xdr:blipFill>
      <xdr:spPr bwMode="auto">
        <a:xfrm>
          <a:off x="0" y="1905000"/>
          <a:ext cx="1828800" cy="1847850"/>
        </a:xfrm>
        <a:prstGeom prst="rect">
          <a:avLst/>
        </a:prstGeom>
        <a:noFill/>
      </xdr:spPr>
    </xdr:pic>
    <xdr:clientData/>
  </xdr:twoCellAnchor>
  <xdr:twoCellAnchor editAs="oneCell">
    <xdr:from>
      <xdr:col>0</xdr:col>
      <xdr:colOff>0</xdr:colOff>
      <xdr:row>0</xdr:row>
      <xdr:rowOff>0</xdr:rowOff>
    </xdr:from>
    <xdr:to>
      <xdr:col>0</xdr:col>
      <xdr:colOff>1828800</xdr:colOff>
      <xdr:row>0</xdr:row>
      <xdr:rowOff>1847850</xdr:rowOff>
    </xdr:to>
    <xdr:pic>
      <xdr:nvPicPr>
        <xdr:cNvPr id="73736"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1828800" cy="1847850"/>
        </a:xfrm>
        <a:prstGeom prst="rect">
          <a:avLst/>
        </a:prstGeom>
        <a:noFill/>
      </xdr:spPr>
    </xdr:pic>
    <xdr:clientData/>
  </xdr:twoCellAnchor>
</xdr:wsDr>
</file>

<file path=xl/drawings/drawing54.xml><?xml version="1.0" encoding="utf-8"?>
<xdr:wsDr xmlns:xdr="http://schemas.openxmlformats.org/drawingml/2006/spreadsheetDrawing" xmlns:a="http://schemas.openxmlformats.org/drawingml/2006/main">
  <xdr:twoCellAnchor>
    <xdr:from>
      <xdr:col>0</xdr:col>
      <xdr:colOff>1</xdr:colOff>
      <xdr:row>0</xdr:row>
      <xdr:rowOff>4761</xdr:rowOff>
    </xdr:from>
    <xdr:to>
      <xdr:col>0</xdr:col>
      <xdr:colOff>4857751</xdr:colOff>
      <xdr:row>0</xdr:row>
      <xdr:rowOff>2981325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oneCellAnchor>
    <xdr:from>
      <xdr:col>4</xdr:col>
      <xdr:colOff>1158875</xdr:colOff>
      <xdr:row>3</xdr:row>
      <xdr:rowOff>95250</xdr:rowOff>
    </xdr:from>
    <xdr:ext cx="184731" cy="264560"/>
    <xdr:sp macro="" textlink="">
      <xdr:nvSpPr>
        <xdr:cNvPr id="2" name="TextBox 1"/>
        <xdr:cNvSpPr txBox="1"/>
      </xdr:nvSpPr>
      <xdr:spPr>
        <a:xfrm>
          <a:off x="496887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twoCellAnchor editAs="oneCell">
    <xdr:from>
      <xdr:col>12</xdr:col>
      <xdr:colOff>273050</xdr:colOff>
      <xdr:row>1</xdr:row>
      <xdr:rowOff>50800</xdr:rowOff>
    </xdr:from>
    <xdr:to>
      <xdr:col>13</xdr:col>
      <xdr:colOff>1747672</xdr:colOff>
      <xdr:row>5</xdr:row>
      <xdr:rowOff>152400</xdr:rowOff>
    </xdr:to>
    <xdr:pic>
      <xdr:nvPicPr>
        <xdr:cNvPr id="3" name="Picture 2" descr="http://www.york.ac.uk/che/staff/staff.ltd/CHE%20Logo%20High%20Resolution.jpg"/>
        <xdr:cNvPicPr>
          <a:picLocks noChangeAspect="1" noChangeArrowheads="1"/>
        </xdr:cNvPicPr>
      </xdr:nvPicPr>
      <xdr:blipFill>
        <a:blip xmlns:r="http://schemas.openxmlformats.org/officeDocument/2006/relationships" r:embed="rId1" cstate="print"/>
        <a:srcRect/>
        <a:stretch>
          <a:fillRect/>
        </a:stretch>
      </xdr:blipFill>
      <xdr:spPr bwMode="auto">
        <a:xfrm>
          <a:off x="8274050" y="241300"/>
          <a:ext cx="2560472" cy="1054100"/>
        </a:xfrm>
        <a:prstGeom prst="rect">
          <a:avLst/>
        </a:prstGeom>
        <a:noFill/>
      </xdr:spPr>
    </xdr:pic>
    <xdr:clientData/>
  </xdr:twoCellAnchor>
</xdr:wsDr>
</file>

<file path=xl/drawings/drawing56.xml><?xml version="1.0" encoding="utf-8"?>
<xdr:wsDr xmlns:xdr="http://schemas.openxmlformats.org/drawingml/2006/spreadsheetDrawing" xmlns:a="http://schemas.openxmlformats.org/drawingml/2006/main">
  <xdr:twoCellAnchor>
    <xdr:from>
      <xdr:col>11</xdr:col>
      <xdr:colOff>95250</xdr:colOff>
      <xdr:row>23</xdr:row>
      <xdr:rowOff>95250</xdr:rowOff>
    </xdr:from>
    <xdr:to>
      <xdr:col>18</xdr:col>
      <xdr:colOff>400050</xdr:colOff>
      <xdr:row>37</xdr:row>
      <xdr:rowOff>171450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590550</xdr:colOff>
      <xdr:row>39</xdr:row>
      <xdr:rowOff>152400</xdr:rowOff>
    </xdr:from>
    <xdr:to>
      <xdr:col>19</xdr:col>
      <xdr:colOff>285750</xdr:colOff>
      <xdr:row>54</xdr:row>
      <xdr:rowOff>38100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editAs="oneCell">
    <xdr:from>
      <xdr:col>9</xdr:col>
      <xdr:colOff>2131435</xdr:colOff>
      <xdr:row>3</xdr:row>
      <xdr:rowOff>95251</xdr:rowOff>
    </xdr:from>
    <xdr:to>
      <xdr:col>12</xdr:col>
      <xdr:colOff>571500</xdr:colOff>
      <xdr:row>8</xdr:row>
      <xdr:rowOff>142875</xdr:rowOff>
    </xdr:to>
    <xdr:pic>
      <xdr:nvPicPr>
        <xdr:cNvPr id="2" name="Picture 1" descr="http://www.york.ac.uk/che/staff/staff.ltd/CHE%20Logo%20High%20Resolution.jpg"/>
        <xdr:cNvPicPr>
          <a:picLocks noChangeAspect="1" noChangeArrowheads="1"/>
        </xdr:cNvPicPr>
      </xdr:nvPicPr>
      <xdr:blipFill>
        <a:blip xmlns:r="http://schemas.openxmlformats.org/officeDocument/2006/relationships" r:embed="rId1" cstate="print"/>
        <a:srcRect/>
        <a:stretch>
          <a:fillRect/>
        </a:stretch>
      </xdr:blipFill>
      <xdr:spPr bwMode="auto">
        <a:xfrm>
          <a:off x="13313785" y="666751"/>
          <a:ext cx="5850515" cy="2428874"/>
        </a:xfrm>
        <a:prstGeom prst="rect">
          <a:avLst/>
        </a:prstGeom>
        <a:noFill/>
      </xdr:spPr>
    </xdr:pic>
    <xdr:clientData/>
  </xdr:twoCellAnchor>
  <xdr:oneCellAnchor>
    <xdr:from>
      <xdr:col>6</xdr:col>
      <xdr:colOff>1158875</xdr:colOff>
      <xdr:row>3</xdr:row>
      <xdr:rowOff>95250</xdr:rowOff>
    </xdr:from>
    <xdr:ext cx="184731" cy="264560"/>
    <xdr:sp macro="" textlink="">
      <xdr:nvSpPr>
        <xdr:cNvPr id="3" name="TextBox 2"/>
        <xdr:cNvSpPr txBox="1"/>
      </xdr:nvSpPr>
      <xdr:spPr>
        <a:xfrm>
          <a:off x="725487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wsDr>
</file>

<file path=xl/drawings/drawing58.xml><?xml version="1.0" encoding="utf-8"?>
<xdr:wsDr xmlns:xdr="http://schemas.openxmlformats.org/drawingml/2006/spreadsheetDrawing" xmlns:a="http://schemas.openxmlformats.org/drawingml/2006/main">
  <xdr:twoCellAnchor editAs="oneCell">
    <xdr:from>
      <xdr:col>13</xdr:col>
      <xdr:colOff>512185</xdr:colOff>
      <xdr:row>1</xdr:row>
      <xdr:rowOff>142876</xdr:rowOff>
    </xdr:from>
    <xdr:to>
      <xdr:col>15</xdr:col>
      <xdr:colOff>1841500</xdr:colOff>
      <xdr:row>7</xdr:row>
      <xdr:rowOff>111125</xdr:rowOff>
    </xdr:to>
    <xdr:pic>
      <xdr:nvPicPr>
        <xdr:cNvPr id="2" name="Picture 1" descr="http://www.york.ac.uk/che/staff/staff.ltd/CHE%20Logo%20High%20Resolution.jpg"/>
        <xdr:cNvPicPr>
          <a:picLocks noChangeAspect="1" noChangeArrowheads="1"/>
        </xdr:cNvPicPr>
      </xdr:nvPicPr>
      <xdr:blipFill>
        <a:blip xmlns:r="http://schemas.openxmlformats.org/officeDocument/2006/relationships" r:embed="rId1" cstate="print"/>
        <a:srcRect/>
        <a:stretch>
          <a:fillRect/>
        </a:stretch>
      </xdr:blipFill>
      <xdr:spPr bwMode="auto">
        <a:xfrm>
          <a:off x="18295360" y="333376"/>
          <a:ext cx="5844165" cy="2435224"/>
        </a:xfrm>
        <a:prstGeom prst="rect">
          <a:avLst/>
        </a:prstGeom>
        <a:noFill/>
      </xdr:spPr>
    </xdr:pic>
    <xdr:clientData/>
  </xdr:twoCellAnchor>
  <xdr:oneCellAnchor>
    <xdr:from>
      <xdr:col>7</xdr:col>
      <xdr:colOff>1158875</xdr:colOff>
      <xdr:row>3</xdr:row>
      <xdr:rowOff>95250</xdr:rowOff>
    </xdr:from>
    <xdr:ext cx="184731" cy="264560"/>
    <xdr:sp macro="" textlink="">
      <xdr:nvSpPr>
        <xdr:cNvPr id="3" name="TextBox 2"/>
        <xdr:cNvSpPr txBox="1"/>
      </xdr:nvSpPr>
      <xdr:spPr>
        <a:xfrm>
          <a:off x="11493500"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wsDr>
</file>

<file path=xl/drawings/drawing59.xml><?xml version="1.0" encoding="utf-8"?>
<xdr:wsDr xmlns:xdr="http://schemas.openxmlformats.org/drawingml/2006/spreadsheetDrawing" xmlns:a="http://schemas.openxmlformats.org/drawingml/2006/main">
  <xdr:oneCellAnchor>
    <xdr:from>
      <xdr:col>5</xdr:col>
      <xdr:colOff>1158875</xdr:colOff>
      <xdr:row>3</xdr:row>
      <xdr:rowOff>95250</xdr:rowOff>
    </xdr:from>
    <xdr:ext cx="184731" cy="264560"/>
    <xdr:sp macro="" textlink="">
      <xdr:nvSpPr>
        <xdr:cNvPr id="2" name="TextBox 1"/>
        <xdr:cNvSpPr txBox="1"/>
      </xdr:nvSpPr>
      <xdr:spPr>
        <a:xfrm>
          <a:off x="634047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oneCellAnchor>
    <xdr:from>
      <xdr:col>5</xdr:col>
      <xdr:colOff>0</xdr:colOff>
      <xdr:row>45</xdr:row>
      <xdr:rowOff>95250</xdr:rowOff>
    </xdr:from>
    <xdr:ext cx="184731" cy="264560"/>
    <xdr:sp macro="" textlink="">
      <xdr:nvSpPr>
        <xdr:cNvPr id="3" name="TextBox 2"/>
        <xdr:cNvSpPr txBox="1"/>
      </xdr:nvSpPr>
      <xdr:spPr>
        <a:xfrm>
          <a:off x="5248275"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twoCellAnchor editAs="oneCell">
    <xdr:from>
      <xdr:col>7</xdr:col>
      <xdr:colOff>1628775</xdr:colOff>
      <xdr:row>2</xdr:row>
      <xdr:rowOff>133350</xdr:rowOff>
    </xdr:from>
    <xdr:to>
      <xdr:col>8</xdr:col>
      <xdr:colOff>1804822</xdr:colOff>
      <xdr:row>6</xdr:row>
      <xdr:rowOff>123825</xdr:rowOff>
    </xdr:to>
    <xdr:pic>
      <xdr:nvPicPr>
        <xdr:cNvPr id="4" name="Picture 3" descr="http://www.york.ac.uk/che/staff/staff.ltd/CHE%20Logo%20High%20Resolution.jpg"/>
        <xdr:cNvPicPr>
          <a:picLocks noChangeAspect="1" noChangeArrowheads="1"/>
        </xdr:cNvPicPr>
      </xdr:nvPicPr>
      <xdr:blipFill>
        <a:blip xmlns:r="http://schemas.openxmlformats.org/officeDocument/2006/relationships" r:embed="rId1" cstate="print"/>
        <a:srcRect/>
        <a:stretch>
          <a:fillRect/>
        </a:stretch>
      </xdr:blipFill>
      <xdr:spPr bwMode="auto">
        <a:xfrm>
          <a:off x="8782050" y="514350"/>
          <a:ext cx="2557297" cy="1066800"/>
        </a:xfrm>
        <a:prstGeom prst="rect">
          <a:avLst/>
        </a:prstGeom>
        <a:noFill/>
      </xdr:spPr>
    </xdr:pic>
    <xdr:clientData/>
  </xdr:twoCellAnchor>
  <xdr:oneCellAnchor>
    <xdr:from>
      <xdr:col>5</xdr:col>
      <xdr:colOff>0</xdr:colOff>
      <xdr:row>46</xdr:row>
      <xdr:rowOff>95250</xdr:rowOff>
    </xdr:from>
    <xdr:ext cx="184731" cy="264560"/>
    <xdr:sp macro="" textlink="">
      <xdr:nvSpPr>
        <xdr:cNvPr id="17" name="TextBox 16"/>
        <xdr:cNvSpPr txBox="1"/>
      </xdr:nvSpPr>
      <xdr:spPr>
        <a:xfrm>
          <a:off x="5248275" y="7153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mc:AlternateContent xmlns:mc="http://schemas.openxmlformats.org/markup-compatibility/2006">
    <mc:Choice xmlns:a14="http://schemas.microsoft.com/office/drawing/2010/main" Requires="a14">
      <xdr:twoCellAnchor editAs="oneCell">
        <xdr:from>
          <xdr:col>1</xdr:col>
          <xdr:colOff>190500</xdr:colOff>
          <xdr:row>20</xdr:row>
          <xdr:rowOff>257175</xdr:rowOff>
        </xdr:from>
        <xdr:to>
          <xdr:col>2</xdr:col>
          <xdr:colOff>733425</xdr:colOff>
          <xdr:row>20</xdr:row>
          <xdr:rowOff>476250</xdr:rowOff>
        </xdr:to>
        <xdr:sp macro="" textlink="">
          <xdr:nvSpPr>
            <xdr:cNvPr id="237584" name="Check Box 16" hidden="1">
              <a:extLst>
                <a:ext uri="{63B3BB69-23CF-44E3-9099-C40C66FF867C}">
                  <a14:compatExt spid="_x0000_s2375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Show more data</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4</xdr:col>
      <xdr:colOff>1158875</xdr:colOff>
      <xdr:row>3</xdr:row>
      <xdr:rowOff>95250</xdr:rowOff>
    </xdr:from>
    <xdr:ext cx="184731" cy="264560"/>
    <xdr:sp macro="" textlink="">
      <xdr:nvSpPr>
        <xdr:cNvPr id="2" name="TextBox 1"/>
        <xdr:cNvSpPr txBox="1"/>
      </xdr:nvSpPr>
      <xdr:spPr>
        <a:xfrm>
          <a:off x="4940300"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twoCellAnchor editAs="oneCell">
    <xdr:from>
      <xdr:col>9</xdr:col>
      <xdr:colOff>523875</xdr:colOff>
      <xdr:row>1</xdr:row>
      <xdr:rowOff>95250</xdr:rowOff>
    </xdr:from>
    <xdr:to>
      <xdr:col>11</xdr:col>
      <xdr:colOff>1976273</xdr:colOff>
      <xdr:row>5</xdr:row>
      <xdr:rowOff>152400</xdr:rowOff>
    </xdr:to>
    <xdr:pic>
      <xdr:nvPicPr>
        <xdr:cNvPr id="3" name="Picture 2" descr="http://www.york.ac.uk/che/staff/staff.ltd/CHE%20Logo%20High%20Resolution.jpg"/>
        <xdr:cNvPicPr>
          <a:picLocks noChangeAspect="1" noChangeArrowheads="1"/>
        </xdr:cNvPicPr>
      </xdr:nvPicPr>
      <xdr:blipFill>
        <a:blip xmlns:r="http://schemas.openxmlformats.org/officeDocument/2006/relationships" r:embed="rId1" cstate="print"/>
        <a:srcRect/>
        <a:stretch>
          <a:fillRect/>
        </a:stretch>
      </xdr:blipFill>
      <xdr:spPr bwMode="auto">
        <a:xfrm>
          <a:off x="8810625" y="285750"/>
          <a:ext cx="2557297" cy="1066800"/>
        </a:xfrm>
        <a:prstGeom prst="rect">
          <a:avLst/>
        </a:prstGeom>
        <a:noFill/>
      </xdr:spPr>
    </xdr:pic>
    <xdr:clientData/>
  </xdr:twoCellAnchor>
  <xdr:twoCellAnchor editAs="oneCell">
    <xdr:from>
      <xdr:col>7</xdr:col>
      <xdr:colOff>571500</xdr:colOff>
      <xdr:row>10</xdr:row>
      <xdr:rowOff>19050</xdr:rowOff>
    </xdr:from>
    <xdr:to>
      <xdr:col>8</xdr:col>
      <xdr:colOff>2381249</xdr:colOff>
      <xdr:row>11</xdr:row>
      <xdr:rowOff>28575</xdr:rowOff>
    </xdr:to>
    <xdr:pic>
      <xdr:nvPicPr>
        <xdr:cNvPr id="74755"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6057900" y="2647950"/>
          <a:ext cx="2390775" cy="323850"/>
        </a:xfrm>
        <a:prstGeom prst="rect">
          <a:avLst/>
        </a:prstGeom>
        <a:noFill/>
        <a:ln w="1">
          <a:noFill/>
          <a:miter lim="800000"/>
          <a:headEnd/>
          <a:tailEnd type="none" w="med" len="med"/>
        </a:ln>
        <a:effectLst/>
      </xdr:spPr>
    </xdr:pic>
    <xdr:clientData/>
  </xdr:twoCellAnchor>
  <xdr:twoCellAnchor editAs="oneCell">
    <xdr:from>
      <xdr:col>7</xdr:col>
      <xdr:colOff>571500</xdr:colOff>
      <xdr:row>11</xdr:row>
      <xdr:rowOff>200025</xdr:rowOff>
    </xdr:from>
    <xdr:to>
      <xdr:col>8</xdr:col>
      <xdr:colOff>2381249</xdr:colOff>
      <xdr:row>12</xdr:row>
      <xdr:rowOff>295275</xdr:rowOff>
    </xdr:to>
    <xdr:pic>
      <xdr:nvPicPr>
        <xdr:cNvPr id="74757" name="Picture 5"/>
        <xdr:cNvPicPr>
          <a:picLocks noChangeAspect="1" noChangeArrowheads="1"/>
        </xdr:cNvPicPr>
      </xdr:nvPicPr>
      <xdr:blipFill>
        <a:blip xmlns:r="http://schemas.openxmlformats.org/officeDocument/2006/relationships" r:embed="rId3" cstate="print"/>
        <a:srcRect/>
        <a:stretch>
          <a:fillRect/>
        </a:stretch>
      </xdr:blipFill>
      <xdr:spPr bwMode="auto">
        <a:xfrm>
          <a:off x="6057900" y="3143250"/>
          <a:ext cx="2390775" cy="323850"/>
        </a:xfrm>
        <a:prstGeom prst="rect">
          <a:avLst/>
        </a:prstGeom>
        <a:noFill/>
        <a:ln w="1">
          <a:noFill/>
          <a:miter lim="800000"/>
          <a:headEnd/>
          <a:tailEnd type="none" w="med" len="med"/>
        </a:ln>
        <a:effectLst/>
      </xdr:spPr>
    </xdr:pic>
    <xdr:clientData/>
  </xdr:twoCellAnchor>
  <xdr:twoCellAnchor editAs="oneCell">
    <xdr:from>
      <xdr:col>11</xdr:col>
      <xdr:colOff>9525</xdr:colOff>
      <xdr:row>11</xdr:row>
      <xdr:rowOff>190500</xdr:rowOff>
    </xdr:from>
    <xdr:to>
      <xdr:col>12</xdr:col>
      <xdr:colOff>19050</xdr:colOff>
      <xdr:row>12</xdr:row>
      <xdr:rowOff>285750</xdr:rowOff>
    </xdr:to>
    <xdr:pic>
      <xdr:nvPicPr>
        <xdr:cNvPr id="74759" name="Picture 7"/>
        <xdr:cNvPicPr>
          <a:picLocks noChangeAspect="1" noChangeArrowheads="1"/>
        </xdr:cNvPicPr>
      </xdr:nvPicPr>
      <xdr:blipFill>
        <a:blip xmlns:r="http://schemas.openxmlformats.org/officeDocument/2006/relationships" r:embed="rId4" cstate="print"/>
        <a:srcRect/>
        <a:stretch>
          <a:fillRect/>
        </a:stretch>
      </xdr:blipFill>
      <xdr:spPr bwMode="auto">
        <a:xfrm>
          <a:off x="9363075" y="3133725"/>
          <a:ext cx="2390775" cy="323850"/>
        </a:xfrm>
        <a:prstGeom prst="rect">
          <a:avLst/>
        </a:prstGeom>
        <a:noFill/>
        <a:ln w="1">
          <a:noFill/>
          <a:miter lim="800000"/>
          <a:headEnd/>
          <a:tailEnd type="none" w="med" len="med"/>
        </a:ln>
        <a:effectLst/>
      </xdr:spPr>
    </xdr:pic>
    <xdr:clientData/>
  </xdr:twoCellAnchor>
  <xdr:twoCellAnchor>
    <xdr:from>
      <xdr:col>0</xdr:col>
      <xdr:colOff>533400</xdr:colOff>
      <xdr:row>15</xdr:row>
      <xdr:rowOff>38100</xdr:rowOff>
    </xdr:from>
    <xdr:to>
      <xdr:col>8</xdr:col>
      <xdr:colOff>104775</xdr:colOff>
      <xdr:row>26</xdr:row>
      <xdr:rowOff>190500</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872871</xdr:colOff>
      <xdr:row>16</xdr:row>
      <xdr:rowOff>76199</xdr:rowOff>
    </xdr:from>
    <xdr:to>
      <xdr:col>11</xdr:col>
      <xdr:colOff>19845</xdr:colOff>
      <xdr:row>21</xdr:row>
      <xdr:rowOff>99219</xdr:rowOff>
    </xdr:to>
    <xdr:sp macro="" textlink="">
      <xdr:nvSpPr>
        <xdr:cNvPr id="13" name="TextBox 12"/>
        <xdr:cNvSpPr txBox="1"/>
      </xdr:nvSpPr>
      <xdr:spPr>
        <a:xfrm>
          <a:off x="6855762" y="4243387"/>
          <a:ext cx="2441036" cy="1164035"/>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wrap="square" rtlCol="0" anchor="t"/>
        <a:lstStyle/>
        <a:p>
          <a:pPr algn="l"/>
          <a:r>
            <a:rPr lang="en-GB" sz="900" b="0">
              <a:latin typeface="+mn-lt"/>
            </a:rPr>
            <a:t>Series from 1998/99 - 2002/03 is not completely comparable to the series from 2003/04 onwards, as different data sources were used. In particular, PCT financial returns were not available up unto and including 2002/03.</a:t>
          </a:r>
        </a:p>
      </xdr:txBody>
    </xdr:sp>
    <xdr:clientData/>
  </xdr:twoCellAnchor>
  <xdr:twoCellAnchor editAs="oneCell">
    <xdr:from>
      <xdr:col>8</xdr:col>
      <xdr:colOff>723106</xdr:colOff>
      <xdr:row>15</xdr:row>
      <xdr:rowOff>111919</xdr:rowOff>
    </xdr:from>
    <xdr:to>
      <xdr:col>8</xdr:col>
      <xdr:colOff>995899</xdr:colOff>
      <xdr:row>16</xdr:row>
      <xdr:rowOff>154269</xdr:rowOff>
    </xdr:to>
    <xdr:pic>
      <xdr:nvPicPr>
        <xdr:cNvPr id="14" name="Picture 13"/>
        <xdr:cNvPicPr>
          <a:picLocks noChangeAspect="1" noChangeArrowheads="1"/>
        </xdr:cNvPicPr>
      </xdr:nvPicPr>
      <xdr:blipFill>
        <a:blip xmlns:r="http://schemas.openxmlformats.org/officeDocument/2006/relationships" r:embed="rId6" cstate="print">
          <a:duotone>
            <a:schemeClr val="accent5">
              <a:shade val="45000"/>
              <a:satMod val="135000"/>
            </a:schemeClr>
            <a:prstClr val="white"/>
          </a:duotone>
        </a:blip>
        <a:srcRect/>
        <a:stretch>
          <a:fillRect/>
        </a:stretch>
      </xdr:blipFill>
      <xdr:spPr bwMode="auto">
        <a:xfrm flipH="1">
          <a:off x="6705997" y="4050903"/>
          <a:ext cx="272793" cy="270554"/>
        </a:xfrm>
        <a:prstGeom prst="rect">
          <a:avLst/>
        </a:prstGeom>
        <a:noFill/>
      </xdr:spPr>
    </xdr:pic>
    <xdr:clientData/>
  </xdr:twoCellAnchor>
  <xdr:twoCellAnchor editAs="oneCell">
    <xdr:from>
      <xdr:col>10</xdr:col>
      <xdr:colOff>571500</xdr:colOff>
      <xdr:row>10</xdr:row>
      <xdr:rowOff>9525</xdr:rowOff>
    </xdr:from>
    <xdr:to>
      <xdr:col>12</xdr:col>
      <xdr:colOff>1</xdr:colOff>
      <xdr:row>11</xdr:row>
      <xdr:rowOff>19050</xdr:rowOff>
    </xdr:to>
    <xdr:pic>
      <xdr:nvPicPr>
        <xdr:cNvPr id="74761" name="Picture 9"/>
        <xdr:cNvPicPr>
          <a:picLocks noChangeAspect="1" noChangeArrowheads="1"/>
        </xdr:cNvPicPr>
      </xdr:nvPicPr>
      <xdr:blipFill>
        <a:blip xmlns:r="http://schemas.openxmlformats.org/officeDocument/2006/relationships" r:embed="rId7" cstate="print"/>
        <a:srcRect/>
        <a:stretch>
          <a:fillRect/>
        </a:stretch>
      </xdr:blipFill>
      <xdr:spPr bwMode="auto">
        <a:xfrm>
          <a:off x="9344025" y="2638425"/>
          <a:ext cx="2390775" cy="323850"/>
        </a:xfrm>
        <a:prstGeom prst="rect">
          <a:avLst/>
        </a:prstGeom>
        <a:noFill/>
        <a:ln w="1">
          <a:noFill/>
          <a:miter lim="800000"/>
          <a:headEnd/>
          <a:tailEnd type="none" w="med" len="med"/>
        </a:ln>
        <a:effectLst/>
      </xdr:spPr>
    </xdr:pic>
    <xdr:clientData/>
  </xdr:twoCellAnchor>
  <mc:AlternateContent xmlns:mc="http://schemas.openxmlformats.org/markup-compatibility/2006">
    <mc:Choice xmlns:a14="http://schemas.microsoft.com/office/drawing/2010/main" Requires="a14">
      <xdr:twoCellAnchor editAs="oneCell">
        <xdr:from>
          <xdr:col>1</xdr:col>
          <xdr:colOff>0</xdr:colOff>
          <xdr:row>27</xdr:row>
          <xdr:rowOff>209550</xdr:rowOff>
        </xdr:from>
        <xdr:to>
          <xdr:col>2</xdr:col>
          <xdr:colOff>457200</xdr:colOff>
          <xdr:row>29</xdr:row>
          <xdr:rowOff>0</xdr:rowOff>
        </xdr:to>
        <xdr:sp macro="" textlink="">
          <xdr:nvSpPr>
            <xdr:cNvPr id="74762" name="Check Box 10" hidden="1">
              <a:extLst>
                <a:ext uri="{63B3BB69-23CF-44E3-9099-C40C66FF867C}">
                  <a14:compatExt spid="_x0000_s747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Show more data</a:t>
              </a:r>
            </a:p>
          </xdr:txBody>
        </xdr:sp>
        <xdr:clientData/>
      </xdr:twoCellAnchor>
    </mc:Choice>
    <mc:Fallback/>
  </mc:AlternateContent>
</xdr:wsDr>
</file>

<file path=xl/drawings/drawing60.xml><?xml version="1.0" encoding="utf-8"?>
<xdr:wsDr xmlns:xdr="http://schemas.openxmlformats.org/drawingml/2006/spreadsheetDrawing" xmlns:a="http://schemas.openxmlformats.org/drawingml/2006/main">
  <xdr:oneCellAnchor>
    <xdr:from>
      <xdr:col>4</xdr:col>
      <xdr:colOff>1158875</xdr:colOff>
      <xdr:row>3</xdr:row>
      <xdr:rowOff>95250</xdr:rowOff>
    </xdr:from>
    <xdr:ext cx="184731" cy="264560"/>
    <xdr:sp macro="" textlink="">
      <xdr:nvSpPr>
        <xdr:cNvPr id="3" name="TextBox 2"/>
        <xdr:cNvSpPr txBox="1"/>
      </xdr:nvSpPr>
      <xdr:spPr>
        <a:xfrm>
          <a:off x="729297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twoCellAnchor editAs="oneCell">
    <xdr:from>
      <xdr:col>7</xdr:col>
      <xdr:colOff>833004</xdr:colOff>
      <xdr:row>1</xdr:row>
      <xdr:rowOff>118629</xdr:rowOff>
    </xdr:from>
    <xdr:to>
      <xdr:col>8</xdr:col>
      <xdr:colOff>2023896</xdr:colOff>
      <xdr:row>6</xdr:row>
      <xdr:rowOff>2886</xdr:rowOff>
    </xdr:to>
    <xdr:pic>
      <xdr:nvPicPr>
        <xdr:cNvPr id="5" name="Picture 4" descr="http://www.york.ac.uk/che/staff/staff.ltd/CHE%20Logo%20High%20Resolution.jpg"/>
        <xdr:cNvPicPr>
          <a:picLocks noChangeAspect="1" noChangeArrowheads="1"/>
        </xdr:cNvPicPr>
      </xdr:nvPicPr>
      <xdr:blipFill>
        <a:blip xmlns:r="http://schemas.openxmlformats.org/officeDocument/2006/relationships" r:embed="rId1" cstate="print"/>
        <a:srcRect/>
        <a:stretch>
          <a:fillRect/>
        </a:stretch>
      </xdr:blipFill>
      <xdr:spPr bwMode="auto">
        <a:xfrm>
          <a:off x="8834004" y="309129"/>
          <a:ext cx="2572017" cy="1046307"/>
        </a:xfrm>
        <a:prstGeom prst="rect">
          <a:avLst/>
        </a:prstGeom>
        <a:noFill/>
      </xdr:spPr>
    </xdr:pic>
    <xdr:clientData/>
  </xdr:twoCellAnchor>
  <xdr:twoCellAnchor>
    <xdr:from>
      <xdr:col>0</xdr:col>
      <xdr:colOff>523875</xdr:colOff>
      <xdr:row>20</xdr:row>
      <xdr:rowOff>128587</xdr:rowOff>
    </xdr:from>
    <xdr:to>
      <xdr:col>7</xdr:col>
      <xdr:colOff>371475</xdr:colOff>
      <xdr:row>35</xdr:row>
      <xdr:rowOff>14287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xdr:col>
      <xdr:colOff>5361</xdr:colOff>
      <xdr:row>12</xdr:row>
      <xdr:rowOff>66675</xdr:rowOff>
    </xdr:from>
    <xdr:to>
      <xdr:col>6</xdr:col>
      <xdr:colOff>1552575</xdr:colOff>
      <xdr:row>19</xdr:row>
      <xdr:rowOff>28575</xdr:rowOff>
    </xdr:to>
    <xdr:pic>
      <xdr:nvPicPr>
        <xdr:cNvPr id="132102" name="Picture 6"/>
        <xdr:cNvPicPr>
          <a:picLocks noChangeAspect="1" noChangeArrowheads="1"/>
        </xdr:cNvPicPr>
      </xdr:nvPicPr>
      <xdr:blipFill>
        <a:blip xmlns:r="http://schemas.openxmlformats.org/officeDocument/2006/relationships" r:embed="rId3" cstate="print"/>
        <a:srcRect/>
        <a:stretch>
          <a:fillRect/>
        </a:stretch>
      </xdr:blipFill>
      <xdr:spPr bwMode="auto">
        <a:xfrm>
          <a:off x="6425211" y="2695575"/>
          <a:ext cx="1547214" cy="1695450"/>
        </a:xfrm>
        <a:prstGeom prst="rect">
          <a:avLst/>
        </a:prstGeom>
        <a:noFill/>
        <a:ln w="1">
          <a:noFill/>
          <a:miter lim="800000"/>
          <a:headEnd/>
          <a:tailEnd type="none" w="med" len="med"/>
        </a:ln>
        <a:effectLst/>
      </xdr:spPr>
    </xdr:pic>
    <xdr:clientData/>
  </xdr:twoCellAnchor>
  <mc:AlternateContent xmlns:mc="http://schemas.openxmlformats.org/markup-compatibility/2006">
    <mc:Choice xmlns:a14="http://schemas.microsoft.com/office/drawing/2010/main" Requires="a14">
      <xdr:twoCellAnchor editAs="oneCell">
        <xdr:from>
          <xdr:col>1</xdr:col>
          <xdr:colOff>9525</xdr:colOff>
          <xdr:row>36</xdr:row>
          <xdr:rowOff>0</xdr:rowOff>
        </xdr:from>
        <xdr:to>
          <xdr:col>1</xdr:col>
          <xdr:colOff>1724025</xdr:colOff>
          <xdr:row>37</xdr:row>
          <xdr:rowOff>28575</xdr:rowOff>
        </xdr:to>
        <xdr:sp macro="" textlink="">
          <xdr:nvSpPr>
            <xdr:cNvPr id="132100" name="Check Box 4" hidden="1">
              <a:extLst>
                <a:ext uri="{63B3BB69-23CF-44E3-9099-C40C66FF867C}">
                  <a14:compatExt spid="_x0000_s1321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Show more data</a:t>
              </a:r>
            </a:p>
          </xdr:txBody>
        </xdr:sp>
        <xdr:clientData/>
      </xdr:twoCellAnchor>
    </mc:Choice>
    <mc:Fallback/>
  </mc:AlternateContent>
</xdr:wsDr>
</file>

<file path=xl/drawings/drawing61.xml><?xml version="1.0" encoding="utf-8"?>
<xdr:wsDr xmlns:xdr="http://schemas.openxmlformats.org/drawingml/2006/spreadsheetDrawing" xmlns:a="http://schemas.openxmlformats.org/drawingml/2006/main">
  <xdr:twoCellAnchor editAs="oneCell">
    <xdr:from>
      <xdr:col>14</xdr:col>
      <xdr:colOff>257175</xdr:colOff>
      <xdr:row>0</xdr:row>
      <xdr:rowOff>152400</xdr:rowOff>
    </xdr:from>
    <xdr:to>
      <xdr:col>18</xdr:col>
      <xdr:colOff>366547</xdr:colOff>
      <xdr:row>4</xdr:row>
      <xdr:rowOff>190500</xdr:rowOff>
    </xdr:to>
    <xdr:pic>
      <xdr:nvPicPr>
        <xdr:cNvPr id="2" name="Picture 1" descr="http://www.york.ac.uk/che/staff/staff.ltd/CHE%20Logo%20High%20Resolution.jpg"/>
        <xdr:cNvPicPr>
          <a:picLocks noChangeAspect="1" noChangeArrowheads="1"/>
        </xdr:cNvPicPr>
      </xdr:nvPicPr>
      <xdr:blipFill>
        <a:blip xmlns:r="http://schemas.openxmlformats.org/officeDocument/2006/relationships" r:embed="rId1" cstate="print"/>
        <a:srcRect/>
        <a:stretch>
          <a:fillRect/>
        </a:stretch>
      </xdr:blipFill>
      <xdr:spPr bwMode="auto">
        <a:xfrm>
          <a:off x="8791575" y="152400"/>
          <a:ext cx="2547772" cy="1066800"/>
        </a:xfrm>
        <a:prstGeom prst="rect">
          <a:avLst/>
        </a:prstGeom>
        <a:noFill/>
      </xdr:spPr>
    </xdr:pic>
    <xdr:clientData/>
  </xdr:twoCellAnchor>
  <xdr:oneCellAnchor>
    <xdr:from>
      <xdr:col>7</xdr:col>
      <xdr:colOff>438150</xdr:colOff>
      <xdr:row>11</xdr:row>
      <xdr:rowOff>19050</xdr:rowOff>
    </xdr:from>
    <xdr:ext cx="184731" cy="264560"/>
    <xdr:sp macro="" textlink="">
      <xdr:nvSpPr>
        <xdr:cNvPr id="3" name="TextBox 2"/>
        <xdr:cNvSpPr txBox="1"/>
      </xdr:nvSpPr>
      <xdr:spPr>
        <a:xfrm>
          <a:off x="5314950"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wsDr>
</file>

<file path=xl/drawings/drawing62.xml><?xml version="1.0" encoding="utf-8"?>
<xdr:wsDr xmlns:xdr="http://schemas.openxmlformats.org/drawingml/2006/spreadsheetDrawing" xmlns:a="http://schemas.openxmlformats.org/drawingml/2006/main">
  <xdr:twoCellAnchor editAs="oneCell">
    <xdr:from>
      <xdr:col>10</xdr:col>
      <xdr:colOff>598393</xdr:colOff>
      <xdr:row>2</xdr:row>
      <xdr:rowOff>28575</xdr:rowOff>
    </xdr:from>
    <xdr:to>
      <xdr:col>14</xdr:col>
      <xdr:colOff>366546</xdr:colOff>
      <xdr:row>4</xdr:row>
      <xdr:rowOff>304800</xdr:rowOff>
    </xdr:to>
    <xdr:pic>
      <xdr:nvPicPr>
        <xdr:cNvPr id="2" name="Picture 1" descr="http://www.york.ac.uk/che/staff/staff.ltd/CHE%20Logo%20High%20Resolution.jpg"/>
        <xdr:cNvPicPr>
          <a:picLocks noChangeAspect="1" noChangeArrowheads="1"/>
        </xdr:cNvPicPr>
      </xdr:nvPicPr>
      <xdr:blipFill>
        <a:blip xmlns:r="http://schemas.openxmlformats.org/officeDocument/2006/relationships" r:embed="rId1" cstate="print"/>
        <a:srcRect/>
        <a:stretch>
          <a:fillRect/>
        </a:stretch>
      </xdr:blipFill>
      <xdr:spPr bwMode="auto">
        <a:xfrm>
          <a:off x="9028018" y="409575"/>
          <a:ext cx="2206553" cy="923925"/>
        </a:xfrm>
        <a:prstGeom prst="rect">
          <a:avLst/>
        </a:prstGeom>
        <a:noFill/>
      </xdr:spPr>
    </xdr:pic>
    <xdr:clientData/>
  </xdr:twoCellAnchor>
  <xdr:oneCellAnchor>
    <xdr:from>
      <xdr:col>8</xdr:col>
      <xdr:colOff>438150</xdr:colOff>
      <xdr:row>19</xdr:row>
      <xdr:rowOff>19050</xdr:rowOff>
    </xdr:from>
    <xdr:ext cx="184731" cy="264560"/>
    <xdr:sp macro="" textlink="">
      <xdr:nvSpPr>
        <xdr:cNvPr id="3" name="TextBox 2"/>
        <xdr:cNvSpPr txBox="1"/>
      </xdr:nvSpPr>
      <xdr:spPr>
        <a:xfrm>
          <a:off x="5314950"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wsDr>
</file>

<file path=xl/drawings/drawing63.xml><?xml version="1.0" encoding="utf-8"?>
<xdr:wsDr xmlns:xdr="http://schemas.openxmlformats.org/drawingml/2006/spreadsheetDrawing" xmlns:a="http://schemas.openxmlformats.org/drawingml/2006/main">
  <xdr:oneCellAnchor>
    <xdr:from>
      <xdr:col>4</xdr:col>
      <xdr:colOff>1158875</xdr:colOff>
      <xdr:row>3</xdr:row>
      <xdr:rowOff>95250</xdr:rowOff>
    </xdr:from>
    <xdr:ext cx="184731" cy="264560"/>
    <xdr:sp macro="" textlink="">
      <xdr:nvSpPr>
        <xdr:cNvPr id="2" name="TextBox 1" hidden="1"/>
        <xdr:cNvSpPr txBox="1"/>
      </xdr:nvSpPr>
      <xdr:spPr>
        <a:xfrm>
          <a:off x="420687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twoCellAnchor editAs="oneCell">
    <xdr:from>
      <xdr:col>7</xdr:col>
      <xdr:colOff>833004</xdr:colOff>
      <xdr:row>1</xdr:row>
      <xdr:rowOff>147204</xdr:rowOff>
    </xdr:from>
    <xdr:to>
      <xdr:col>9</xdr:col>
      <xdr:colOff>1776246</xdr:colOff>
      <xdr:row>6</xdr:row>
      <xdr:rowOff>50511</xdr:rowOff>
    </xdr:to>
    <xdr:pic>
      <xdr:nvPicPr>
        <xdr:cNvPr id="3" name="Picture 2" descr="http://www.york.ac.uk/che/staff/staff.ltd/CHE%20Logo%20High%20Resolution.jpg"/>
        <xdr:cNvPicPr>
          <a:picLocks noChangeAspect="1" noChangeArrowheads="1"/>
        </xdr:cNvPicPr>
      </xdr:nvPicPr>
      <xdr:blipFill>
        <a:blip xmlns:r="http://schemas.openxmlformats.org/officeDocument/2006/relationships" r:embed="rId1" cstate="print"/>
        <a:srcRect/>
        <a:stretch>
          <a:fillRect/>
        </a:stretch>
      </xdr:blipFill>
      <xdr:spPr bwMode="auto">
        <a:xfrm>
          <a:off x="6614679" y="337704"/>
          <a:ext cx="2572017" cy="1046307"/>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1000125</xdr:colOff>
          <xdr:row>7</xdr:row>
          <xdr:rowOff>19050</xdr:rowOff>
        </xdr:to>
        <xdr:sp macro="" textlink="">
          <xdr:nvSpPr>
            <xdr:cNvPr id="34817" name="Option Button 1" hidden="1">
              <a:extLst>
                <a:ext uri="{63B3BB69-23CF-44E3-9099-C40C66FF867C}">
                  <a14:compatExt spid="_x0000_s348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Rederence Costs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19050</xdr:rowOff>
        </xdr:from>
        <xdr:to>
          <xdr:col>1</xdr:col>
          <xdr:colOff>1000125</xdr:colOff>
          <xdr:row>8</xdr:row>
          <xdr:rowOff>38100</xdr:rowOff>
        </xdr:to>
        <xdr:sp macro="" textlink="">
          <xdr:nvSpPr>
            <xdr:cNvPr id="34818" name="Option Button 2" hidden="1">
              <a:extLst>
                <a:ext uri="{63B3BB69-23CF-44E3-9099-C40C66FF867C}">
                  <a14:compatExt spid="_x0000_s348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Financial Returns</a:t>
              </a:r>
            </a:p>
          </xdr:txBody>
        </xdr:sp>
        <xdr:clientData/>
      </xdr:twoCellAnchor>
    </mc:Choice>
    <mc:Fallback/>
  </mc:AlternateContent>
</xdr:wsDr>
</file>

<file path=xl/drawings/drawing64.xml><?xml version="1.0" encoding="utf-8"?>
<xdr:wsDr xmlns:xdr="http://schemas.openxmlformats.org/drawingml/2006/spreadsheetDrawing" xmlns:a="http://schemas.openxmlformats.org/drawingml/2006/main">
  <xdr:oneCellAnchor>
    <xdr:from>
      <xdr:col>4</xdr:col>
      <xdr:colOff>1158875</xdr:colOff>
      <xdr:row>3</xdr:row>
      <xdr:rowOff>95250</xdr:rowOff>
    </xdr:from>
    <xdr:ext cx="184731" cy="264560"/>
    <xdr:sp macro="" textlink="">
      <xdr:nvSpPr>
        <xdr:cNvPr id="2" name="TextBox 1" hidden="1"/>
        <xdr:cNvSpPr txBox="1"/>
      </xdr:nvSpPr>
      <xdr:spPr>
        <a:xfrm>
          <a:off x="420687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twoCellAnchor editAs="oneCell">
    <xdr:from>
      <xdr:col>9</xdr:col>
      <xdr:colOff>1495158</xdr:colOff>
      <xdr:row>1</xdr:row>
      <xdr:rowOff>96693</xdr:rowOff>
    </xdr:from>
    <xdr:to>
      <xdr:col>11</xdr:col>
      <xdr:colOff>0</xdr:colOff>
      <xdr:row>6</xdr:row>
      <xdr:rowOff>0</xdr:rowOff>
    </xdr:to>
    <xdr:pic>
      <xdr:nvPicPr>
        <xdr:cNvPr id="3" name="Picture 2" descr="http://www.york.ac.uk/che/staff/staff.ltd/CHE%20Logo%20High%20Resolution.jpg"/>
        <xdr:cNvPicPr>
          <a:picLocks noChangeAspect="1" noChangeArrowheads="1"/>
        </xdr:cNvPicPr>
      </xdr:nvPicPr>
      <xdr:blipFill>
        <a:blip xmlns:r="http://schemas.openxmlformats.org/officeDocument/2006/relationships" r:embed="rId1" cstate="print"/>
        <a:srcRect/>
        <a:stretch>
          <a:fillRect/>
        </a:stretch>
      </xdr:blipFill>
      <xdr:spPr bwMode="auto">
        <a:xfrm>
          <a:off x="8905608" y="287193"/>
          <a:ext cx="2572017" cy="1046307"/>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1000125</xdr:colOff>
          <xdr:row>7</xdr:row>
          <xdr:rowOff>19050</xdr:rowOff>
        </xdr:to>
        <xdr:sp macro="" textlink="">
          <xdr:nvSpPr>
            <xdr:cNvPr id="35841" name="Option Button 1" hidden="1">
              <a:extLst>
                <a:ext uri="{63B3BB69-23CF-44E3-9099-C40C66FF867C}">
                  <a14:compatExt spid="_x0000_s358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Rederence Costs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19050</xdr:rowOff>
        </xdr:from>
        <xdr:to>
          <xdr:col>1</xdr:col>
          <xdr:colOff>1000125</xdr:colOff>
          <xdr:row>8</xdr:row>
          <xdr:rowOff>38100</xdr:rowOff>
        </xdr:to>
        <xdr:sp macro="" textlink="">
          <xdr:nvSpPr>
            <xdr:cNvPr id="35842" name="Option Button 2" hidden="1">
              <a:extLst>
                <a:ext uri="{63B3BB69-23CF-44E3-9099-C40C66FF867C}">
                  <a14:compatExt spid="_x0000_s358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Financial Returns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0</xdr:rowOff>
        </xdr:from>
        <xdr:to>
          <xdr:col>1</xdr:col>
          <xdr:colOff>781050</xdr:colOff>
          <xdr:row>11</xdr:row>
          <xdr:rowOff>19050</xdr:rowOff>
        </xdr:to>
        <xdr:sp macro="" textlink="">
          <xdr:nvSpPr>
            <xdr:cNvPr id="35843" name="Check Box 3" hidden="1">
              <a:extLst>
                <a:ext uri="{63B3BB69-23CF-44E3-9099-C40C66FF867C}">
                  <a14:compatExt spid="_x0000_s358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Check Box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19050</xdr:rowOff>
        </xdr:from>
        <xdr:to>
          <xdr:col>1</xdr:col>
          <xdr:colOff>781050</xdr:colOff>
          <xdr:row>12</xdr:row>
          <xdr:rowOff>38100</xdr:rowOff>
        </xdr:to>
        <xdr:sp macro="" textlink="">
          <xdr:nvSpPr>
            <xdr:cNvPr id="35844" name="Check Box 4" hidden="1">
              <a:extLst>
                <a:ext uri="{63B3BB69-23CF-44E3-9099-C40C66FF867C}">
                  <a14:compatExt spid="_x0000_s358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Check Box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xdr:row>
          <xdr:rowOff>38100</xdr:rowOff>
        </xdr:from>
        <xdr:to>
          <xdr:col>1</xdr:col>
          <xdr:colOff>781050</xdr:colOff>
          <xdr:row>13</xdr:row>
          <xdr:rowOff>57150</xdr:rowOff>
        </xdr:to>
        <xdr:sp macro="" textlink="">
          <xdr:nvSpPr>
            <xdr:cNvPr id="35845" name="Check Box 5" hidden="1">
              <a:extLst>
                <a:ext uri="{63B3BB69-23CF-44E3-9099-C40C66FF867C}">
                  <a14:compatExt spid="_x0000_s358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Check Box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2</xdr:col>
          <xdr:colOff>781050</xdr:colOff>
          <xdr:row>11</xdr:row>
          <xdr:rowOff>19050</xdr:rowOff>
        </xdr:to>
        <xdr:sp macro="" textlink="">
          <xdr:nvSpPr>
            <xdr:cNvPr id="35846" name="Check Box 6" hidden="1">
              <a:extLst>
                <a:ext uri="{63B3BB69-23CF-44E3-9099-C40C66FF867C}">
                  <a14:compatExt spid="_x0000_s358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Check Box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xdr:row>
          <xdr:rowOff>19050</xdr:rowOff>
        </xdr:from>
        <xdr:to>
          <xdr:col>2</xdr:col>
          <xdr:colOff>781050</xdr:colOff>
          <xdr:row>12</xdr:row>
          <xdr:rowOff>38100</xdr:rowOff>
        </xdr:to>
        <xdr:sp macro="" textlink="">
          <xdr:nvSpPr>
            <xdr:cNvPr id="35847" name="Check Box 7" hidden="1">
              <a:extLst>
                <a:ext uri="{63B3BB69-23CF-44E3-9099-C40C66FF867C}">
                  <a14:compatExt spid="_x0000_s358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Check Box 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12</xdr:row>
          <xdr:rowOff>38100</xdr:rowOff>
        </xdr:from>
        <xdr:to>
          <xdr:col>2</xdr:col>
          <xdr:colOff>781050</xdr:colOff>
          <xdr:row>13</xdr:row>
          <xdr:rowOff>57150</xdr:rowOff>
        </xdr:to>
        <xdr:sp macro="" textlink="">
          <xdr:nvSpPr>
            <xdr:cNvPr id="35848" name="Check Box 8" hidden="1">
              <a:extLst>
                <a:ext uri="{63B3BB69-23CF-44E3-9099-C40C66FF867C}">
                  <a14:compatExt spid="_x0000_s358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Check Box 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xdr:row>
          <xdr:rowOff>171450</xdr:rowOff>
        </xdr:from>
        <xdr:to>
          <xdr:col>7</xdr:col>
          <xdr:colOff>0</xdr:colOff>
          <xdr:row>12</xdr:row>
          <xdr:rowOff>0</xdr:rowOff>
        </xdr:to>
        <xdr:sp macro="" textlink="">
          <xdr:nvSpPr>
            <xdr:cNvPr id="35849" name="Scroll Bar 9" hidden="1">
              <a:extLst>
                <a:ext uri="{63B3BB69-23CF-44E3-9099-C40C66FF867C}">
                  <a14:compatExt spid="_x0000_s35849"/>
                </a:ext>
              </a:extLst>
            </xdr:cNvPr>
            <xdr:cNvSpPr/>
          </xdr:nvSpPr>
          <xdr:spPr>
            <a:xfrm>
              <a:off x="0" y="0"/>
              <a:ext cx="0" cy="0"/>
            </a:xfrm>
            <a:prstGeom prst="rect">
              <a:avLst/>
            </a:prstGeom>
          </xdr:spPr>
        </xdr:sp>
        <xdr:clientData/>
      </xdr:twoCellAnchor>
    </mc:Choice>
    <mc:Fallback/>
  </mc:AlternateContent>
</xdr:wsDr>
</file>

<file path=xl/drawings/drawing65.xml><?xml version="1.0" encoding="utf-8"?>
<xdr:wsDr xmlns:xdr="http://schemas.openxmlformats.org/drawingml/2006/spreadsheetDrawing" xmlns:a="http://schemas.openxmlformats.org/drawingml/2006/main">
  <xdr:oneCellAnchor>
    <xdr:from>
      <xdr:col>4</xdr:col>
      <xdr:colOff>1158875</xdr:colOff>
      <xdr:row>3</xdr:row>
      <xdr:rowOff>95250</xdr:rowOff>
    </xdr:from>
    <xdr:ext cx="184731" cy="264560"/>
    <xdr:sp macro="" textlink="">
      <xdr:nvSpPr>
        <xdr:cNvPr id="3" name="TextBox 2"/>
        <xdr:cNvSpPr txBox="1"/>
      </xdr:nvSpPr>
      <xdr:spPr>
        <a:xfrm>
          <a:off x="10360025"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twoCellAnchor>
    <xdr:from>
      <xdr:col>2</xdr:col>
      <xdr:colOff>38100</xdr:colOff>
      <xdr:row>16</xdr:row>
      <xdr:rowOff>180975</xdr:rowOff>
    </xdr:from>
    <xdr:to>
      <xdr:col>7</xdr:col>
      <xdr:colOff>857250</xdr:colOff>
      <xdr:row>36</xdr:row>
      <xdr:rowOff>66675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1111250</xdr:colOff>
      <xdr:row>1</xdr:row>
      <xdr:rowOff>158750</xdr:rowOff>
    </xdr:from>
    <xdr:to>
      <xdr:col>10</xdr:col>
      <xdr:colOff>941222</xdr:colOff>
      <xdr:row>5</xdr:row>
      <xdr:rowOff>260350</xdr:rowOff>
    </xdr:to>
    <xdr:pic>
      <xdr:nvPicPr>
        <xdr:cNvPr id="7" name="Picture 6" descr="http://www.york.ac.uk/che/staff/staff.ltd/CHE%20Logo%20High%20Resolution.jpg"/>
        <xdr:cNvPicPr>
          <a:picLocks noChangeAspect="1" noChangeArrowheads="1"/>
        </xdr:cNvPicPr>
      </xdr:nvPicPr>
      <xdr:blipFill>
        <a:blip xmlns:r="http://schemas.openxmlformats.org/officeDocument/2006/relationships" r:embed="rId2" cstate="print"/>
        <a:srcRect/>
        <a:stretch>
          <a:fillRect/>
        </a:stretch>
      </xdr:blipFill>
      <xdr:spPr bwMode="auto">
        <a:xfrm>
          <a:off x="10845800" y="349250"/>
          <a:ext cx="2573172" cy="105410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2057400</xdr:colOff>
      <xdr:row>0</xdr:row>
      <xdr:rowOff>1438275</xdr:rowOff>
    </xdr:to>
    <xdr:pic>
      <xdr:nvPicPr>
        <xdr:cNvPr id="7577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057400" cy="1438275"/>
        </a:xfrm>
        <a:prstGeom prst="rect">
          <a:avLst/>
        </a:prstGeom>
        <a:noFill/>
        <a:ln w="1">
          <a:noFill/>
          <a:miter lim="800000"/>
          <a:headEnd/>
          <a:tailEnd type="none" w="med" len="med"/>
        </a:ln>
        <a:effectLst/>
      </xdr:spPr>
    </xdr:pic>
    <xdr:clientData/>
  </xdr:twoCellAnchor>
  <xdr:twoCellAnchor editAs="oneCell">
    <xdr:from>
      <xdr:col>0</xdr:col>
      <xdr:colOff>0</xdr:colOff>
      <xdr:row>1</xdr:row>
      <xdr:rowOff>38100</xdr:rowOff>
    </xdr:from>
    <xdr:to>
      <xdr:col>0</xdr:col>
      <xdr:colOff>2057400</xdr:colOff>
      <xdr:row>1</xdr:row>
      <xdr:rowOff>1476375</xdr:rowOff>
    </xdr:to>
    <xdr:pic>
      <xdr:nvPicPr>
        <xdr:cNvPr id="75779"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0" y="1514475"/>
          <a:ext cx="2057400" cy="1438275"/>
        </a:xfrm>
        <a:prstGeom prst="rect">
          <a:avLst/>
        </a:prstGeom>
        <a:noFill/>
        <a:ln w="1">
          <a:noFill/>
          <a:miter lim="800000"/>
          <a:headEnd/>
          <a:tailEnd type="none" w="med" len="med"/>
        </a:ln>
        <a:effectLst/>
      </xdr:spPr>
    </xdr:pic>
    <xdr:clientData/>
  </xdr:twoCellAnchor>
  <xdr:twoCellAnchor editAs="oneCell">
    <xdr:from>
      <xdr:col>0</xdr:col>
      <xdr:colOff>9525</xdr:colOff>
      <xdr:row>2</xdr:row>
      <xdr:rowOff>66675</xdr:rowOff>
    </xdr:from>
    <xdr:to>
      <xdr:col>0</xdr:col>
      <xdr:colOff>2066925</xdr:colOff>
      <xdr:row>2</xdr:row>
      <xdr:rowOff>1504950</xdr:rowOff>
    </xdr:to>
    <xdr:pic>
      <xdr:nvPicPr>
        <xdr:cNvPr id="75780"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9525" y="3067050"/>
          <a:ext cx="2057400" cy="1438275"/>
        </a:xfrm>
        <a:prstGeom prst="rect">
          <a:avLst/>
        </a:prstGeom>
        <a:noFill/>
        <a:ln w="1">
          <a:noFill/>
          <a:miter lim="800000"/>
          <a:headEnd/>
          <a:tailEnd type="none" w="med" len="med"/>
        </a:ln>
        <a:effectLst/>
      </xdr:spPr>
    </xdr:pic>
    <xdr:clientData/>
  </xdr:twoCellAnchor>
  <xdr:twoCellAnchor editAs="oneCell">
    <xdr:from>
      <xdr:col>0</xdr:col>
      <xdr:colOff>0</xdr:colOff>
      <xdr:row>3</xdr:row>
      <xdr:rowOff>95250</xdr:rowOff>
    </xdr:from>
    <xdr:to>
      <xdr:col>0</xdr:col>
      <xdr:colOff>2057400</xdr:colOff>
      <xdr:row>3</xdr:row>
      <xdr:rowOff>1533525</xdr:rowOff>
    </xdr:to>
    <xdr:pic>
      <xdr:nvPicPr>
        <xdr:cNvPr id="75781" name="Picture 5"/>
        <xdr:cNvPicPr>
          <a:picLocks noChangeAspect="1" noChangeArrowheads="1"/>
        </xdr:cNvPicPr>
      </xdr:nvPicPr>
      <xdr:blipFill>
        <a:blip xmlns:r="http://schemas.openxmlformats.org/officeDocument/2006/relationships" r:embed="rId4" cstate="print"/>
        <a:srcRect/>
        <a:stretch>
          <a:fillRect/>
        </a:stretch>
      </xdr:blipFill>
      <xdr:spPr bwMode="auto">
        <a:xfrm>
          <a:off x="0" y="4667250"/>
          <a:ext cx="2057400" cy="1438275"/>
        </a:xfrm>
        <a:prstGeom prst="rect">
          <a:avLst/>
        </a:prstGeom>
        <a:noFill/>
        <a:ln w="1">
          <a:noFill/>
          <a:miter lim="800000"/>
          <a:headEnd/>
          <a:tailEnd type="none" w="med" len="med"/>
        </a:ln>
        <a:effectLst/>
      </xdr:spPr>
    </xdr:pic>
    <xdr:clientData/>
  </xdr:twoCellAnchor>
  <xdr:twoCellAnchor editAs="oneCell">
    <xdr:from>
      <xdr:col>2</xdr:col>
      <xdr:colOff>0</xdr:colOff>
      <xdr:row>0</xdr:row>
      <xdr:rowOff>0</xdr:rowOff>
    </xdr:from>
    <xdr:to>
      <xdr:col>2</xdr:col>
      <xdr:colOff>2057400</xdr:colOff>
      <xdr:row>0</xdr:row>
      <xdr:rowOff>1438275</xdr:rowOff>
    </xdr:to>
    <xdr:pic>
      <xdr:nvPicPr>
        <xdr:cNvPr id="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5057775" y="0"/>
          <a:ext cx="2057400" cy="1438275"/>
        </a:xfrm>
        <a:prstGeom prst="rect">
          <a:avLst/>
        </a:prstGeom>
        <a:noFill/>
        <a:ln w="1">
          <a:noFill/>
          <a:miter lim="800000"/>
          <a:headEnd/>
          <a:tailEnd type="none" w="med" len="med"/>
        </a:ln>
        <a:effectLst/>
      </xdr:spPr>
    </xdr:pic>
    <xdr:clientData/>
  </xdr:twoCellAnchor>
  <xdr:twoCellAnchor editAs="oneCell">
    <xdr:from>
      <xdr:col>2</xdr:col>
      <xdr:colOff>0</xdr:colOff>
      <xdr:row>1</xdr:row>
      <xdr:rowOff>38100</xdr:rowOff>
    </xdr:from>
    <xdr:to>
      <xdr:col>2</xdr:col>
      <xdr:colOff>2057400</xdr:colOff>
      <xdr:row>1</xdr:row>
      <xdr:rowOff>1476375</xdr:rowOff>
    </xdr:to>
    <xdr:pic>
      <xdr:nvPicPr>
        <xdr:cNvPr id="8"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5057775" y="1514475"/>
          <a:ext cx="2057400" cy="1438275"/>
        </a:xfrm>
        <a:prstGeom prst="rect">
          <a:avLst/>
        </a:prstGeom>
        <a:noFill/>
        <a:ln w="1">
          <a:noFill/>
          <a:miter lim="800000"/>
          <a:headEnd/>
          <a:tailEnd type="none" w="med" len="med"/>
        </a:ln>
        <a:effectLst/>
      </xdr:spPr>
    </xdr:pic>
    <xdr:clientData/>
  </xdr:twoCellAnchor>
  <xdr:twoCellAnchor editAs="oneCell">
    <xdr:from>
      <xdr:col>2</xdr:col>
      <xdr:colOff>9525</xdr:colOff>
      <xdr:row>2</xdr:row>
      <xdr:rowOff>66675</xdr:rowOff>
    </xdr:from>
    <xdr:to>
      <xdr:col>2</xdr:col>
      <xdr:colOff>2066925</xdr:colOff>
      <xdr:row>2</xdr:row>
      <xdr:rowOff>1504950</xdr:rowOff>
    </xdr:to>
    <xdr:pic>
      <xdr:nvPicPr>
        <xdr:cNvPr id="9"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5067300" y="3067050"/>
          <a:ext cx="2057400" cy="1438275"/>
        </a:xfrm>
        <a:prstGeom prst="rect">
          <a:avLst/>
        </a:prstGeom>
        <a:noFill/>
        <a:ln w="1">
          <a:noFill/>
          <a:miter lim="800000"/>
          <a:headEnd/>
          <a:tailEnd type="none" w="med" len="med"/>
        </a:ln>
        <a:effectLst/>
      </xdr:spPr>
    </xdr:pic>
    <xdr:clientData/>
  </xdr:twoCellAnchor>
  <xdr:twoCellAnchor editAs="oneCell">
    <xdr:from>
      <xdr:col>2</xdr:col>
      <xdr:colOff>0</xdr:colOff>
      <xdr:row>3</xdr:row>
      <xdr:rowOff>95250</xdr:rowOff>
    </xdr:from>
    <xdr:to>
      <xdr:col>2</xdr:col>
      <xdr:colOff>2057400</xdr:colOff>
      <xdr:row>3</xdr:row>
      <xdr:rowOff>1533525</xdr:rowOff>
    </xdr:to>
    <xdr:pic>
      <xdr:nvPicPr>
        <xdr:cNvPr id="10" name="Picture 5"/>
        <xdr:cNvPicPr>
          <a:picLocks noChangeAspect="1" noChangeArrowheads="1"/>
        </xdr:cNvPicPr>
      </xdr:nvPicPr>
      <xdr:blipFill>
        <a:blip xmlns:r="http://schemas.openxmlformats.org/officeDocument/2006/relationships" r:embed="rId4" cstate="print"/>
        <a:srcRect/>
        <a:stretch>
          <a:fillRect/>
        </a:stretch>
      </xdr:blipFill>
      <xdr:spPr bwMode="auto">
        <a:xfrm>
          <a:off x="5057775" y="4667250"/>
          <a:ext cx="2057400" cy="1438275"/>
        </a:xfrm>
        <a:prstGeom prst="rect">
          <a:avLst/>
        </a:prstGeom>
        <a:noFill/>
        <a:ln w="1">
          <a:noFill/>
          <a:miter lim="800000"/>
          <a:headEnd/>
          <a:tailEnd type="none" w="med" len="med"/>
        </a:ln>
        <a:effectLst/>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15</xdr:row>
          <xdr:rowOff>180975</xdr:rowOff>
        </xdr:from>
        <xdr:to>
          <xdr:col>1</xdr:col>
          <xdr:colOff>1371600</xdr:colOff>
          <xdr:row>17</xdr:row>
          <xdr:rowOff>38100</xdr:rowOff>
        </xdr:to>
        <xdr:sp macro="" textlink="">
          <xdr:nvSpPr>
            <xdr:cNvPr id="209922" name="Check Box 2" hidden="1">
              <a:extLst>
                <a:ext uri="{63B3BB69-23CF-44E3-9099-C40C66FF867C}">
                  <a14:compatExt spid="_x0000_s2099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Show data sources</a:t>
              </a:r>
            </a:p>
          </xdr:txBody>
        </xdr:sp>
        <xdr:clientData/>
      </xdr:twoCellAnchor>
    </mc:Choice>
    <mc:Fallback/>
  </mc:AlternateContent>
  <xdr:twoCellAnchor>
    <xdr:from>
      <xdr:col>2</xdr:col>
      <xdr:colOff>819150</xdr:colOff>
      <xdr:row>16</xdr:row>
      <xdr:rowOff>161925</xdr:rowOff>
    </xdr:from>
    <xdr:to>
      <xdr:col>5</xdr:col>
      <xdr:colOff>209550</xdr:colOff>
      <xdr:row>16</xdr:row>
      <xdr:rowOff>180975</xdr:rowOff>
    </xdr:to>
    <xdr:cxnSp macro="">
      <xdr:nvCxnSpPr>
        <xdr:cNvPr id="209937" name="Straight Arrow Connector 209936"/>
        <xdr:cNvCxnSpPr/>
      </xdr:nvCxnSpPr>
      <xdr:spPr>
        <a:xfrm>
          <a:off x="2886075" y="3286125"/>
          <a:ext cx="5010150" cy="19050"/>
        </a:xfrm>
        <a:prstGeom prst="straightConnector1">
          <a:avLst/>
        </a:prstGeom>
        <a:ln>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2</xdr:col>
      <xdr:colOff>723900</xdr:colOff>
      <xdr:row>41</xdr:row>
      <xdr:rowOff>104775</xdr:rowOff>
    </xdr:from>
    <xdr:to>
      <xdr:col>5</xdr:col>
      <xdr:colOff>676275</xdr:colOff>
      <xdr:row>41</xdr:row>
      <xdr:rowOff>123825</xdr:rowOff>
    </xdr:to>
    <xdr:cxnSp macro="">
      <xdr:nvCxnSpPr>
        <xdr:cNvPr id="50" name="Straight Arrow Connector 49"/>
        <xdr:cNvCxnSpPr/>
      </xdr:nvCxnSpPr>
      <xdr:spPr>
        <a:xfrm>
          <a:off x="2790825" y="8524875"/>
          <a:ext cx="5829300" cy="19050"/>
        </a:xfrm>
        <a:prstGeom prst="straightConnector1">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5</xdr:col>
      <xdr:colOff>1685925</xdr:colOff>
      <xdr:row>16</xdr:row>
      <xdr:rowOff>180975</xdr:rowOff>
    </xdr:from>
    <xdr:to>
      <xdr:col>7</xdr:col>
      <xdr:colOff>257175</xdr:colOff>
      <xdr:row>25</xdr:row>
      <xdr:rowOff>114300</xdr:rowOff>
    </xdr:to>
    <xdr:cxnSp macro="">
      <xdr:nvCxnSpPr>
        <xdr:cNvPr id="209940" name="Straight Arrow Connector 209939"/>
        <xdr:cNvCxnSpPr/>
      </xdr:nvCxnSpPr>
      <xdr:spPr>
        <a:xfrm>
          <a:off x="9020175" y="3305175"/>
          <a:ext cx="1514475" cy="1838325"/>
        </a:xfrm>
        <a:prstGeom prst="straightConnector1">
          <a:avLst/>
        </a:prstGeom>
        <a:ln>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5</xdr:col>
      <xdr:colOff>1628775</xdr:colOff>
      <xdr:row>27</xdr:row>
      <xdr:rowOff>161925</xdr:rowOff>
    </xdr:from>
    <xdr:to>
      <xdr:col>7</xdr:col>
      <xdr:colOff>276225</xdr:colOff>
      <xdr:row>40</xdr:row>
      <xdr:rowOff>190500</xdr:rowOff>
    </xdr:to>
    <xdr:cxnSp macro="">
      <xdr:nvCxnSpPr>
        <xdr:cNvPr id="209942" name="Straight Arrow Connector 209941"/>
        <xdr:cNvCxnSpPr/>
      </xdr:nvCxnSpPr>
      <xdr:spPr>
        <a:xfrm flipV="1">
          <a:off x="8963025" y="5629275"/>
          <a:ext cx="1590675" cy="2790825"/>
        </a:xfrm>
        <a:prstGeom prst="straightConnector1">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0</xdr:col>
          <xdr:colOff>581025</xdr:colOff>
          <xdr:row>40</xdr:row>
          <xdr:rowOff>85725</xdr:rowOff>
        </xdr:from>
        <xdr:to>
          <xdr:col>1</xdr:col>
          <xdr:colOff>1343025</xdr:colOff>
          <xdr:row>41</xdr:row>
          <xdr:rowOff>142875</xdr:rowOff>
        </xdr:to>
        <xdr:sp macro="" textlink="">
          <xdr:nvSpPr>
            <xdr:cNvPr id="209924" name="Check Box 4" hidden="1">
              <a:extLst>
                <a:ext uri="{63B3BB69-23CF-44E3-9099-C40C66FF867C}">
                  <a14:compatExt spid="_x0000_s2099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Show data sources</a:t>
              </a:r>
            </a:p>
          </xdr:txBody>
        </xdr:sp>
        <xdr:clientData/>
      </xdr:twoCellAnchor>
    </mc:Choice>
    <mc:Fallback/>
  </mc:AlternateContent>
  <xdr:twoCellAnchor editAs="oneCell">
    <xdr:from>
      <xdr:col>5</xdr:col>
      <xdr:colOff>209550</xdr:colOff>
      <xdr:row>1</xdr:row>
      <xdr:rowOff>9525</xdr:rowOff>
    </xdr:from>
    <xdr:to>
      <xdr:col>5</xdr:col>
      <xdr:colOff>2770022</xdr:colOff>
      <xdr:row>5</xdr:row>
      <xdr:rowOff>25400</xdr:rowOff>
    </xdr:to>
    <xdr:pic>
      <xdr:nvPicPr>
        <xdr:cNvPr id="58" name="Picture 57" descr="http://www.york.ac.uk/che/staff/staff.ltd/CHE%20Logo%20High%20Resolution.jpg"/>
        <xdr:cNvPicPr>
          <a:picLocks noChangeAspect="1" noChangeArrowheads="1"/>
        </xdr:cNvPicPr>
      </xdr:nvPicPr>
      <xdr:blipFill>
        <a:blip xmlns:r="http://schemas.openxmlformats.org/officeDocument/2006/relationships" r:embed="rId1" cstate="print"/>
        <a:srcRect/>
        <a:stretch>
          <a:fillRect/>
        </a:stretch>
      </xdr:blipFill>
      <xdr:spPr bwMode="auto">
        <a:xfrm>
          <a:off x="8743950" y="200025"/>
          <a:ext cx="2560472" cy="1054100"/>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oneCellAnchor>
    <xdr:from>
      <xdr:col>4</xdr:col>
      <xdr:colOff>1158875</xdr:colOff>
      <xdr:row>3</xdr:row>
      <xdr:rowOff>95250</xdr:rowOff>
    </xdr:from>
    <xdr:ext cx="184731" cy="264560"/>
    <xdr:sp macro="" textlink="">
      <xdr:nvSpPr>
        <xdr:cNvPr id="2" name="TextBox 1"/>
        <xdr:cNvSpPr txBox="1"/>
      </xdr:nvSpPr>
      <xdr:spPr>
        <a:xfrm>
          <a:off x="5969000" y="6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twoCellAnchor editAs="oneCell">
    <xdr:from>
      <xdr:col>8</xdr:col>
      <xdr:colOff>1933575</xdr:colOff>
      <xdr:row>3</xdr:row>
      <xdr:rowOff>25400</xdr:rowOff>
    </xdr:from>
    <xdr:to>
      <xdr:col>10</xdr:col>
      <xdr:colOff>1480972</xdr:colOff>
      <xdr:row>7</xdr:row>
      <xdr:rowOff>3175</xdr:rowOff>
    </xdr:to>
    <xdr:pic>
      <xdr:nvPicPr>
        <xdr:cNvPr id="4" name="Picture 3" descr="http://www.york.ac.uk/che/staff/staff.ltd/CHE%20Logo%20High%20Resolution.jpg"/>
        <xdr:cNvPicPr>
          <a:picLocks noChangeAspect="1" noChangeArrowheads="1"/>
        </xdr:cNvPicPr>
      </xdr:nvPicPr>
      <xdr:blipFill>
        <a:blip xmlns:r="http://schemas.openxmlformats.org/officeDocument/2006/relationships" r:embed="rId1" cstate="print"/>
        <a:srcRect/>
        <a:stretch>
          <a:fillRect/>
        </a:stretch>
      </xdr:blipFill>
      <xdr:spPr bwMode="auto">
        <a:xfrm>
          <a:off x="8734425" y="596900"/>
          <a:ext cx="2576347" cy="1054100"/>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0</xdr:col>
          <xdr:colOff>590550</xdr:colOff>
          <xdr:row>24</xdr:row>
          <xdr:rowOff>0</xdr:rowOff>
        </xdr:from>
        <xdr:to>
          <xdr:col>1</xdr:col>
          <xdr:colOff>1352550</xdr:colOff>
          <xdr:row>24</xdr:row>
          <xdr:rowOff>304800</xdr:rowOff>
        </xdr:to>
        <xdr:sp macro="" textlink="">
          <xdr:nvSpPr>
            <xdr:cNvPr id="147457" name="Check Box 1" hidden="1">
              <a:extLst>
                <a:ext uri="{63B3BB69-23CF-44E3-9099-C40C66FF867C}">
                  <a14:compatExt spid="_x0000_s1474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Show more data</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serfs\kg716\Downloads\National_productivity_05112013%20(Autosaved)%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Note to the user"/>
      <sheetName val="Table of contents"/>
      <sheetName val="Inputs direct labour (3)"/>
      <sheetName val="Inputs direct labour"/>
      <sheetName val="Glossary"/>
      <sheetName val="Prescribing"/>
      <sheetName val="Indirect labour inputs - all "/>
      <sheetName val="Sheet15"/>
      <sheetName val="Sheet4"/>
      <sheetName val="Indirect labour inputs - recent"/>
      <sheetName val="Indirect intermediates- recent"/>
      <sheetName val="Indirect intermediates - all"/>
      <sheetName val="Primary care"/>
      <sheetName val="Sheet7"/>
      <sheetName val="Inputs indirect expenditure"/>
      <sheetName val="QA Primary Care"/>
      <sheetName val="Direct labour Inputs"/>
      <sheetName val="Capital inputs - all"/>
      <sheetName val="Sheet5"/>
      <sheetName val="Capital inputs - recent"/>
      <sheetName val="Direct labour Inputs - med"/>
      <sheetName val="Inputs direct labour (2)"/>
      <sheetName val="Prescribing_hidden"/>
      <sheetName val="Sheet14"/>
      <sheetName val="Total inputs"/>
      <sheetName val="Productivity (3)"/>
      <sheetName val="Ind_inter_backfile"/>
      <sheetName val="Total indirect inputs - all"/>
      <sheetName val="Total indirect inputs - recent"/>
      <sheetName val="Reference Costs Breakdown"/>
      <sheetName val="Reference Costs Output (4)"/>
      <sheetName val="Inputs index (2)"/>
      <sheetName val="HES output"/>
      <sheetName val="HES QA backend"/>
      <sheetName val="HES output (2)"/>
      <sheetName val="Sheet6"/>
      <sheetName val="Inpatient and Outpatient"/>
      <sheetName val="Sheet8"/>
      <sheetName val="Sheet10"/>
      <sheetName val="Sheet8 (2)"/>
      <sheetName val="Reference Costs Output"/>
      <sheetName val="Primary care (2)"/>
      <sheetName val="Reference Costs Output (2)"/>
      <sheetName val="Sheet2"/>
      <sheetName val="Sheet1"/>
      <sheetName val="Primary Care QA"/>
      <sheetName val="Deflators"/>
      <sheetName val="Quality adjustment"/>
      <sheetName val="Reference Costs Output (3)"/>
      <sheetName val="Productivity (2)"/>
      <sheetName val="Prody"/>
      <sheetName val="Productivity"/>
      <sheetName val="Publications"/>
      <sheetName val="Productivity (4)"/>
      <sheetName val="Productivity (5)"/>
      <sheetName val="Deflt"/>
    </sheetNames>
    <sheetDataSet>
      <sheetData sheetId="0"/>
      <sheetData sheetId="1"/>
      <sheetData sheetId="2"/>
      <sheetData sheetId="3"/>
      <sheetData sheetId="4"/>
      <sheetData sheetId="5"/>
      <sheetData sheetId="6"/>
      <sheetData sheetId="7"/>
      <sheetData sheetId="8">
        <row r="7">
          <cell r="Z7" t="str">
            <v>Total FTEs</v>
          </cell>
        </row>
        <row r="8">
          <cell r="Z8" t="str">
            <v>Total Spend [£]</v>
          </cell>
        </row>
      </sheetData>
      <sheetData sheetId="9">
        <row r="1">
          <cell r="B1" t="str">
            <v>PCT</v>
          </cell>
          <cell r="D1" t="str">
            <v>PCT</v>
          </cell>
        </row>
        <row r="2">
          <cell r="B2" t="str">
            <v>SHA</v>
          </cell>
          <cell r="D2" t="str">
            <v>SHA</v>
          </cell>
        </row>
        <row r="3">
          <cell r="B3" t="str">
            <v>Total</v>
          </cell>
          <cell r="D3" t="str">
            <v>Total</v>
          </cell>
        </row>
        <row r="4">
          <cell r="B4" t="str">
            <v>Trusts and Foundation Trusts</v>
          </cell>
          <cell r="D4" t="str">
            <v>Trusts and Foundation Trusts</v>
          </cell>
        </row>
      </sheetData>
      <sheetData sheetId="10">
        <row r="9">
          <cell r="B9" t="str">
            <v>Total</v>
          </cell>
        </row>
      </sheetData>
      <sheetData sheetId="11">
        <row r="18">
          <cell r="B18" t="str">
            <v>PCTs</v>
          </cell>
        </row>
      </sheetData>
      <sheetData sheetId="12"/>
      <sheetData sheetId="13">
        <row r="10">
          <cell r="B10" t="str">
            <v>Activity</v>
          </cell>
        </row>
      </sheetData>
      <sheetData sheetId="14">
        <row r="1">
          <cell r="B1" t="str">
            <v>PCTs</v>
          </cell>
        </row>
        <row r="2">
          <cell r="B2" t="str">
            <v>All trusts</v>
          </cell>
        </row>
      </sheetData>
      <sheetData sheetId="15">
        <row r="45">
          <cell r="R45" t="str">
            <v>Trusts and Foundation Trusts</v>
          </cell>
        </row>
        <row r="46">
          <cell r="R46" t="str">
            <v>PCT</v>
          </cell>
        </row>
        <row r="47">
          <cell r="R47" t="str">
            <v>SHA</v>
          </cell>
        </row>
        <row r="48">
          <cell r="R48" t="str">
            <v>Total</v>
          </cell>
        </row>
      </sheetData>
      <sheetData sheetId="16"/>
      <sheetData sheetId="17"/>
      <sheetData sheetId="18"/>
      <sheetData sheetId="19"/>
      <sheetData sheetId="20">
        <row r="23">
          <cell r="A23" t="str">
            <v>PCTsEquipment</v>
          </cell>
        </row>
      </sheetData>
      <sheetData sheetId="21"/>
      <sheetData sheetId="22">
        <row r="17">
          <cell r="S17" t="str">
            <v>Equipment</v>
          </cell>
        </row>
        <row r="18">
          <cell r="S18" t="str">
            <v>Premises</v>
          </cell>
        </row>
        <row r="31">
          <cell r="S31" t="str">
            <v>All trusts</v>
          </cell>
        </row>
        <row r="32">
          <cell r="S32" t="str">
            <v>PCTs</v>
          </cell>
        </row>
      </sheetData>
      <sheetData sheetId="23"/>
      <sheetData sheetId="24"/>
      <sheetData sheetId="25"/>
      <sheetData sheetId="26"/>
      <sheetData sheetId="27">
        <row r="4">
          <cell r="P4" t="str">
            <v>All trusts</v>
          </cell>
        </row>
        <row r="5">
          <cell r="P5" t="str">
            <v>PCTs</v>
          </cell>
        </row>
      </sheetData>
      <sheetData sheetId="28"/>
      <sheetData sheetId="29"/>
      <sheetData sheetId="30"/>
      <sheetData sheetId="31"/>
      <sheetData sheetId="32"/>
      <sheetData sheetId="33"/>
      <sheetData sheetId="34"/>
      <sheetData sheetId="35">
        <row r="109">
          <cell r="D109" t="str">
            <v>Elective and Day Case</v>
          </cell>
        </row>
        <row r="110">
          <cell r="D110" t="str">
            <v>Non-elective</v>
          </cell>
        </row>
        <row r="111">
          <cell r="D111" t="str">
            <v>Elective and Day Case Mental Health</v>
          </cell>
        </row>
        <row r="112">
          <cell r="D112" t="str">
            <v>Non-elective Mental Health</v>
          </cell>
        </row>
      </sheetData>
      <sheetData sheetId="36">
        <row r="1">
          <cell r="B1" t="str">
            <v>PCTsEquipment</v>
          </cell>
        </row>
        <row r="2">
          <cell r="B2" t="str">
            <v>All TrustsEquipment</v>
          </cell>
        </row>
        <row r="3">
          <cell r="B3" t="str">
            <v>All TrustsPremises</v>
          </cell>
        </row>
        <row r="4">
          <cell r="B4" t="str">
            <v>PCTsPremises</v>
          </cell>
        </row>
      </sheetData>
      <sheetData sheetId="37"/>
      <sheetData sheetId="38"/>
      <sheetData sheetId="39"/>
      <sheetData sheetId="40">
        <row r="34">
          <cell r="J34" t="str">
            <v>Elective and day cases</v>
          </cell>
        </row>
        <row r="35">
          <cell r="J35" t="str">
            <v>Non-electives</v>
          </cell>
        </row>
        <row r="36">
          <cell r="J36" t="str">
            <v>Total hospital activity</v>
          </cell>
        </row>
      </sheetData>
      <sheetData sheetId="41">
        <row r="107">
          <cell r="B107" t="str">
            <v>1997/98</v>
          </cell>
        </row>
      </sheetData>
      <sheetData sheetId="42">
        <row r="18">
          <cell r="P18" t="str">
            <v>Activity</v>
          </cell>
        </row>
        <row r="19">
          <cell r="P19" t="str">
            <v>Average Cost [£]</v>
          </cell>
        </row>
      </sheetData>
      <sheetData sheetId="43">
        <row r="16">
          <cell r="K16" t="str">
            <v>A&amp;E Services</v>
          </cell>
        </row>
        <row r="17">
          <cell r="K17" t="str">
            <v xml:space="preserve">Chemo/Radiotherapy &amp; High Cost Drugs </v>
          </cell>
        </row>
        <row r="18">
          <cell r="K18" t="str">
            <v>Community Care</v>
          </cell>
        </row>
        <row r="19">
          <cell r="K19" t="str">
            <v>Diagnostic Tests</v>
          </cell>
        </row>
        <row r="20">
          <cell r="K20" t="str">
            <v>Hospital and Non-Admitted Mental Health</v>
          </cell>
        </row>
        <row r="21">
          <cell r="K21" t="str">
            <v>Hospital/Patient Transport Sheme</v>
          </cell>
        </row>
        <row r="22">
          <cell r="K22" t="str">
            <v>Other</v>
          </cell>
        </row>
        <row r="23">
          <cell r="K23" t="str">
            <v>Outpatient</v>
          </cell>
        </row>
        <row r="24">
          <cell r="K24" t="str">
            <v>Radiology</v>
          </cell>
        </row>
        <row r="25">
          <cell r="K25" t="str">
            <v>Rehabilitation</v>
          </cell>
        </row>
        <row r="26">
          <cell r="K26" t="str">
            <v>Renal Dialysis</v>
          </cell>
        </row>
        <row r="27">
          <cell r="K27" t="str">
            <v>Specialist Services</v>
          </cell>
        </row>
      </sheetData>
      <sheetData sheetId="44">
        <row r="1">
          <cell r="A1">
            <v>0</v>
          </cell>
          <cell r="B1" t="str">
            <v>Activity</v>
          </cell>
        </row>
        <row r="2">
          <cell r="A2">
            <v>0</v>
          </cell>
          <cell r="B2" t="str">
            <v>Average Cost [£]</v>
          </cell>
        </row>
      </sheetData>
      <sheetData sheetId="45"/>
      <sheetData sheetId="46"/>
      <sheetData sheetId="47">
        <row r="12">
          <cell r="C12" t="str">
            <v>Pay Index</v>
          </cell>
        </row>
        <row r="13">
          <cell r="C13" t="str">
            <v>Prices Index</v>
          </cell>
        </row>
        <row r="14">
          <cell r="C14" t="str">
            <v>Pay &amp; Prices index</v>
          </cell>
        </row>
        <row r="15">
          <cell r="C15" t="str">
            <v>CHE drugs index</v>
          </cell>
        </row>
        <row r="16">
          <cell r="C16" t="str">
            <v xml:space="preserve">Medical equipment </v>
          </cell>
        </row>
        <row r="17">
          <cell r="C17" t="str">
            <v>Computer machinery</v>
          </cell>
        </row>
        <row r="18">
          <cell r="C18" t="str">
            <v>Electrical Machinery</v>
          </cell>
        </row>
      </sheetData>
      <sheetData sheetId="48"/>
      <sheetData sheetId="49"/>
      <sheetData sheetId="50">
        <row r="15">
          <cell r="N15" t="str">
            <v>Reference Costs</v>
          </cell>
        </row>
        <row r="16">
          <cell r="N16" t="str">
            <v>TFR</v>
          </cell>
        </row>
        <row r="18">
          <cell r="N18" t="str">
            <v>Direct (FTEs)</v>
          </cell>
        </row>
        <row r="19">
          <cell r="N19" t="str">
            <v>Indirect (Expenditure)</v>
          </cell>
        </row>
      </sheetData>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onlinelibrary.wiley.com/doi/10.1002/hec.2794/abstract" TargetMode="External"/><Relationship Id="rId13" Type="http://schemas.openxmlformats.org/officeDocument/2006/relationships/drawing" Target="../drawings/drawing1.xml"/><Relationship Id="rId3" Type="http://schemas.openxmlformats.org/officeDocument/2006/relationships/hyperlink" Target="http://www.ncbi.nlm.nih.gov/pubmed/17294495" TargetMode="External"/><Relationship Id="rId7" Type="http://schemas.openxmlformats.org/officeDocument/2006/relationships/hyperlink" Target="http://www.york.ac.uk/media/che/documents/papers/researchpapers/CHERP57_regional_variation_in_NHS_productivity.pdf" TargetMode="External"/><Relationship Id="rId12" Type="http://schemas.openxmlformats.org/officeDocument/2006/relationships/printerSettings" Target="../printerSettings/printerSettings2.bin"/><Relationship Id="rId2" Type="http://schemas.openxmlformats.org/officeDocument/2006/relationships/hyperlink" Target="http://www.york.ac.uk/media/che/documents/papers/researchpapers/rp6_Measuring_NHS_outputs_and_productivity.pdf" TargetMode="External"/><Relationship Id="rId1" Type="http://schemas.openxmlformats.org/officeDocument/2006/relationships/printerSettings" Target="../printerSettings/printerSettings1.bin"/><Relationship Id="rId6" Type="http://schemas.openxmlformats.org/officeDocument/2006/relationships/hyperlink" Target="http://www.york.ac.uk/media/che/documents/papers/researchpapers/rp47_NHS_input_and_productivity_growth_2003_4.pdf" TargetMode="External"/><Relationship Id="rId11" Type="http://schemas.openxmlformats.org/officeDocument/2006/relationships/hyperlink" Target="http://www.york.ac.uk/media/che/documents/papers/researchpapers/CHERP87_NHS_productivity.pdf" TargetMode="External"/><Relationship Id="rId5" Type="http://schemas.openxmlformats.org/officeDocument/2006/relationships/hyperlink" Target="http://www.york.ac.uk/media/che/documents/papers/researchpapers/rp43_measuring_NHS_output_growth.pdf" TargetMode="External"/><Relationship Id="rId10" Type="http://schemas.openxmlformats.org/officeDocument/2006/relationships/hyperlink" Target="http://www.ncbi.nlm.nih.gov/pubmed/20979686" TargetMode="External"/><Relationship Id="rId4" Type="http://schemas.openxmlformats.org/officeDocument/2006/relationships/hyperlink" Target="http://ner.sagepub.com/content/200/1/105.2.refs" TargetMode="External"/><Relationship Id="rId9" Type="http://schemas.openxmlformats.org/officeDocument/2006/relationships/hyperlink" Target="http://www.york.ac.uk/media/che/documents/papers/researchpapers/CHERP76_Productivity_of_the_English_NHS.pdf" TargetMode="External"/><Relationship Id="rId1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13.bin"/><Relationship Id="rId4" Type="http://schemas.openxmlformats.org/officeDocument/2006/relationships/ctrlProp" Target="../ctrlProps/ctrlProp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trlProp" Target="../ctrlProps/ctrlProp5.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2.xml"/><Relationship Id="rId1" Type="http://schemas.openxmlformats.org/officeDocument/2006/relationships/printerSettings" Target="../printerSettings/printerSettings15.bin"/><Relationship Id="rId4" Type="http://schemas.openxmlformats.org/officeDocument/2006/relationships/ctrlProp" Target="../ctrlProps/ctrlProp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3.xml"/><Relationship Id="rId1" Type="http://schemas.openxmlformats.org/officeDocument/2006/relationships/printerSettings" Target="../printerSettings/printerSettings16.bin"/><Relationship Id="rId4" Type="http://schemas.openxmlformats.org/officeDocument/2006/relationships/ctrlProp" Target="../ctrlProps/ctrlProp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4.xml"/><Relationship Id="rId1" Type="http://schemas.openxmlformats.org/officeDocument/2006/relationships/printerSettings" Target="../printerSettings/printerSettings17.bin"/><Relationship Id="rId4" Type="http://schemas.openxmlformats.org/officeDocument/2006/relationships/ctrlProp" Target="../ctrlProps/ctrlProp8.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5.xml"/><Relationship Id="rId1" Type="http://schemas.openxmlformats.org/officeDocument/2006/relationships/printerSettings" Target="../printerSettings/printerSettings18.bin"/><Relationship Id="rId4" Type="http://schemas.openxmlformats.org/officeDocument/2006/relationships/ctrlProp" Target="../ctrlProps/ctrlProp9.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8.xml"/><Relationship Id="rId1" Type="http://schemas.openxmlformats.org/officeDocument/2006/relationships/printerSettings" Target="../printerSettings/printerSettings21.bin"/><Relationship Id="rId4" Type="http://schemas.openxmlformats.org/officeDocument/2006/relationships/ctrlProp" Target="../ctrlProps/ctrlProp10.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9.xml"/><Relationship Id="rId1" Type="http://schemas.openxmlformats.org/officeDocument/2006/relationships/printerSettings" Target="../printerSettings/printerSettings22.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5" Type="http://schemas.openxmlformats.org/officeDocument/2006/relationships/ctrlProp" Target="../ctrlProps/ctrlProp14.xml"/><Relationship Id="rId4" Type="http://schemas.openxmlformats.org/officeDocument/2006/relationships/vmlDrawing" Target="../drawings/vmlDrawing12.v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19.xml"/><Relationship Id="rId13" Type="http://schemas.openxmlformats.org/officeDocument/2006/relationships/comments" Target="../comments1.xml"/><Relationship Id="rId3" Type="http://schemas.openxmlformats.org/officeDocument/2006/relationships/vmlDrawing" Target="../drawings/vmlDrawing13.vml"/><Relationship Id="rId7" Type="http://schemas.openxmlformats.org/officeDocument/2006/relationships/ctrlProp" Target="../ctrlProps/ctrlProp18.xml"/><Relationship Id="rId12" Type="http://schemas.openxmlformats.org/officeDocument/2006/relationships/ctrlProp" Target="../ctrlProps/ctrlProp23.xml"/><Relationship Id="rId2" Type="http://schemas.openxmlformats.org/officeDocument/2006/relationships/drawing" Target="../drawings/drawing21.xml"/><Relationship Id="rId1" Type="http://schemas.openxmlformats.org/officeDocument/2006/relationships/printerSettings" Target="../printerSettings/printerSettings25.bin"/><Relationship Id="rId6" Type="http://schemas.openxmlformats.org/officeDocument/2006/relationships/ctrlProp" Target="../ctrlProps/ctrlProp17.xml"/><Relationship Id="rId11" Type="http://schemas.openxmlformats.org/officeDocument/2006/relationships/ctrlProp" Target="../ctrlProps/ctrlProp22.xml"/><Relationship Id="rId5" Type="http://schemas.openxmlformats.org/officeDocument/2006/relationships/ctrlProp" Target="../ctrlProps/ctrlProp16.xml"/><Relationship Id="rId10" Type="http://schemas.openxmlformats.org/officeDocument/2006/relationships/ctrlProp" Target="../ctrlProps/ctrlProp21.xml"/><Relationship Id="rId4" Type="http://schemas.openxmlformats.org/officeDocument/2006/relationships/ctrlProp" Target="../ctrlProps/ctrlProp15.xml"/><Relationship Id="rId9" Type="http://schemas.openxmlformats.org/officeDocument/2006/relationships/ctrlProp" Target="../ctrlProps/ctrlProp20.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2.xml"/><Relationship Id="rId1" Type="http://schemas.openxmlformats.org/officeDocument/2006/relationships/printerSettings" Target="../printerSettings/printerSettings26.bin"/><Relationship Id="rId4" Type="http://schemas.openxmlformats.org/officeDocument/2006/relationships/comments" Target="../comments2.x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5" Type="http://schemas.openxmlformats.org/officeDocument/2006/relationships/ctrlProp" Target="../ctrlProps/ctrlProp24.xml"/><Relationship Id="rId4"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ctrlProp" Target="../ctrlProps/ctrlProp25.xml"/><Relationship Id="rId4"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5" Type="http://schemas.openxmlformats.org/officeDocument/2006/relationships/comments" Target="../comments3.xml"/><Relationship Id="rId4"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6.xml"/><Relationship Id="rId1" Type="http://schemas.openxmlformats.org/officeDocument/2006/relationships/printerSettings" Target="../printerSettings/printerSettings33.bin"/><Relationship Id="rId4" Type="http://schemas.openxmlformats.org/officeDocument/2006/relationships/ctrlProp" Target="../ctrlProps/ctrlProp26.xm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5" Type="http://schemas.openxmlformats.org/officeDocument/2006/relationships/ctrlProp" Target="../ctrlProps/ctrlProp27.xml"/><Relationship Id="rId4"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8.xml"/><Relationship Id="rId1" Type="http://schemas.openxmlformats.org/officeDocument/2006/relationships/printerSettings" Target="../printerSettings/printerSettings36.bin"/><Relationship Id="rId4" Type="http://schemas.openxmlformats.org/officeDocument/2006/relationships/ctrlProp" Target="../ctrlProps/ctrlProp28.x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33.xml"/><Relationship Id="rId1" Type="http://schemas.openxmlformats.org/officeDocument/2006/relationships/printerSettings" Target="../printerSettings/printerSettings45.bin"/><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34.xml"/><Relationship Id="rId1" Type="http://schemas.openxmlformats.org/officeDocument/2006/relationships/printerSettings" Target="../printerSettings/printerSettings46.bin"/><Relationship Id="rId6" Type="http://schemas.openxmlformats.org/officeDocument/2006/relationships/ctrlProp" Target="../ctrlProps/ctrlProp33.xml"/><Relationship Id="rId5" Type="http://schemas.openxmlformats.org/officeDocument/2006/relationships/ctrlProp" Target="../ctrlProps/ctrlProp32.xml"/><Relationship Id="rId4" Type="http://schemas.openxmlformats.org/officeDocument/2006/relationships/ctrlProp" Target="../ctrlProps/ctrlProp31.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35.xml"/><Relationship Id="rId1" Type="http://schemas.openxmlformats.org/officeDocument/2006/relationships/printerSettings" Target="../printerSettings/printerSettings47.bin"/><Relationship Id="rId6" Type="http://schemas.openxmlformats.org/officeDocument/2006/relationships/ctrlProp" Target="../ctrlProps/ctrlProp36.xml"/><Relationship Id="rId5" Type="http://schemas.openxmlformats.org/officeDocument/2006/relationships/ctrlProp" Target="../ctrlProps/ctrlProp35.xml"/><Relationship Id="rId4" Type="http://schemas.openxmlformats.org/officeDocument/2006/relationships/ctrlProp" Target="../ctrlProps/ctrlProp34.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0.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8.xml"/><Relationship Id="rId1" Type="http://schemas.openxmlformats.org/officeDocument/2006/relationships/printerSettings" Target="../printerSettings/printerSettings51.bin"/><Relationship Id="rId5" Type="http://schemas.openxmlformats.org/officeDocument/2006/relationships/ctrlProp" Target="../ctrlProps/ctrlProp38.xml"/><Relationship Id="rId4" Type="http://schemas.openxmlformats.org/officeDocument/2006/relationships/ctrlProp" Target="../ctrlProps/ctrlProp37.xm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44.xml"/><Relationship Id="rId1" Type="http://schemas.openxmlformats.org/officeDocument/2006/relationships/printerSettings" Target="../printerSettings/printerSettings56.bin"/><Relationship Id="rId4" Type="http://schemas.openxmlformats.org/officeDocument/2006/relationships/ctrlProp" Target="../ctrlProps/ctrlProp39.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45.xml"/><Relationship Id="rId1" Type="http://schemas.openxmlformats.org/officeDocument/2006/relationships/printerSettings" Target="../printerSettings/printerSettings57.bin"/><Relationship Id="rId4" Type="http://schemas.openxmlformats.org/officeDocument/2006/relationships/ctrlProp" Target="../ctrlProps/ctrlProp40.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46.xml"/><Relationship Id="rId1" Type="http://schemas.openxmlformats.org/officeDocument/2006/relationships/printerSettings" Target="../printerSettings/printerSettings58.bin"/><Relationship Id="rId4" Type="http://schemas.openxmlformats.org/officeDocument/2006/relationships/ctrlProp" Target="../ctrlProps/ctrlProp4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 Id="rId5" Type="http://schemas.openxmlformats.org/officeDocument/2006/relationships/comments" Target="../comments5.xml"/><Relationship Id="rId4" Type="http://schemas.openxmlformats.org/officeDocument/2006/relationships/vmlDrawing" Target="../drawings/vmlDrawing29.vml"/></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1.bin"/><Relationship Id="rId4" Type="http://schemas.openxmlformats.org/officeDocument/2006/relationships/ctrlProp" Target="../ctrlProps/ctrlProp1.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63.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 Id="rId5" Type="http://schemas.openxmlformats.org/officeDocument/2006/relationships/comments" Target="../comments6.xml"/><Relationship Id="rId4" Type="http://schemas.openxmlformats.org/officeDocument/2006/relationships/vmlDrawing" Target="../drawings/vmlDrawing30.v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59.xml"/><Relationship Id="rId1" Type="http://schemas.openxmlformats.org/officeDocument/2006/relationships/printerSettings" Target="../printerSettings/printerSettings68.bin"/><Relationship Id="rId5" Type="http://schemas.openxmlformats.org/officeDocument/2006/relationships/comments" Target="../comments7.xml"/><Relationship Id="rId4" Type="http://schemas.openxmlformats.org/officeDocument/2006/relationships/ctrlProp" Target="../ctrlProps/ctrlProp42.xml"/></Relationships>
</file>

<file path=xl/worksheets/_rels/sheet66.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5" Type="http://schemas.openxmlformats.org/officeDocument/2006/relationships/ctrlProp" Target="../ctrlProps/ctrlProp43.xml"/><Relationship Id="rId4" Type="http://schemas.openxmlformats.org/officeDocument/2006/relationships/vmlDrawing" Target="../drawings/vmlDrawing32.vml"/></Relationships>
</file>

<file path=xl/worksheets/_rels/sheet67.xml.rels><?xml version="1.0" encoding="UTF-8" standalone="yes"?>
<Relationships xmlns="http://schemas.openxmlformats.org/package/2006/relationships"><Relationship Id="rId8" Type="http://schemas.openxmlformats.org/officeDocument/2006/relationships/hyperlink" Target="http://onlinelibrary.wiley.com/doi/10.1002/hec.2794/abstract" TargetMode="External"/><Relationship Id="rId3" Type="http://schemas.openxmlformats.org/officeDocument/2006/relationships/hyperlink" Target="http://www.ncbi.nlm.nih.gov/pubmed/17294495" TargetMode="External"/><Relationship Id="rId7" Type="http://schemas.openxmlformats.org/officeDocument/2006/relationships/hyperlink" Target="http://www.york.ac.uk/media/che/documents/papers/researchpapers/CHERP57_regional_variation_in_NHS_productivity.pdf" TargetMode="External"/><Relationship Id="rId12" Type="http://schemas.openxmlformats.org/officeDocument/2006/relationships/drawing" Target="../drawings/drawing61.xml"/><Relationship Id="rId2" Type="http://schemas.openxmlformats.org/officeDocument/2006/relationships/hyperlink" Target="http://www.york.ac.uk/media/che/documents/papers/researchpapers/rp6_Measuring_NHS_outputs_and_productivity.pdf" TargetMode="External"/><Relationship Id="rId1" Type="http://schemas.openxmlformats.org/officeDocument/2006/relationships/printerSettings" Target="../printerSettings/printerSettings71.bin"/><Relationship Id="rId6" Type="http://schemas.openxmlformats.org/officeDocument/2006/relationships/hyperlink" Target="http://www.york.ac.uk/media/che/documents/papers/researchpapers/rp47_NHS_input_and_productivity_growth_2003_4.pdf" TargetMode="External"/><Relationship Id="rId11" Type="http://schemas.openxmlformats.org/officeDocument/2006/relationships/printerSettings" Target="../printerSettings/printerSettings72.bin"/><Relationship Id="rId5" Type="http://schemas.openxmlformats.org/officeDocument/2006/relationships/hyperlink" Target="http://www.york.ac.uk/media/che/documents/papers/researchpapers/rp43_measuring_NHS_output_growth.pdf" TargetMode="External"/><Relationship Id="rId10" Type="http://schemas.openxmlformats.org/officeDocument/2006/relationships/hyperlink" Target="http://www.ncbi.nlm.nih.gov/pubmed/20979686" TargetMode="External"/><Relationship Id="rId4" Type="http://schemas.openxmlformats.org/officeDocument/2006/relationships/hyperlink" Target="http://ner.sagepub.com/content/200/1/105.2.refs" TargetMode="External"/><Relationship Id="rId9" Type="http://schemas.openxmlformats.org/officeDocument/2006/relationships/hyperlink" Target="http://www.york.ac.uk/media/che/documents/papers/researchpapers/CHERP76_Productivity_of_the_English_NHS.pdf" TargetMode="External"/></Relationships>
</file>

<file path=xl/worksheets/_rels/sheet68.xml.rels><?xml version="1.0" encoding="UTF-8" standalone="yes"?>
<Relationships xmlns="http://schemas.openxmlformats.org/package/2006/relationships"><Relationship Id="rId3" Type="http://schemas.openxmlformats.org/officeDocument/2006/relationships/drawing" Target="../drawings/drawing62.xml"/><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63.xml"/><Relationship Id="rId1" Type="http://schemas.openxmlformats.org/officeDocument/2006/relationships/printerSettings" Target="../printerSettings/printerSettings75.bin"/><Relationship Id="rId5" Type="http://schemas.openxmlformats.org/officeDocument/2006/relationships/ctrlProp" Target="../ctrlProps/ctrlProp45.xml"/><Relationship Id="rId4" Type="http://schemas.openxmlformats.org/officeDocument/2006/relationships/ctrlProp" Target="../ctrlProps/ctrlProp44.xml"/></Relationships>
</file>

<file path=xl/worksheets/_rels/sheet70.xml.rels><?xml version="1.0" encoding="UTF-8" standalone="yes"?>
<Relationships xmlns="http://schemas.openxmlformats.org/package/2006/relationships"><Relationship Id="rId8" Type="http://schemas.openxmlformats.org/officeDocument/2006/relationships/ctrlProp" Target="../ctrlProps/ctrlProp50.xml"/><Relationship Id="rId3" Type="http://schemas.openxmlformats.org/officeDocument/2006/relationships/vmlDrawing" Target="../drawings/vmlDrawing34.vml"/><Relationship Id="rId7" Type="http://schemas.openxmlformats.org/officeDocument/2006/relationships/ctrlProp" Target="../ctrlProps/ctrlProp49.xml"/><Relationship Id="rId12" Type="http://schemas.openxmlformats.org/officeDocument/2006/relationships/ctrlProp" Target="../ctrlProps/ctrlProp54.xml"/><Relationship Id="rId2" Type="http://schemas.openxmlformats.org/officeDocument/2006/relationships/drawing" Target="../drawings/drawing64.xml"/><Relationship Id="rId1" Type="http://schemas.openxmlformats.org/officeDocument/2006/relationships/printerSettings" Target="../printerSettings/printerSettings76.bin"/><Relationship Id="rId6" Type="http://schemas.openxmlformats.org/officeDocument/2006/relationships/ctrlProp" Target="../ctrlProps/ctrlProp48.xml"/><Relationship Id="rId11" Type="http://schemas.openxmlformats.org/officeDocument/2006/relationships/ctrlProp" Target="../ctrlProps/ctrlProp53.xml"/><Relationship Id="rId5" Type="http://schemas.openxmlformats.org/officeDocument/2006/relationships/ctrlProp" Target="../ctrlProps/ctrlProp47.xml"/><Relationship Id="rId10" Type="http://schemas.openxmlformats.org/officeDocument/2006/relationships/ctrlProp" Target="../ctrlProps/ctrlProp52.xml"/><Relationship Id="rId4" Type="http://schemas.openxmlformats.org/officeDocument/2006/relationships/ctrlProp" Target="../ctrlProps/ctrlProp46.xml"/><Relationship Id="rId9" Type="http://schemas.openxmlformats.org/officeDocument/2006/relationships/ctrlProp" Target="../ctrlProps/ctrlProp51.xml"/></Relationships>
</file>

<file path=xl/worksheets/_rels/sheet71.xml.rels><?xml version="1.0" encoding="UTF-8" standalone="yes"?>
<Relationships xmlns="http://schemas.openxmlformats.org/package/2006/relationships"><Relationship Id="rId3" Type="http://schemas.openxmlformats.org/officeDocument/2006/relationships/drawing" Target="../drawings/drawing65.xml"/><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12.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6" tint="0.39997558519241921"/>
  </sheetPr>
  <dimension ref="A4:K39"/>
  <sheetViews>
    <sheetView showGridLines="0" showRowColHeaders="0" tabSelected="1" topLeftCell="A10" zoomScaleNormal="100" workbookViewId="0">
      <selection activeCell="B39" sqref="B39"/>
    </sheetView>
  </sheetViews>
  <sheetFormatPr defaultRowHeight="15" x14ac:dyDescent="0.25"/>
  <cols>
    <col min="1" max="1" width="9.140625" style="233"/>
    <col min="2" max="2" width="30.7109375" style="233" customWidth="1"/>
    <col min="3" max="16384" width="9.140625" style="233"/>
  </cols>
  <sheetData>
    <row r="4" spans="1:8" ht="31.5" x14ac:dyDescent="0.5">
      <c r="B4" s="626" t="s">
        <v>496</v>
      </c>
    </row>
    <row r="5" spans="1:8" ht="31.5" x14ac:dyDescent="0.5">
      <c r="B5" s="626"/>
    </row>
    <row r="6" spans="1:8" ht="17.25" x14ac:dyDescent="0.3">
      <c r="B6" s="1535" t="s">
        <v>894</v>
      </c>
    </row>
    <row r="8" spans="1:8" ht="15.75" x14ac:dyDescent="0.25">
      <c r="B8" s="355" t="s">
        <v>0</v>
      </c>
    </row>
    <row r="9" spans="1:8" ht="18" customHeight="1" x14ac:dyDescent="0.25">
      <c r="B9" s="682" t="s">
        <v>105</v>
      </c>
    </row>
    <row r="10" spans="1:8" ht="18" customHeight="1" x14ac:dyDescent="0.35">
      <c r="B10" s="293" t="s">
        <v>106</v>
      </c>
      <c r="C10" s="10"/>
      <c r="D10" s="10"/>
      <c r="E10" s="9"/>
    </row>
    <row r="11" spans="1:8" ht="18" customHeight="1" x14ac:dyDescent="0.35">
      <c r="A11" s="10"/>
      <c r="B11" s="276" t="s">
        <v>107</v>
      </c>
      <c r="C11" s="10"/>
      <c r="D11" s="10"/>
      <c r="E11" s="9"/>
    </row>
    <row r="12" spans="1:8" ht="18" customHeight="1" x14ac:dyDescent="0.35">
      <c r="A12" s="10"/>
      <c r="B12" s="276" t="s">
        <v>108</v>
      </c>
      <c r="C12" s="10"/>
      <c r="D12" s="10"/>
      <c r="E12" s="9"/>
    </row>
    <row r="13" spans="1:8" ht="18" customHeight="1" x14ac:dyDescent="0.35">
      <c r="A13" s="10"/>
      <c r="B13" s="276" t="s">
        <v>527</v>
      </c>
      <c r="C13" s="10"/>
      <c r="D13" s="10"/>
      <c r="E13" s="9"/>
    </row>
    <row r="14" spans="1:8" ht="23.25" x14ac:dyDescent="0.35">
      <c r="A14" s="10"/>
      <c r="B14" s="276"/>
      <c r="C14" s="10"/>
      <c r="D14" s="10"/>
      <c r="E14" s="9"/>
    </row>
    <row r="15" spans="1:8" ht="23.25" x14ac:dyDescent="0.35">
      <c r="A15" s="10"/>
      <c r="B15" s="1536" t="s">
        <v>687</v>
      </c>
      <c r="C15" s="10"/>
      <c r="D15" s="10"/>
      <c r="E15" s="9"/>
      <c r="H15" s="1536"/>
    </row>
    <row r="16" spans="1:8" ht="23.25" x14ac:dyDescent="0.35">
      <c r="A16" s="10"/>
      <c r="B16" s="276"/>
      <c r="C16" s="276"/>
      <c r="D16" s="276"/>
    </row>
    <row r="17" spans="1:11" x14ac:dyDescent="0.25">
      <c r="B17" s="627" t="s">
        <v>674</v>
      </c>
      <c r="C17" s="627" t="s">
        <v>686</v>
      </c>
      <c r="D17" s="377"/>
      <c r="E17" s="377"/>
      <c r="F17" s="377"/>
      <c r="G17" s="627" t="s">
        <v>110</v>
      </c>
    </row>
    <row r="18" spans="1:11" x14ac:dyDescent="0.25">
      <c r="A18" s="276"/>
      <c r="B18" s="1896" t="s">
        <v>893</v>
      </c>
      <c r="C18" s="1896" t="s">
        <v>892</v>
      </c>
      <c r="D18" s="279"/>
      <c r="E18" s="279"/>
      <c r="F18" s="279"/>
      <c r="G18" s="1896" t="s">
        <v>883</v>
      </c>
      <c r="H18" s="279"/>
      <c r="I18" s="279"/>
      <c r="J18" s="279"/>
      <c r="K18" s="279"/>
    </row>
    <row r="19" spans="1:11" x14ac:dyDescent="0.25">
      <c r="A19" s="276"/>
      <c r="B19" s="1896" t="s">
        <v>866</v>
      </c>
      <c r="C19" s="1896" t="s">
        <v>871</v>
      </c>
      <c r="D19" s="279"/>
      <c r="E19" s="279"/>
      <c r="F19" s="279"/>
      <c r="G19" s="279"/>
      <c r="H19" s="279"/>
      <c r="I19" s="279"/>
      <c r="J19" s="279"/>
      <c r="K19" s="279"/>
    </row>
    <row r="20" spans="1:11" x14ac:dyDescent="0.25">
      <c r="A20" s="276"/>
      <c r="B20" s="1896" t="s">
        <v>867</v>
      </c>
      <c r="C20" s="1896" t="s">
        <v>872</v>
      </c>
      <c r="D20" s="279"/>
      <c r="E20" s="279"/>
      <c r="F20" s="279"/>
      <c r="G20" s="279"/>
      <c r="H20" s="279"/>
      <c r="I20" s="279"/>
      <c r="J20" s="279"/>
      <c r="K20" s="279"/>
    </row>
    <row r="21" spans="1:11" x14ac:dyDescent="0.25">
      <c r="A21" s="276"/>
      <c r="B21" s="1896" t="s">
        <v>868</v>
      </c>
      <c r="C21" s="1896" t="s">
        <v>882</v>
      </c>
      <c r="D21" s="1897"/>
      <c r="E21" s="1897"/>
      <c r="F21" s="279"/>
      <c r="G21" s="279"/>
      <c r="H21" s="279"/>
      <c r="I21" s="279"/>
      <c r="J21" s="279"/>
      <c r="K21" s="279"/>
    </row>
    <row r="22" spans="1:11" x14ac:dyDescent="0.25">
      <c r="A22" s="276"/>
      <c r="B22" s="1896" t="s">
        <v>869</v>
      </c>
      <c r="C22" s="1896"/>
      <c r="D22" s="279"/>
      <c r="E22" s="279"/>
      <c r="F22" s="279"/>
      <c r="G22" s="279"/>
      <c r="H22" s="279"/>
      <c r="I22" s="279"/>
      <c r="J22" s="279"/>
      <c r="K22" s="279"/>
    </row>
    <row r="23" spans="1:11" x14ac:dyDescent="0.25">
      <c r="A23" s="276"/>
      <c r="B23" s="1534" t="s">
        <v>870</v>
      </c>
      <c r="C23" s="1534"/>
      <c r="D23" s="276"/>
      <c r="E23" s="276"/>
      <c r="F23" s="276"/>
      <c r="G23" s="276"/>
      <c r="H23" s="276"/>
      <c r="I23" s="276"/>
      <c r="J23" s="276"/>
      <c r="K23" s="276"/>
    </row>
    <row r="24" spans="1:11" x14ac:dyDescent="0.25">
      <c r="A24" s="276"/>
      <c r="B24" s="1875"/>
      <c r="C24" s="276"/>
      <c r="D24" s="1534"/>
      <c r="E24" s="276"/>
      <c r="F24" s="276"/>
      <c r="G24" s="276"/>
      <c r="H24" s="276"/>
      <c r="I24" s="276"/>
      <c r="J24" s="276"/>
      <c r="K24" s="276"/>
    </row>
    <row r="25" spans="1:11" x14ac:dyDescent="0.25">
      <c r="B25" s="276"/>
      <c r="C25" s="276"/>
      <c r="D25" s="276"/>
    </row>
    <row r="26" spans="1:11" ht="17.25" x14ac:dyDescent="0.3">
      <c r="B26" s="1536" t="s">
        <v>335</v>
      </c>
    </row>
    <row r="27" spans="1:11" x14ac:dyDescent="0.25">
      <c r="A27" s="604"/>
      <c r="B27" s="604"/>
      <c r="C27" s="604"/>
    </row>
    <row r="28" spans="1:11" ht="21.95" customHeight="1" x14ac:dyDescent="0.25">
      <c r="A28" s="604"/>
      <c r="B28" s="1483" t="s">
        <v>333</v>
      </c>
      <c r="C28" s="604"/>
    </row>
    <row r="29" spans="1:11" ht="21.95" customHeight="1" x14ac:dyDescent="0.25">
      <c r="A29" s="604"/>
      <c r="B29" s="1483" t="s">
        <v>326</v>
      </c>
      <c r="C29" s="604"/>
    </row>
    <row r="30" spans="1:11" ht="21.95" customHeight="1" x14ac:dyDescent="0.25">
      <c r="A30" s="604"/>
      <c r="B30" s="1483" t="s">
        <v>327</v>
      </c>
      <c r="C30" s="604"/>
    </row>
    <row r="31" spans="1:11" ht="21.95" customHeight="1" x14ac:dyDescent="0.25">
      <c r="A31" s="604"/>
      <c r="B31" s="1483" t="s">
        <v>325</v>
      </c>
      <c r="C31" s="604"/>
    </row>
    <row r="32" spans="1:11" ht="21.95" customHeight="1" x14ac:dyDescent="0.25">
      <c r="A32" s="604"/>
      <c r="B32" s="1483" t="s">
        <v>328</v>
      </c>
      <c r="C32" s="604"/>
    </row>
    <row r="33" spans="1:3" ht="21.95" customHeight="1" x14ac:dyDescent="0.25">
      <c r="A33" s="604"/>
      <c r="B33" s="1483" t="s">
        <v>330</v>
      </c>
      <c r="C33" s="604"/>
    </row>
    <row r="34" spans="1:3" ht="21.95" customHeight="1" x14ac:dyDescent="0.25">
      <c r="A34" s="604"/>
      <c r="B34" s="1483" t="s">
        <v>329</v>
      </c>
      <c r="C34" s="604"/>
    </row>
    <row r="35" spans="1:3" ht="29.1" customHeight="1" x14ac:dyDescent="0.25">
      <c r="A35" s="604"/>
      <c r="B35" s="1483" t="s">
        <v>331</v>
      </c>
      <c r="C35" s="604"/>
    </row>
    <row r="36" spans="1:3" ht="35.1" customHeight="1" x14ac:dyDescent="0.25">
      <c r="A36" s="604"/>
      <c r="B36" s="1537" t="s">
        <v>332</v>
      </c>
      <c r="C36" s="604"/>
    </row>
    <row r="37" spans="1:3" ht="21.95" customHeight="1" x14ac:dyDescent="0.25">
      <c r="A37" s="604"/>
      <c r="B37" s="1484" t="s">
        <v>537</v>
      </c>
      <c r="C37" s="604"/>
    </row>
    <row r="38" spans="1:3" ht="21.95" customHeight="1" x14ac:dyDescent="0.25">
      <c r="A38" s="604"/>
      <c r="B38" s="1538"/>
      <c r="C38" s="604"/>
    </row>
    <row r="39" spans="1:3" ht="21.95" customHeight="1" x14ac:dyDescent="0.25">
      <c r="B39" s="8"/>
    </row>
  </sheetData>
  <customSheetViews>
    <customSheetView guid="{9EA95E61-FCA5-4867-AEB4-B8C24058ACDD}" showGridLines="0" showRowCol="0">
      <selection activeCell="Q12" sqref="Q12"/>
      <pageMargins left="0.7" right="0.7" top="0.75" bottom="0.75" header="0.3" footer="0.3"/>
      <pageSetup paperSize="9" orientation="portrait" r:id="rId1"/>
    </customSheetView>
  </customSheetViews>
  <hyperlinks>
    <hyperlink ref="B19" location="Outpatient!A1" display="1.2 Outpatient"/>
    <hyperlink ref="B18" location="Admited_care!A1" display="1.1 Admitted patient care"/>
    <hyperlink ref="B21" location="Community_Care!A1" display="1.4 Community care"/>
    <hyperlink ref="B22" location="Primary_care_and_Prescribing!A1" display="1.5 Primary care and Prescribing"/>
    <hyperlink ref="B20" location="Mental_health!A1" display="1.3 Mental Health"/>
    <hyperlink ref="B21" location="'QA Primary Care'!A1" display="1.4 QA Primary care"/>
    <hyperlink ref="B22" location="Prescribing!A1" display="1.5 Prescribing"/>
    <hyperlink ref="C18" location="Labour_Inputs!A1" display="2.1 Labour inputs"/>
    <hyperlink ref="C19" location="'Capital_inputs '!A1" display="2.2 Capital inputs "/>
    <hyperlink ref="C21" location="Input_growth!A1" display="2.4 Input Growth"/>
    <hyperlink ref="C20" location="Intermediates!A1" display="2.3 Intermediates"/>
    <hyperlink ref="G18" location="Productivity_growth!A1" display="3.1 Productivity Growth"/>
    <hyperlink ref="B28" r:id="rId2"/>
    <hyperlink ref="B29" r:id="rId3"/>
    <hyperlink ref="B30" r:id="rId4"/>
    <hyperlink ref="B31" r:id="rId5"/>
    <hyperlink ref="B32" r:id="rId6"/>
    <hyperlink ref="B34" r:id="rId7"/>
    <hyperlink ref="B35" r:id="rId8"/>
    <hyperlink ref="B36" r:id="rId9"/>
    <hyperlink ref="B33" r:id="rId10"/>
    <hyperlink ref="B37" r:id="rId11"/>
    <hyperlink ref="B23" location="Output_growth!A1" display="1.6 Output Growth"/>
  </hyperlinks>
  <pageMargins left="0.70866141732283472" right="0.70866141732283472" top="0.74803149606299213" bottom="0.74803149606299213" header="0.31496062992125984" footer="0.31496062992125984"/>
  <pageSetup paperSize="9" scale="52" orientation="portrait" r:id="rId12"/>
  <headerFooter scaleWithDoc="0" alignWithMargins="0"/>
  <drawing r:id="rId13"/>
  <legacyDrawingHF r:id="rId1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theme="5" tint="0.39997558519241921"/>
  </sheetPr>
  <dimension ref="A1:W101"/>
  <sheetViews>
    <sheetView showGridLines="0" showRowColHeaders="0" zoomScaleNormal="100" workbookViewId="0">
      <selection sqref="A1:B1"/>
    </sheetView>
  </sheetViews>
  <sheetFormatPr defaultRowHeight="15" x14ac:dyDescent="0.25"/>
  <cols>
    <col min="2" max="2" width="22.7109375" customWidth="1"/>
    <col min="3" max="3" width="11.7109375" customWidth="1"/>
    <col min="4" max="4" width="18.7109375" customWidth="1"/>
    <col min="5" max="5" width="12.7109375" customWidth="1"/>
    <col min="6" max="6" width="9" customWidth="1"/>
    <col min="7" max="7" width="16.28515625" customWidth="1"/>
    <col min="8" max="8" width="15.85546875" customWidth="1"/>
    <col min="9" max="9" width="30.7109375" customWidth="1"/>
    <col min="10" max="10" width="14.7109375" customWidth="1"/>
    <col min="11" max="11" width="26.28515625" bestFit="1" customWidth="1"/>
    <col min="12" max="12" width="16.28515625" bestFit="1" customWidth="1"/>
    <col min="13" max="13" width="22.5703125" bestFit="1" customWidth="1"/>
    <col min="14" max="14" width="21.28515625" bestFit="1" customWidth="1"/>
    <col min="15" max="15" width="22.28515625" bestFit="1" customWidth="1"/>
  </cols>
  <sheetData>
    <row r="1" spans="1:19" x14ac:dyDescent="0.25">
      <c r="A1" s="1898"/>
      <c r="B1" s="1898"/>
      <c r="D1" s="231"/>
      <c r="E1" s="231"/>
    </row>
    <row r="2" spans="1:19" x14ac:dyDescent="0.25">
      <c r="D2" s="231"/>
      <c r="E2" s="231"/>
    </row>
    <row r="3" spans="1:19" x14ac:dyDescent="0.25">
      <c r="A3" s="378"/>
      <c r="B3" s="378"/>
      <c r="C3" s="378"/>
      <c r="D3" s="378"/>
      <c r="E3" s="378"/>
    </row>
    <row r="4" spans="1:19" ht="31.5" x14ac:dyDescent="0.5">
      <c r="A4" s="378"/>
      <c r="B4" s="1730" t="s">
        <v>789</v>
      </c>
      <c r="C4" s="378"/>
      <c r="D4" s="378"/>
      <c r="E4" s="378"/>
      <c r="F4" s="658"/>
      <c r="G4" s="658"/>
      <c r="H4" s="231"/>
    </row>
    <row r="5" spans="1:19" ht="23.25" customHeight="1" x14ac:dyDescent="0.25">
      <c r="A5" s="276"/>
      <c r="B5" s="627" t="s">
        <v>718</v>
      </c>
      <c r="C5" s="276"/>
      <c r="D5" s="276"/>
      <c r="E5" s="276"/>
      <c r="F5" s="276"/>
      <c r="G5" s="276"/>
      <c r="H5" s="276"/>
      <c r="I5" s="276"/>
      <c r="J5" s="276"/>
      <c r="K5" s="276"/>
      <c r="L5" s="276"/>
      <c r="M5" s="276"/>
      <c r="N5" s="276"/>
      <c r="O5" s="276"/>
    </row>
    <row r="6" spans="1:19" x14ac:dyDescent="0.25">
      <c r="A6" s="276"/>
      <c r="B6" s="627" t="s">
        <v>239</v>
      </c>
      <c r="C6" s="276"/>
      <c r="D6" s="276"/>
      <c r="E6" s="276"/>
      <c r="F6" s="1458"/>
      <c r="G6" s="276"/>
      <c r="H6" s="276"/>
      <c r="I6" s="276"/>
      <c r="J6" s="276"/>
      <c r="K6" s="276"/>
      <c r="L6" s="276"/>
      <c r="M6" s="276"/>
      <c r="N6" s="276"/>
      <c r="O6" s="276"/>
    </row>
    <row r="7" spans="1:19" x14ac:dyDescent="0.25">
      <c r="A7" s="276"/>
      <c r="B7" s="627"/>
      <c r="C7" s="276"/>
      <c r="D7" s="276"/>
      <c r="E7" s="276"/>
      <c r="F7" s="276"/>
      <c r="G7" s="276"/>
      <c r="H7" s="276"/>
      <c r="I7" s="276"/>
      <c r="J7" s="276"/>
      <c r="K7" s="276"/>
      <c r="L7" s="276"/>
      <c r="M7" s="276"/>
      <c r="N7" s="276"/>
      <c r="O7" s="276"/>
    </row>
    <row r="8" spans="1:19" x14ac:dyDescent="0.25">
      <c r="A8" s="276"/>
      <c r="B8" s="382" t="s">
        <v>238</v>
      </c>
      <c r="C8" s="382"/>
      <c r="D8" s="382"/>
      <c r="E8" s="276"/>
      <c r="F8" s="276"/>
      <c r="G8" s="276"/>
      <c r="H8" s="276"/>
      <c r="I8" s="276"/>
      <c r="J8" s="276"/>
      <c r="K8" s="276"/>
      <c r="L8" s="276"/>
      <c r="M8" s="276"/>
      <c r="N8" s="276"/>
      <c r="O8" s="276"/>
      <c r="P8" s="8"/>
      <c r="Q8" s="8"/>
      <c r="R8" s="8"/>
      <c r="S8" s="8"/>
    </row>
    <row r="9" spans="1:19" x14ac:dyDescent="0.25">
      <c r="A9" s="276"/>
      <c r="B9" s="1330" t="s">
        <v>790</v>
      </c>
      <c r="C9" s="1333"/>
      <c r="D9" s="276"/>
      <c r="E9" s="276"/>
      <c r="F9" s="276"/>
      <c r="G9" s="276"/>
      <c r="H9" s="276"/>
      <c r="I9" s="276"/>
      <c r="J9" s="276"/>
      <c r="K9" s="276"/>
      <c r="L9" s="276"/>
      <c r="M9" s="276"/>
      <c r="N9" s="276"/>
    </row>
    <row r="10" spans="1:19" x14ac:dyDescent="0.25">
      <c r="A10" s="276"/>
      <c r="B10" s="630"/>
      <c r="C10" s="276"/>
      <c r="D10" s="276"/>
      <c r="E10" s="276"/>
      <c r="F10" s="276"/>
      <c r="G10" s="276"/>
      <c r="H10" s="276"/>
      <c r="I10" s="276"/>
      <c r="J10" s="276"/>
      <c r="K10" s="276"/>
      <c r="L10" s="276"/>
      <c r="M10" s="276"/>
      <c r="N10" s="276"/>
      <c r="O10" s="276"/>
    </row>
    <row r="11" spans="1:19" ht="24.95" customHeight="1" x14ac:dyDescent="0.25">
      <c r="A11" s="276"/>
      <c r="B11" s="630"/>
      <c r="C11" s="276"/>
      <c r="D11" s="276"/>
      <c r="E11" s="276"/>
      <c r="F11" s="276"/>
      <c r="G11" s="276"/>
      <c r="H11" s="276"/>
      <c r="I11" s="276"/>
      <c r="J11" s="276"/>
      <c r="K11" s="276"/>
      <c r="L11" s="276"/>
      <c r="M11" s="276"/>
      <c r="N11" s="276"/>
      <c r="O11" s="276"/>
    </row>
    <row r="12" spans="1:19" ht="24.95" customHeight="1" x14ac:dyDescent="0.25">
      <c r="A12" s="1518"/>
      <c r="B12" s="708"/>
      <c r="C12" s="1522" t="s">
        <v>595</v>
      </c>
      <c r="D12" s="708" t="s">
        <v>656</v>
      </c>
      <c r="E12" s="1522"/>
      <c r="F12" s="1522" t="s">
        <v>506</v>
      </c>
      <c r="G12" s="1522" t="s">
        <v>507</v>
      </c>
      <c r="H12" s="1474" t="s">
        <v>635</v>
      </c>
      <c r="I12" s="1522" t="s">
        <v>503</v>
      </c>
      <c r="J12" s="1479" t="s">
        <v>536</v>
      </c>
      <c r="K12" s="276"/>
      <c r="L12" s="276"/>
      <c r="M12" s="276"/>
      <c r="N12" s="276"/>
      <c r="O12" s="276"/>
    </row>
    <row r="13" spans="1:19" ht="24.95" customHeight="1" x14ac:dyDescent="0.25">
      <c r="A13" s="276"/>
      <c r="B13" s="782" t="s">
        <v>657</v>
      </c>
      <c r="C13" s="1620">
        <f>C57</f>
        <v>16.001358</v>
      </c>
      <c r="D13" s="1621">
        <f>C57/C56-1</f>
        <v>8.6305604629322019E-3</v>
      </c>
      <c r="E13" s="731">
        <f>D13</f>
        <v>8.6305604629322019E-3</v>
      </c>
      <c r="F13" s="1620">
        <f>MIN(C44:C57)</f>
        <v>10.994059</v>
      </c>
      <c r="G13" s="1620">
        <f>MAX(C44:C57)</f>
        <v>16.001358</v>
      </c>
      <c r="H13" s="1637">
        <f>C44</f>
        <v>11.210816000000001</v>
      </c>
      <c r="I13" s="1615"/>
      <c r="J13" s="1508">
        <f>C57</f>
        <v>16.001358</v>
      </c>
      <c r="K13" s="276"/>
      <c r="L13" s="276"/>
      <c r="M13" s="276"/>
      <c r="N13" s="276"/>
    </row>
    <row r="14" spans="1:19" ht="24.95" customHeight="1" x14ac:dyDescent="0.25">
      <c r="A14" s="276"/>
      <c r="B14" s="782" t="s">
        <v>579</v>
      </c>
      <c r="C14" s="713">
        <f>D57</f>
        <v>0.98166483207237798</v>
      </c>
      <c r="D14" s="1621">
        <f>D57/D56-1</f>
        <v>5.9132962314079052E-4</v>
      </c>
      <c r="E14" s="731">
        <f>D14</f>
        <v>5.9132962314079052E-4</v>
      </c>
      <c r="F14" s="1621">
        <f>MIN(D44:D57)</f>
        <v>0.96919817161486754</v>
      </c>
      <c r="G14" s="1621">
        <f>MAX(D44:D57)</f>
        <v>0.98166483207237798</v>
      </c>
      <c r="H14" s="1638">
        <f>D44</f>
        <v>0.96919817161486754</v>
      </c>
      <c r="I14" s="1615"/>
      <c r="J14" s="1509">
        <f>D57</f>
        <v>0.98166483207237798</v>
      </c>
      <c r="K14" s="276"/>
      <c r="L14" s="276"/>
      <c r="M14" s="276"/>
      <c r="N14" s="276"/>
    </row>
    <row r="15" spans="1:19" ht="24.95" customHeight="1" x14ac:dyDescent="0.25">
      <c r="A15" s="276"/>
      <c r="B15" s="782" t="s">
        <v>860</v>
      </c>
      <c r="C15" s="1809">
        <f>F57</f>
        <v>28.325708043029849</v>
      </c>
      <c r="D15" s="1621">
        <f>F57/F56-1</f>
        <v>-6.4188586228253186E-3</v>
      </c>
      <c r="E15" s="731">
        <f>D15</f>
        <v>-6.4188586228253186E-3</v>
      </c>
      <c r="F15" s="1622">
        <f>MIN(F44:F57)</f>
        <v>28.305532532350167</v>
      </c>
      <c r="G15" s="1622">
        <f>MAX(F44:F57)</f>
        <v>29.513722763362264</v>
      </c>
      <c r="H15" s="934">
        <f>F44</f>
        <v>29.513722763362264</v>
      </c>
      <c r="I15" s="1618"/>
      <c r="J15" s="935">
        <f>F57</f>
        <v>28.325708043029849</v>
      </c>
      <c r="K15" s="276"/>
      <c r="L15" s="276"/>
      <c r="M15" s="276"/>
      <c r="N15" s="276"/>
    </row>
    <row r="16" spans="1:19" ht="24.95" customHeight="1" x14ac:dyDescent="0.25">
      <c r="A16" s="276"/>
      <c r="B16" s="782" t="s">
        <v>714</v>
      </c>
      <c r="C16" s="1639">
        <f>G57</f>
        <v>56</v>
      </c>
      <c r="D16" s="1621">
        <f>G57/G56-1</f>
        <v>5.3859964093356805E-3</v>
      </c>
      <c r="E16" s="731">
        <f>D16</f>
        <v>5.3859964093356805E-3</v>
      </c>
      <c r="F16" s="1622">
        <f>MIN(G44:G57)</f>
        <v>45.71</v>
      </c>
      <c r="G16" s="1622">
        <f>MAX(G44:G57)</f>
        <v>56</v>
      </c>
      <c r="H16" s="934">
        <f>G44</f>
        <v>45.71</v>
      </c>
      <c r="I16" s="1615"/>
      <c r="J16" s="935">
        <f>G57</f>
        <v>56</v>
      </c>
      <c r="K16" s="276"/>
      <c r="L16" s="276"/>
      <c r="M16" s="276"/>
      <c r="N16" s="276"/>
    </row>
    <row r="17" spans="1:19" ht="24.95" customHeight="1" x14ac:dyDescent="0.25">
      <c r="A17" s="276"/>
      <c r="B17" s="782" t="str">
        <f>IF($B$9="Elective and day cases", "Waiting times","")</f>
        <v/>
      </c>
      <c r="C17" s="1623" t="str">
        <f>IF($B$9="Elective and day cases", F57,"")</f>
        <v/>
      </c>
      <c r="D17" s="713" t="str">
        <f>IF($B$9="Elective and day cases", F57/F56-1,"")</f>
        <v/>
      </c>
      <c r="E17" s="731" t="str">
        <f>D17</f>
        <v/>
      </c>
      <c r="F17" s="1623" t="str">
        <f>IF($B$9="Elective and day cases", MIN(F44:F57),"")</f>
        <v/>
      </c>
      <c r="G17" s="1623" t="str">
        <f>IF($B$9="Elective and day cases", MAX(F44:F57),"")</f>
        <v/>
      </c>
      <c r="H17" s="732"/>
      <c r="I17" s="1615"/>
      <c r="J17" s="733"/>
      <c r="K17" s="276"/>
      <c r="L17" s="276"/>
      <c r="M17" s="276"/>
      <c r="N17" s="276"/>
    </row>
    <row r="18" spans="1:19" s="1576" customFormat="1" ht="24.95" customHeight="1" x14ac:dyDescent="0.25">
      <c r="A18" s="276"/>
      <c r="B18" s="782"/>
      <c r="C18" s="1623"/>
      <c r="D18" s="713"/>
      <c r="E18" s="731"/>
      <c r="F18" s="1623"/>
      <c r="G18" s="1623"/>
      <c r="H18" s="732"/>
      <c r="I18" s="1615"/>
      <c r="J18" s="733"/>
      <c r="K18" s="276"/>
      <c r="L18" s="276"/>
      <c r="M18" s="276"/>
      <c r="N18" s="276"/>
    </row>
    <row r="19" spans="1:19" s="1576" customFormat="1" ht="24.95" customHeight="1" x14ac:dyDescent="0.25">
      <c r="A19" s="1518"/>
      <c r="B19" s="708"/>
      <c r="C19" s="1623"/>
      <c r="D19" s="713"/>
      <c r="E19" s="713"/>
      <c r="F19" s="1623"/>
      <c r="G19" s="1623"/>
      <c r="H19" s="1628"/>
      <c r="I19" s="1513"/>
      <c r="J19" s="1628"/>
      <c r="K19" s="276"/>
      <c r="L19" s="276"/>
      <c r="M19" s="276"/>
      <c r="N19" s="276"/>
    </row>
    <row r="20" spans="1:19" ht="38.25" x14ac:dyDescent="0.25">
      <c r="A20" s="1518"/>
      <c r="B20" s="708" t="s">
        <v>861</v>
      </c>
      <c r="C20" s="1522" t="s">
        <v>595</v>
      </c>
      <c r="D20" s="1731" t="s">
        <v>716</v>
      </c>
      <c r="E20" s="1624"/>
      <c r="F20" s="1624"/>
      <c r="G20" s="1624"/>
      <c r="H20" s="1626" t="s">
        <v>635</v>
      </c>
      <c r="I20" s="1624" t="s">
        <v>503</v>
      </c>
      <c r="J20" s="1627" t="s">
        <v>536</v>
      </c>
      <c r="K20" s="276"/>
      <c r="L20" s="276"/>
      <c r="M20" s="276"/>
      <c r="N20" s="276"/>
    </row>
    <row r="21" spans="1:19" ht="24.95" customHeight="1" x14ac:dyDescent="0.25">
      <c r="A21" s="276"/>
      <c r="B21" s="630" t="s">
        <v>688</v>
      </c>
      <c r="C21" s="632">
        <f>I57</f>
        <v>2.4447449647438058E-2</v>
      </c>
      <c r="D21" s="1351">
        <f>M57</f>
        <v>1.5249752144708693</v>
      </c>
      <c r="E21" s="1732">
        <f>D21</f>
        <v>1.5249752144708693</v>
      </c>
      <c r="F21" s="1733"/>
      <c r="G21" s="1733"/>
      <c r="H21" s="1734">
        <f>I45</f>
        <v>1.873602696231691E-2</v>
      </c>
      <c r="I21" s="1485"/>
      <c r="J21" s="1616">
        <f>I57</f>
        <v>2.4447449647438058E-2</v>
      </c>
      <c r="K21" s="276"/>
      <c r="L21" s="276"/>
      <c r="M21" s="276"/>
      <c r="N21" s="276"/>
    </row>
    <row r="22" spans="1:19" ht="30" customHeight="1" x14ac:dyDescent="0.25">
      <c r="A22" s="276"/>
      <c r="B22" s="630" t="s">
        <v>689</v>
      </c>
      <c r="C22" s="632">
        <f>J57</f>
        <v>3.0666420255953675E-2</v>
      </c>
      <c r="D22" s="1351">
        <f>N57</f>
        <v>1.6775729323148627</v>
      </c>
      <c r="E22" s="1732">
        <f>D22</f>
        <v>1.6775729323148627</v>
      </c>
      <c r="F22" s="1733"/>
      <c r="G22" s="1733"/>
      <c r="H22" s="1734">
        <f>J45</f>
        <v>1.0160244939989301E-2</v>
      </c>
      <c r="I22" s="1485"/>
      <c r="J22" s="1616">
        <f>J57</f>
        <v>3.0666420255953675E-2</v>
      </c>
      <c r="K22" s="276"/>
      <c r="L22" s="276"/>
      <c r="M22" s="276"/>
      <c r="N22" s="276"/>
    </row>
    <row r="23" spans="1:19" ht="24.95" customHeight="1" x14ac:dyDescent="0.25">
      <c r="A23" s="276"/>
      <c r="B23" s="630"/>
      <c r="C23" s="881"/>
      <c r="D23" s="1729"/>
      <c r="E23" s="881"/>
      <c r="F23" s="1315"/>
      <c r="G23" s="1315"/>
      <c r="H23" s="1359"/>
      <c r="I23" s="318"/>
      <c r="J23" s="1617"/>
      <c r="K23" s="276"/>
      <c r="L23" s="276"/>
      <c r="M23" s="276"/>
      <c r="N23" s="276"/>
      <c r="O23" s="276"/>
    </row>
    <row r="24" spans="1:19" ht="24.95" customHeight="1" x14ac:dyDescent="0.25">
      <c r="A24" s="276"/>
      <c r="B24" s="627"/>
      <c r="C24" s="276"/>
      <c r="D24" s="276"/>
      <c r="E24" s="276"/>
      <c r="F24" s="276"/>
      <c r="G24" s="276"/>
      <c r="H24" s="276"/>
      <c r="I24" s="276"/>
      <c r="J24" s="1533"/>
      <c r="K24" s="276"/>
      <c r="L24" s="276"/>
      <c r="M24" s="276"/>
      <c r="N24" s="276"/>
      <c r="O24" s="276"/>
    </row>
    <row r="25" spans="1:19" ht="24.95" customHeight="1" x14ac:dyDescent="0.25">
      <c r="A25" s="383" t="b">
        <v>1</v>
      </c>
      <c r="B25" s="276"/>
      <c r="C25" s="276"/>
      <c r="D25" s="276"/>
      <c r="E25" s="1312"/>
      <c r="F25" s="276"/>
      <c r="G25" s="276"/>
      <c r="H25" s="276"/>
      <c r="I25" s="276"/>
      <c r="J25" s="1533"/>
      <c r="K25" s="276"/>
      <c r="L25" s="276"/>
      <c r="M25" s="276"/>
      <c r="N25" s="276"/>
      <c r="O25" s="276"/>
    </row>
    <row r="26" spans="1:19" ht="26.25" x14ac:dyDescent="0.25">
      <c r="A26" s="383"/>
      <c r="B26" s="1486"/>
      <c r="C26" s="1327" t="str">
        <f>IF($A$25=TRUE,C43,"")</f>
        <v xml:space="preserve">Volume of activity </v>
      </c>
      <c r="D26" s="1327" t="str">
        <f>IF($A$25=TRUE,D43,"")</f>
        <v>30-day survival rate</v>
      </c>
      <c r="E26" s="1327" t="str">
        <f>IF($A$25=TRUE,E43,"")</f>
        <v>Mean life expectancy</v>
      </c>
      <c r="F26" s="629" t="str">
        <f>IF($A$25=TRUE,G43,"")</f>
        <v>Mean Age</v>
      </c>
      <c r="G26" s="629"/>
      <c r="H26" s="629"/>
      <c r="I26" s="629" t="str">
        <f>IF($A$25=TRUE,I43,"")</f>
        <v>Growth rate</v>
      </c>
      <c r="J26" s="629" t="str">
        <f>IF($A$25=TRUE,J43,"")</f>
        <v>QA growth rate</v>
      </c>
      <c r="K26" s="629" t="str">
        <f>IF($A$25=TRUE,K43,"")</f>
        <v>Growth rate index</v>
      </c>
      <c r="L26" s="629" t="str">
        <f>IF($A$25=TRUE,L43,"")</f>
        <v>Quality adjusted growth rate index</v>
      </c>
      <c r="M26" s="627" t="str">
        <f t="shared" ref="M26:S26" si="0">IF(J24=TRUE,N43,"")</f>
        <v/>
      </c>
      <c r="N26" s="627" t="str">
        <f t="shared" si="0"/>
        <v/>
      </c>
      <c r="O26" s="627" t="str">
        <f t="shared" si="0"/>
        <v/>
      </c>
      <c r="P26" s="627" t="str">
        <f t="shared" si="0"/>
        <v/>
      </c>
      <c r="Q26" s="627" t="str">
        <f t="shared" si="0"/>
        <v/>
      </c>
      <c r="R26" s="627" t="str">
        <f t="shared" si="0"/>
        <v/>
      </c>
      <c r="S26" s="627" t="str">
        <f t="shared" si="0"/>
        <v/>
      </c>
    </row>
    <row r="27" spans="1:19" x14ac:dyDescent="0.25">
      <c r="A27" s="276"/>
      <c r="B27" s="1486" t="str">
        <f t="shared" ref="B27:B31" si="1">IF($A$25=TRUE,B44,"")</f>
        <v>1998/99</v>
      </c>
      <c r="C27" s="710">
        <f>IF($A$25=TRUE,C44*1000000,"")</f>
        <v>11210816.000000002</v>
      </c>
      <c r="D27" s="632">
        <f t="shared" ref="D27:E31" si="2">IF($A$25=TRUE,D44,"")</f>
        <v>0.96919817161486754</v>
      </c>
      <c r="E27" s="1353">
        <f t="shared" si="2"/>
        <v>29.513722763362264</v>
      </c>
      <c r="F27" s="881">
        <f>IF($A$25=TRUE,G44,"")</f>
        <v>45.71</v>
      </c>
      <c r="G27" s="881"/>
      <c r="H27" s="881"/>
      <c r="I27" s="632"/>
      <c r="J27" s="632"/>
      <c r="K27" s="881">
        <f t="shared" ref="K27:L28" si="3">IF($A$25=TRUE,K44,"")</f>
        <v>1</v>
      </c>
      <c r="L27" s="881">
        <f t="shared" si="3"/>
        <v>1</v>
      </c>
      <c r="M27" s="627"/>
      <c r="N27" s="627"/>
      <c r="O27" s="627"/>
      <c r="P27" s="627"/>
      <c r="Q27" s="627"/>
      <c r="R27" s="627"/>
      <c r="S27" s="627"/>
    </row>
    <row r="28" spans="1:19" x14ac:dyDescent="0.25">
      <c r="A28" s="276"/>
      <c r="B28" s="1486" t="str">
        <f t="shared" si="1"/>
        <v>1999/00</v>
      </c>
      <c r="C28" s="710">
        <f t="shared" ref="C28:C31" si="4">IF($A$25=TRUE,C45*1000000,"")</f>
        <v>11105744.999999998</v>
      </c>
      <c r="D28" s="632">
        <f t="shared" si="2"/>
        <v>0.96940157052764542</v>
      </c>
      <c r="E28" s="1353">
        <f t="shared" si="2"/>
        <v>29.413581565434725</v>
      </c>
      <c r="F28" s="881">
        <f t="shared" ref="F28" si="5">IF($A$25=TRUE,G45,"")</f>
        <v>45.76</v>
      </c>
      <c r="G28" s="881"/>
      <c r="H28" s="1619" t="str">
        <f t="shared" ref="H28:J40" si="6">IF($A$25=TRUE,H45,"")</f>
        <v>1998/99 -1999/00</v>
      </c>
      <c r="I28" s="632">
        <f t="shared" si="6"/>
        <v>1.873602696231691E-2</v>
      </c>
      <c r="J28" s="632">
        <f t="shared" si="6"/>
        <v>1.0160244939989301E-2</v>
      </c>
      <c r="K28" s="632">
        <f t="shared" si="3"/>
        <v>1.0187360269623169</v>
      </c>
      <c r="L28" s="632">
        <f t="shared" si="3"/>
        <v>1.0101602449399893</v>
      </c>
      <c r="M28" s="627"/>
      <c r="N28" s="627"/>
      <c r="O28" s="627"/>
      <c r="P28" s="627"/>
      <c r="Q28" s="627"/>
      <c r="R28" s="627"/>
      <c r="S28" s="627"/>
    </row>
    <row r="29" spans="1:19" x14ac:dyDescent="0.25">
      <c r="A29" s="276"/>
      <c r="B29" s="1486" t="str">
        <f t="shared" si="1"/>
        <v>2000/01</v>
      </c>
      <c r="C29" s="710">
        <f t="shared" si="4"/>
        <v>11075239</v>
      </c>
      <c r="D29" s="632">
        <f t="shared" si="2"/>
        <v>0.97065632394750345</v>
      </c>
      <c r="E29" s="1353">
        <f t="shared" si="2"/>
        <v>29.068773548655631</v>
      </c>
      <c r="F29" s="881">
        <f t="shared" ref="F29" si="7">IF($A$25=TRUE,G46,"")</f>
        <v>46.17</v>
      </c>
      <c r="G29" s="881"/>
      <c r="H29" s="1619" t="str">
        <f t="shared" si="6"/>
        <v>1999/00 -2000/01</v>
      </c>
      <c r="I29" s="632">
        <f t="shared" si="6"/>
        <v>9.108797210934938E-3</v>
      </c>
      <c r="J29" s="632">
        <f t="shared" si="6"/>
        <v>1.2632336897897599E-2</v>
      </c>
      <c r="K29" s="632">
        <f t="shared" ref="K29:L29" si="8">IF($A$25=TRUE,K46,"")</f>
        <v>1.0280154868433902</v>
      </c>
      <c r="L29" s="632">
        <f t="shared" si="8"/>
        <v>1.022920929474934</v>
      </c>
      <c r="M29" s="627"/>
      <c r="N29" s="627"/>
      <c r="O29" s="627"/>
      <c r="P29" s="627"/>
      <c r="Q29" s="627"/>
      <c r="R29" s="627"/>
      <c r="S29" s="627"/>
    </row>
    <row r="30" spans="1:19" x14ac:dyDescent="0.25">
      <c r="A30" s="276"/>
      <c r="B30" s="1486" t="str">
        <f t="shared" si="1"/>
        <v>2001/02</v>
      </c>
      <c r="C30" s="710">
        <f t="shared" si="4"/>
        <v>10994059</v>
      </c>
      <c r="D30" s="632">
        <f t="shared" si="2"/>
        <v>0.97008052840020276</v>
      </c>
      <c r="E30" s="1353">
        <f t="shared" si="2"/>
        <v>28.99116963511786</v>
      </c>
      <c r="F30" s="881">
        <f t="shared" ref="F30" si="9">IF($A$25=TRUE,G47,"")</f>
        <v>46.3</v>
      </c>
      <c r="G30" s="881"/>
      <c r="H30" s="1619" t="str">
        <f t="shared" si="6"/>
        <v>2000/01 - 2001/02</v>
      </c>
      <c r="I30" s="632">
        <f t="shared" si="6"/>
        <v>9.4591026031158876E-3</v>
      </c>
      <c r="J30" s="632">
        <f t="shared" si="6"/>
        <v>6.5447193794447855E-3</v>
      </c>
      <c r="K30" s="632">
        <f t="shared" ref="K30:L30" si="10">IF($A$25=TRUE,K47,"")</f>
        <v>1.0377395908110338</v>
      </c>
      <c r="L30" s="632">
        <f t="shared" si="10"/>
        <v>1.0296156599057082</v>
      </c>
      <c r="M30" s="627"/>
      <c r="N30" s="627"/>
      <c r="O30" s="627"/>
      <c r="P30" s="627"/>
      <c r="Q30" s="627"/>
      <c r="R30" s="627"/>
      <c r="S30" s="627"/>
    </row>
    <row r="31" spans="1:19" x14ac:dyDescent="0.25">
      <c r="A31" s="276"/>
      <c r="B31" s="1486" t="str">
        <f t="shared" si="1"/>
        <v>2002/03</v>
      </c>
      <c r="C31" s="710">
        <f t="shared" si="4"/>
        <v>11541834.999999998</v>
      </c>
      <c r="D31" s="632">
        <f t="shared" si="2"/>
        <v>0.97134109495145904</v>
      </c>
      <c r="E31" s="1353">
        <f t="shared" si="2"/>
        <v>28.533748301155057</v>
      </c>
      <c r="F31" s="881">
        <f t="shared" ref="F31" si="11">IF($A$25=TRUE,G48,"")</f>
        <v>46.93</v>
      </c>
      <c r="G31" s="881"/>
      <c r="H31" s="1619" t="str">
        <f t="shared" si="6"/>
        <v>2001/02 - 2002/03</v>
      </c>
      <c r="I31" s="632">
        <f t="shared" si="6"/>
        <v>4.4404300293176879E-2</v>
      </c>
      <c r="J31" s="632">
        <f t="shared" si="6"/>
        <v>6.4913168332380256E-2</v>
      </c>
      <c r="K31" s="632">
        <f t="shared" ref="K31:L31" si="12">IF($A$25=TRUE,K48,"")</f>
        <v>1.0838196912275255</v>
      </c>
      <c r="L31" s="632">
        <f t="shared" si="12"/>
        <v>1.0964512745548223</v>
      </c>
      <c r="M31" s="627"/>
      <c r="N31" s="627"/>
      <c r="O31" s="627"/>
      <c r="P31" s="627"/>
      <c r="Q31" s="627"/>
      <c r="R31" s="627"/>
      <c r="S31" s="627"/>
    </row>
    <row r="32" spans="1:19" x14ac:dyDescent="0.25">
      <c r="A32" s="276"/>
      <c r="B32" s="1486" t="str">
        <f t="shared" ref="B32:B40" si="13">IF($A$25=TRUE,B49,"")</f>
        <v>2003/04</v>
      </c>
      <c r="C32" s="710">
        <f t="shared" ref="C32:C40" si="14">IF($A$25=TRUE,C49*1000000,"")</f>
        <v>12125336</v>
      </c>
      <c r="D32" s="632">
        <f t="shared" ref="D32:E40" si="15">IF($A$25=TRUE,D49,"")</f>
        <v>0.97260801680052422</v>
      </c>
      <c r="E32" s="1353">
        <f t="shared" si="15"/>
        <v>28.397096696397888</v>
      </c>
      <c r="F32" s="881">
        <f t="shared" ref="F32" si="16">IF($A$25=TRUE,G49,"")</f>
        <v>47.9</v>
      </c>
      <c r="G32" s="881"/>
      <c r="H32" s="1619" t="str">
        <f t="shared" si="6"/>
        <v>2002/03 -2003/04</v>
      </c>
      <c r="I32" s="632">
        <f t="shared" si="6"/>
        <v>5.8062098914157811E-2</v>
      </c>
      <c r="J32" s="632">
        <f t="shared" si="6"/>
        <v>7.26712654415127E-2</v>
      </c>
      <c r="K32" s="632">
        <f t="shared" ref="K32:L32" si="17">IF($A$25=TRUE,K49,"")</f>
        <v>1.1467485373446902</v>
      </c>
      <c r="L32" s="632">
        <f t="shared" si="17"/>
        <v>1.1761317761716807</v>
      </c>
      <c r="M32" s="627"/>
      <c r="N32" s="627"/>
      <c r="O32" s="627"/>
      <c r="P32" s="627"/>
      <c r="Q32" s="627"/>
      <c r="R32" s="627"/>
      <c r="S32" s="627"/>
    </row>
    <row r="33" spans="1:23" x14ac:dyDescent="0.25">
      <c r="A33" s="276"/>
      <c r="B33" s="1486" t="str">
        <f t="shared" si="13"/>
        <v>2004/05</v>
      </c>
      <c r="C33" s="710">
        <f t="shared" si="14"/>
        <v>12443735</v>
      </c>
      <c r="D33" s="632">
        <f t="shared" si="15"/>
        <v>0.97341917025716151</v>
      </c>
      <c r="E33" s="1353">
        <f t="shared" si="15"/>
        <v>28.746241102515093</v>
      </c>
      <c r="F33" s="881">
        <f t="shared" ref="F33" si="18">IF($A$25=TRUE,G50,"")</f>
        <v>53.6</v>
      </c>
      <c r="G33" s="881"/>
      <c r="H33" s="1619" t="str">
        <f t="shared" si="6"/>
        <v>2003/04 -2004/05</v>
      </c>
      <c r="I33" s="632">
        <f t="shared" si="6"/>
        <v>2.5616856205384897E-2</v>
      </c>
      <c r="J33" s="632">
        <f t="shared" si="6"/>
        <v>5.6628411567296144E-2</v>
      </c>
      <c r="K33" s="632">
        <f t="shared" ref="K33:L33" si="19">IF($A$25=TRUE,K50,"")</f>
        <v>1.1761246297295846</v>
      </c>
      <c r="L33" s="632">
        <f t="shared" si="19"/>
        <v>1.2427342504501058</v>
      </c>
      <c r="M33" s="276"/>
      <c r="N33" s="276"/>
      <c r="O33" s="276"/>
      <c r="P33" s="276"/>
      <c r="Q33" s="276"/>
    </row>
    <row r="34" spans="1:23" x14ac:dyDescent="0.25">
      <c r="A34" s="276"/>
      <c r="B34" s="1486" t="str">
        <f t="shared" si="13"/>
        <v>2005/06</v>
      </c>
      <c r="C34" s="710">
        <f t="shared" si="14"/>
        <v>13155729</v>
      </c>
      <c r="D34" s="632">
        <f t="shared" si="15"/>
        <v>0.97566749662447427</v>
      </c>
      <c r="E34" s="1353">
        <f t="shared" si="15"/>
        <v>28.743665415391696</v>
      </c>
      <c r="F34" s="881">
        <f t="shared" ref="F34" si="20">IF($A$25=TRUE,G51,"")</f>
        <v>53.9</v>
      </c>
      <c r="G34" s="881"/>
      <c r="H34" s="1619" t="str">
        <f t="shared" si="6"/>
        <v>2004/05 - 2005/06</v>
      </c>
      <c r="I34" s="632">
        <f t="shared" si="6"/>
        <v>6.5299999999999997E-2</v>
      </c>
      <c r="J34" s="632">
        <f t="shared" si="6"/>
        <v>7.1099999999999997E-2</v>
      </c>
      <c r="K34" s="632">
        <f t="shared" ref="K34:L34" si="21">IF($A$25=TRUE,K51,"")</f>
        <v>1.2529255680509264</v>
      </c>
      <c r="L34" s="632">
        <f t="shared" si="21"/>
        <v>1.3310926556571083</v>
      </c>
      <c r="M34" s="276"/>
      <c r="N34" s="276"/>
      <c r="O34" s="276"/>
      <c r="P34" s="276"/>
      <c r="Q34" s="276"/>
    </row>
    <row r="35" spans="1:23" x14ac:dyDescent="0.25">
      <c r="A35" s="276"/>
      <c r="B35" s="1486" t="str">
        <f t="shared" si="13"/>
        <v>2006/07</v>
      </c>
      <c r="C35" s="710">
        <f t="shared" si="14"/>
        <v>13558084.999999998</v>
      </c>
      <c r="D35" s="632">
        <f t="shared" si="15"/>
        <v>0.97698337240841915</v>
      </c>
      <c r="E35" s="1353">
        <f t="shared" si="15"/>
        <v>28.758553055230166</v>
      </c>
      <c r="F35" s="881">
        <f t="shared" ref="F35" si="22">IF($A$25=TRUE,G52,"")</f>
        <v>54.4</v>
      </c>
      <c r="G35" s="881"/>
      <c r="H35" s="1619" t="str">
        <f t="shared" si="6"/>
        <v>2005/06 - 2006/07</v>
      </c>
      <c r="I35" s="632">
        <f t="shared" si="6"/>
        <v>5.8799999999999998E-2</v>
      </c>
      <c r="J35" s="632">
        <f t="shared" si="6"/>
        <v>6.5000000000000002E-2</v>
      </c>
      <c r="K35" s="632">
        <f t="shared" ref="K35:L35" si="23">IF($A$25=TRUE,K52,"")</f>
        <v>1.3265975914523207</v>
      </c>
      <c r="L35" s="632">
        <f t="shared" si="23"/>
        <v>1.4176136782748203</v>
      </c>
      <c r="M35" s="276"/>
      <c r="N35" s="276"/>
      <c r="O35" s="276"/>
      <c r="P35" s="276"/>
      <c r="Q35" s="276"/>
    </row>
    <row r="36" spans="1:23" x14ac:dyDescent="0.25">
      <c r="A36" s="276"/>
      <c r="B36" s="1486" t="str">
        <f t="shared" si="13"/>
        <v>2007/08</v>
      </c>
      <c r="C36" s="710">
        <f t="shared" si="14"/>
        <v>14191932.000000002</v>
      </c>
      <c r="D36" s="632">
        <f t="shared" si="15"/>
        <v>0.9789424262743085</v>
      </c>
      <c r="E36" s="1353">
        <f t="shared" si="15"/>
        <v>28.519277592287217</v>
      </c>
      <c r="F36" s="881">
        <f t="shared" ref="F36" si="24">IF($A$25=TRUE,G53,"")</f>
        <v>54.6</v>
      </c>
      <c r="G36" s="881"/>
      <c r="H36" s="1619" t="str">
        <f t="shared" si="6"/>
        <v>2006/07 - 2007/08</v>
      </c>
      <c r="I36" s="632">
        <f t="shared" si="6"/>
        <v>3.4099999999999998E-2</v>
      </c>
      <c r="J36" s="632">
        <f t="shared" si="6"/>
        <v>3.6600000000000001E-2</v>
      </c>
      <c r="K36" s="632">
        <f t="shared" ref="K36:L36" si="25">IF($A$25=TRUE,K53,"")</f>
        <v>1.3718345693208449</v>
      </c>
      <c r="L36" s="632">
        <f t="shared" si="25"/>
        <v>1.4694983388996787</v>
      </c>
      <c r="M36" s="276"/>
      <c r="N36" s="276"/>
      <c r="O36" s="276"/>
      <c r="P36" s="276"/>
      <c r="Q36" s="276"/>
    </row>
    <row r="37" spans="1:23" x14ac:dyDescent="0.25">
      <c r="A37" s="276"/>
      <c r="B37" s="1486" t="str">
        <f t="shared" si="13"/>
        <v>2008/09</v>
      </c>
      <c r="C37" s="710">
        <f t="shared" si="14"/>
        <v>14974264.000000002</v>
      </c>
      <c r="D37" s="632">
        <f t="shared" si="15"/>
        <v>0.97966739147246229</v>
      </c>
      <c r="E37" s="1353">
        <f t="shared" si="15"/>
        <v>28.305532532350167</v>
      </c>
      <c r="F37" s="881">
        <f t="shared" ref="F37" si="26">IF($A$25=TRUE,G54,"")</f>
        <v>55</v>
      </c>
      <c r="G37" s="881"/>
      <c r="H37" s="1619" t="str">
        <f t="shared" si="6"/>
        <v>2007/08 - 2008/09</v>
      </c>
      <c r="I37" s="632">
        <f t="shared" si="6"/>
        <v>3.0685314279900178E-2</v>
      </c>
      <c r="J37" s="632">
        <f t="shared" si="6"/>
        <v>4.2393881491018082E-2</v>
      </c>
      <c r="K37" s="632">
        <f t="shared" ref="K37:L37" si="27">IF($A$25=TRUE,K54,"")</f>
        <v>1.4139297442204866</v>
      </c>
      <c r="L37" s="632">
        <f t="shared" si="27"/>
        <v>1.5317960773302397</v>
      </c>
      <c r="M37" s="276"/>
      <c r="N37" s="276"/>
      <c r="O37" s="276"/>
      <c r="P37" s="276"/>
      <c r="Q37" s="276"/>
    </row>
    <row r="38" spans="1:23" x14ac:dyDescent="0.25">
      <c r="A38" s="276"/>
      <c r="B38" s="1728" t="str">
        <f t="shared" si="13"/>
        <v>2009/10</v>
      </c>
      <c r="C38" s="710">
        <f t="shared" si="14"/>
        <v>15417136</v>
      </c>
      <c r="D38" s="632">
        <f t="shared" si="15"/>
        <v>0.98096228693189191</v>
      </c>
      <c r="E38" s="1353">
        <f t="shared" si="15"/>
        <v>28.44992916972387</v>
      </c>
      <c r="F38" s="881">
        <f t="shared" ref="F38" si="28">IF($A$25=TRUE,G55,"")</f>
        <v>55.3</v>
      </c>
      <c r="G38" s="881"/>
      <c r="H38" s="1619" t="str">
        <f t="shared" si="6"/>
        <v>2008/09 -2009/10</v>
      </c>
      <c r="I38" s="632">
        <f t="shared" si="6"/>
        <v>1.3912115299726135E-2</v>
      </c>
      <c r="J38" s="632">
        <f t="shared" si="6"/>
        <v>1.2658458727172972E-2</v>
      </c>
      <c r="K38" s="632">
        <f t="shared" ref="K38:L38" si="29">IF($A$25=TRUE,K55,"")</f>
        <v>1.4336004978477943</v>
      </c>
      <c r="L38" s="632">
        <f t="shared" si="29"/>
        <v>1.55118625475357</v>
      </c>
      <c r="M38" s="276"/>
      <c r="N38" s="276"/>
      <c r="O38" s="276"/>
      <c r="P38" s="276"/>
      <c r="Q38" s="276"/>
    </row>
    <row r="39" spans="1:23" x14ac:dyDescent="0.25">
      <c r="A39" s="276"/>
      <c r="B39" s="1728" t="str">
        <f t="shared" si="13"/>
        <v>2010/11</v>
      </c>
      <c r="C39" s="710">
        <f t="shared" si="14"/>
        <v>15864439</v>
      </c>
      <c r="D39" s="632">
        <f t="shared" si="15"/>
        <v>0.98108468763377021</v>
      </c>
      <c r="E39" s="1353">
        <f t="shared" si="15"/>
        <v>28.508701366622546</v>
      </c>
      <c r="F39" s="881">
        <f t="shared" ref="F39" si="30">IF($A$25=TRUE,G56,"")</f>
        <v>55.7</v>
      </c>
      <c r="G39" s="881"/>
      <c r="H39" s="1619" t="str">
        <f t="shared" si="6"/>
        <v>2009/10 - 2010/11</v>
      </c>
      <c r="I39" s="632">
        <f t="shared" si="6"/>
        <v>3.835284309093967E-2</v>
      </c>
      <c r="J39" s="632">
        <f t="shared" si="6"/>
        <v>4.9299185410158319E-2</v>
      </c>
      <c r="K39" s="632">
        <f t="shared" ref="K39:L39" si="31">IF($A$25=TRUE,K56,"")</f>
        <v>1.4885831527968438</v>
      </c>
      <c r="L39" s="632">
        <f t="shared" si="31"/>
        <v>1.6276584735323554</v>
      </c>
      <c r="M39" s="276"/>
      <c r="N39" s="276"/>
      <c r="O39" s="276"/>
      <c r="P39" s="276"/>
      <c r="Q39" s="276"/>
    </row>
    <row r="40" spans="1:23" x14ac:dyDescent="0.25">
      <c r="A40" s="380"/>
      <c r="B40" s="1728" t="str">
        <f t="shared" si="13"/>
        <v>2011/12</v>
      </c>
      <c r="C40" s="1810">
        <f t="shared" si="14"/>
        <v>16001358</v>
      </c>
      <c r="D40" s="1811">
        <f t="shared" si="15"/>
        <v>0.98166483207237798</v>
      </c>
      <c r="E40" s="1812">
        <f t="shared" si="15"/>
        <v>28.325708043029849</v>
      </c>
      <c r="F40" s="1665">
        <f>IF($A$25=TRUE,G57,"")</f>
        <v>56</v>
      </c>
      <c r="G40" s="1665"/>
      <c r="H40" s="1813" t="str">
        <f t="shared" si="6"/>
        <v>2010/11 - 2011/12</v>
      </c>
      <c r="I40" s="1811">
        <f t="shared" si="6"/>
        <v>2.4447449647438058E-2</v>
      </c>
      <c r="J40" s="1811">
        <f t="shared" si="6"/>
        <v>3.0666420255953675E-2</v>
      </c>
      <c r="K40" s="1811">
        <f t="shared" ref="K40:L40" si="32">IF($A$25=TRUE,K57,"")</f>
        <v>1.5249752144708693</v>
      </c>
      <c r="L40" s="1811">
        <f t="shared" si="32"/>
        <v>1.6775729323148627</v>
      </c>
      <c r="M40" s="380"/>
      <c r="N40" s="380"/>
      <c r="O40" s="380"/>
      <c r="P40" s="380"/>
      <c r="Q40" s="380"/>
      <c r="R40" s="376"/>
      <c r="S40" s="376"/>
      <c r="T40" s="376"/>
      <c r="U40" s="1664"/>
    </row>
    <row r="41" spans="1:23" x14ac:dyDescent="0.25">
      <c r="A41" s="567"/>
      <c r="B41" s="585"/>
      <c r="C41" s="648"/>
      <c r="D41" s="743"/>
      <c r="E41" s="1355"/>
      <c r="F41" s="1355"/>
      <c r="G41" s="1355"/>
      <c r="H41" s="585"/>
      <c r="I41" s="585"/>
      <c r="J41" s="567"/>
      <c r="K41" s="567"/>
      <c r="L41" s="567"/>
      <c r="M41" s="567"/>
      <c r="N41" s="567"/>
      <c r="O41" s="567"/>
      <c r="P41" s="396"/>
      <c r="Q41" s="396"/>
      <c r="R41" s="396"/>
      <c r="S41" s="396"/>
      <c r="T41" s="378"/>
      <c r="U41" s="1663"/>
      <c r="V41" s="231"/>
      <c r="W41" s="231"/>
    </row>
    <row r="42" spans="1:23" x14ac:dyDescent="0.25">
      <c r="A42" s="567"/>
      <c r="B42" s="585"/>
      <c r="C42" s="648"/>
      <c r="D42" s="743"/>
      <c r="E42" s="1355"/>
      <c r="F42" s="1355"/>
      <c r="G42" s="1355"/>
      <c r="H42" s="585"/>
      <c r="I42" s="585"/>
      <c r="J42" s="567"/>
      <c r="K42" s="567"/>
      <c r="L42" s="567"/>
      <c r="M42" s="567"/>
      <c r="N42" s="567"/>
      <c r="O42" s="567"/>
      <c r="P42" s="396"/>
      <c r="Q42" s="396"/>
      <c r="R42" s="396"/>
      <c r="S42" s="396"/>
      <c r="T42" s="378"/>
      <c r="U42" s="1663"/>
      <c r="V42" s="231"/>
      <c r="W42" s="231"/>
    </row>
    <row r="43" spans="1:23" x14ac:dyDescent="0.25">
      <c r="A43" s="567"/>
      <c r="B43" s="1324"/>
      <c r="C43" s="1324" t="s">
        <v>634</v>
      </c>
      <c r="D43" s="1324" t="s">
        <v>579</v>
      </c>
      <c r="E43" s="1324" t="s">
        <v>580</v>
      </c>
      <c r="F43" s="1324"/>
      <c r="G43" s="809" t="s">
        <v>690</v>
      </c>
      <c r="H43" s="809"/>
      <c r="I43" s="809" t="s">
        <v>691</v>
      </c>
      <c r="J43" s="1324" t="s">
        <v>692</v>
      </c>
      <c r="K43" s="1324" t="s">
        <v>802</v>
      </c>
      <c r="L43" s="1325" t="s">
        <v>803</v>
      </c>
      <c r="M43" s="1325"/>
      <c r="N43" s="1325"/>
      <c r="O43" s="1325"/>
      <c r="P43" s="1325"/>
      <c r="Q43" s="1325"/>
      <c r="R43" s="1325"/>
      <c r="S43" s="1325"/>
      <c r="T43" s="1352"/>
      <c r="U43" s="1808"/>
      <c r="V43" s="378"/>
      <c r="W43" s="1439"/>
    </row>
    <row r="44" spans="1:23" x14ac:dyDescent="0.25">
      <c r="A44" s="567"/>
      <c r="B44" s="809" t="s">
        <v>68</v>
      </c>
      <c r="C44" s="809">
        <f>IF($B$9="Non-electives",'Hospital new figures_9899_1112'!J52,IF($B$9="Elective and day cases",'Hospital new figures_9899_1112'!B52,'Hospital new figures_9899_1112'!R52))</f>
        <v>11.210816000000001</v>
      </c>
      <c r="D44" s="809">
        <f>IF($B$9="Non-electives",'Hospital new figures_9899_1112'!K52,IF($B$9="Elective and day cases",'Hospital new figures_9899_1112'!C52,'Hospital new figures_9899_1112'!S52))</f>
        <v>0.96919817161486754</v>
      </c>
      <c r="E44" s="809">
        <f>IF($B$9="Non-electives",'Hospital new figures_9899_1112'!E52,IF($B$9="Elective and day cases",'Hospital new figures_9899_1112'!E52,'Hospital new figures_9899_1112'!U52))</f>
        <v>29.513722763362264</v>
      </c>
      <c r="F44" s="809">
        <f>IF($B$9="Non-electives",'Hospital new figures_9899_1112'!M52,IF($B$9="Elective and day cases",'Hospital new figures_9899_1112'!E52,'Hospital new figures_9899_1112'!U52))</f>
        <v>29.513722763362264</v>
      </c>
      <c r="G44" s="809">
        <f>IF($B$9="Non-electives",'Hospital new figures_9899_1112'!O52,IF($B$9="Elective and day cases",'Hospital new figures_9899_1112'!G52,'Hospital new figures_9899_1112'!G52))</f>
        <v>45.71</v>
      </c>
      <c r="H44" s="809"/>
      <c r="I44" s="809">
        <v>1</v>
      </c>
      <c r="J44" s="809">
        <v>1</v>
      </c>
      <c r="K44" s="809">
        <f>M44</f>
        <v>1</v>
      </c>
      <c r="L44" s="809">
        <f>N44</f>
        <v>1</v>
      </c>
      <c r="M44" s="809">
        <f>N44</f>
        <v>1</v>
      </c>
      <c r="N44" s="809">
        <v>1</v>
      </c>
      <c r="O44" s="809"/>
      <c r="P44" s="809"/>
      <c r="Q44" s="809"/>
      <c r="R44" s="809"/>
      <c r="S44" s="547"/>
      <c r="T44" s="375"/>
      <c r="U44" s="1808"/>
      <c r="V44" s="378"/>
      <c r="W44" s="1439"/>
    </row>
    <row r="45" spans="1:23" x14ac:dyDescent="0.25">
      <c r="A45" s="567"/>
      <c r="B45" s="809" t="s">
        <v>69</v>
      </c>
      <c r="C45" s="809">
        <f>IF($B$9="Non-electives",'Hospital new figures_9899_1112'!J53,IF($B$9="Elective and day cases",'Hospital new figures_9899_1112'!B53,'Hospital new figures_9899_1112'!R53))</f>
        <v>11.105744999999999</v>
      </c>
      <c r="D45" s="809">
        <f>IF($B$9="Non-electives",'Hospital new figures_9899_1112'!K53,IF($B$9="Elective and day cases",'Hospital new figures_9899_1112'!C53,'Hospital new figures_9899_1112'!S53))</f>
        <v>0.96940157052764542</v>
      </c>
      <c r="E45" s="809">
        <f>IF($B$9="Non-electives",'Hospital new figures_9899_1112'!E53,IF($B$9="Elective and day cases",'Hospital new figures_9899_1112'!E53,'Hospital new figures_9899_1112'!U53))</f>
        <v>29.413581565434725</v>
      </c>
      <c r="F45" s="809">
        <f>IF($B$9="Non-electives",'Hospital new figures_9899_1112'!M53,IF($B$9="Elective and day cases",'Hospital new figures_9899_1112'!E53,'Hospital new figures_9899_1112'!U53))</f>
        <v>29.413581565434725</v>
      </c>
      <c r="G45" s="809">
        <f>IF($B$9="Non-electives",'Hospital new figures_9899_1112'!O53,IF($B$9="Elective and day cases",'Hospital new figures_9899_1112'!G53,'Hospital new figures_9899_1112'!G53))</f>
        <v>45.76</v>
      </c>
      <c r="H45" s="809" t="s">
        <v>719</v>
      </c>
      <c r="I45" s="809">
        <v>1.873602696231691E-2</v>
      </c>
      <c r="J45" s="678">
        <v>1.0160244939989301E-2</v>
      </c>
      <c r="K45" s="809">
        <f t="shared" ref="K45:K57" si="33">M45</f>
        <v>1.0187360269623169</v>
      </c>
      <c r="L45" s="809">
        <f t="shared" ref="L45:L57" si="34">N45</f>
        <v>1.0101602449399893</v>
      </c>
      <c r="M45" s="809">
        <f t="shared" ref="M45:M57" si="35">M44*(1+I45)</f>
        <v>1.0187360269623169</v>
      </c>
      <c r="N45" s="809">
        <f t="shared" ref="N45:N57" si="36">N44*(1+J45)</f>
        <v>1.0101602449399893</v>
      </c>
      <c r="O45" s="809"/>
      <c r="P45" s="809"/>
      <c r="Q45" s="809"/>
      <c r="R45" s="809"/>
      <c r="S45" s="547"/>
      <c r="T45" s="375"/>
      <c r="U45" s="1808"/>
      <c r="V45" s="378"/>
      <c r="W45" s="1439"/>
    </row>
    <row r="46" spans="1:23" x14ac:dyDescent="0.25">
      <c r="A46" s="567"/>
      <c r="B46" s="809" t="s">
        <v>70</v>
      </c>
      <c r="C46" s="809">
        <f>IF($B$9="Non-electives",'Hospital new figures_9899_1112'!J54,IF($B$9="Elective and day cases",'Hospital new figures_9899_1112'!B54,'Hospital new figures_9899_1112'!R54))</f>
        <v>11.075239</v>
      </c>
      <c r="D46" s="809">
        <f>IF($B$9="Non-electives",'Hospital new figures_9899_1112'!K54,IF($B$9="Elective and day cases",'Hospital new figures_9899_1112'!C54,'Hospital new figures_9899_1112'!S54))</f>
        <v>0.97065632394750345</v>
      </c>
      <c r="E46" s="809">
        <f>IF($B$9="Non-electives",'Hospital new figures_9899_1112'!E54,IF($B$9="Elective and day cases",'Hospital new figures_9899_1112'!E54,'Hospital new figures_9899_1112'!U54))</f>
        <v>29.068773548655631</v>
      </c>
      <c r="F46" s="809">
        <f>IF($B$9="Non-electives",'Hospital new figures_9899_1112'!M54,IF($B$9="Elective and day cases",'Hospital new figures_9899_1112'!E54,'Hospital new figures_9899_1112'!U54))</f>
        <v>29.068773548655631</v>
      </c>
      <c r="G46" s="809">
        <f>IF($B$9="Non-electives",'Hospital new figures_9899_1112'!O54,IF($B$9="Elective and day cases",'Hospital new figures_9899_1112'!G54,'Hospital new figures_9899_1112'!G54))</f>
        <v>46.17</v>
      </c>
      <c r="H46" s="809" t="s">
        <v>598</v>
      </c>
      <c r="I46" s="809">
        <v>9.108797210934938E-3</v>
      </c>
      <c r="J46" s="678">
        <v>1.2632336897897599E-2</v>
      </c>
      <c r="K46" s="809">
        <f t="shared" si="33"/>
        <v>1.0280154868433902</v>
      </c>
      <c r="L46" s="809">
        <f t="shared" si="34"/>
        <v>1.022920929474934</v>
      </c>
      <c r="M46" s="809">
        <f t="shared" si="35"/>
        <v>1.0280154868433902</v>
      </c>
      <c r="N46" s="809">
        <f t="shared" si="36"/>
        <v>1.022920929474934</v>
      </c>
      <c r="O46" s="809"/>
      <c r="P46" s="809"/>
      <c r="Q46" s="809"/>
      <c r="R46" s="809"/>
      <c r="S46" s="547"/>
      <c r="T46" s="375"/>
      <c r="U46" s="1808"/>
      <c r="V46" s="378"/>
      <c r="W46" s="1439"/>
    </row>
    <row r="47" spans="1:23" ht="23.25" customHeight="1" x14ac:dyDescent="0.25">
      <c r="A47" s="567"/>
      <c r="B47" s="567" t="s">
        <v>71</v>
      </c>
      <c r="C47" s="809">
        <f>IF($B$9="Non-electives",'Hospital new figures_9899_1112'!J55,IF($B$9="Elective and day cases",'Hospital new figures_9899_1112'!B55,'Hospital new figures_9899_1112'!R55))</f>
        <v>10.994059</v>
      </c>
      <c r="D47" s="809">
        <f>IF($B$9="Non-electives",'Hospital new figures_9899_1112'!K55,IF($B$9="Elective and day cases",'Hospital new figures_9899_1112'!C55,'Hospital new figures_9899_1112'!S55))</f>
        <v>0.97008052840020276</v>
      </c>
      <c r="E47" s="809">
        <f>IF($B$9="Non-electives",'Hospital new figures_9899_1112'!E55,IF($B$9="Elective and day cases",'Hospital new figures_9899_1112'!E55,'Hospital new figures_9899_1112'!U55))</f>
        <v>28.99116963511786</v>
      </c>
      <c r="F47" s="809">
        <f>IF($B$9="Non-electives",'Hospital new figures_9899_1112'!M55,IF($B$9="Elective and day cases",'Hospital new figures_9899_1112'!E55,'Hospital new figures_9899_1112'!U55))</f>
        <v>28.99116963511786</v>
      </c>
      <c r="G47" s="809">
        <f>IF($B$9="Non-electives",'Hospital new figures_9899_1112'!O55,IF($B$9="Elective and day cases",'Hospital new figures_9899_1112'!G55,'Hospital new figures_9899_1112'!G55))</f>
        <v>46.3</v>
      </c>
      <c r="H47" s="809" t="s">
        <v>720</v>
      </c>
      <c r="I47" s="809">
        <v>9.4591026031158876E-3</v>
      </c>
      <c r="J47" s="585">
        <v>6.5447193794447855E-3</v>
      </c>
      <c r="K47" s="809">
        <f t="shared" si="33"/>
        <v>1.0377395908110338</v>
      </c>
      <c r="L47" s="809">
        <f t="shared" si="34"/>
        <v>1.0296156599057082</v>
      </c>
      <c r="M47" s="809">
        <f t="shared" si="35"/>
        <v>1.0377395908110338</v>
      </c>
      <c r="N47" s="809">
        <f t="shared" si="36"/>
        <v>1.0296156599057082</v>
      </c>
      <c r="O47" s="567"/>
      <c r="P47" s="567"/>
      <c r="Q47" s="567"/>
      <c r="R47" s="567"/>
      <c r="S47" s="396"/>
      <c r="T47" s="378"/>
      <c r="U47" s="1663"/>
      <c r="V47" s="378"/>
      <c r="W47" s="1439"/>
    </row>
    <row r="48" spans="1:23" x14ac:dyDescent="0.25">
      <c r="A48" s="567"/>
      <c r="B48" s="809" t="s">
        <v>72</v>
      </c>
      <c r="C48" s="809">
        <f>IF($B$9="Non-electives",'Hospital new figures_9899_1112'!J56,IF($B$9="Elective and day cases",'Hospital new figures_9899_1112'!B56,'Hospital new figures_9899_1112'!R56))</f>
        <v>11.541834999999999</v>
      </c>
      <c r="D48" s="809">
        <f>IF($B$9="Non-electives",'Hospital new figures_9899_1112'!K56,IF($B$9="Elective and day cases",'Hospital new figures_9899_1112'!C56,'Hospital new figures_9899_1112'!S56))</f>
        <v>0.97134109495145904</v>
      </c>
      <c r="E48" s="809">
        <f>IF($B$9="Non-electives",'Hospital new figures_9899_1112'!E56,IF($B$9="Elective and day cases",'Hospital new figures_9899_1112'!E56,'Hospital new figures_9899_1112'!U56))</f>
        <v>28.533748301155057</v>
      </c>
      <c r="F48" s="809">
        <f>IF($B$9="Non-electives",'Hospital new figures_9899_1112'!M56,IF($B$9="Elective and day cases",'Hospital new figures_9899_1112'!E56,'Hospital new figures_9899_1112'!U56))</f>
        <v>28.533748301155057</v>
      </c>
      <c r="G48" s="809">
        <f>IF($B$9="Non-electives",'Hospital new figures_9899_1112'!O56,IF($B$9="Elective and day cases",'Hospital new figures_9899_1112'!G56,'Hospital new figures_9899_1112'!G56))</f>
        <v>46.93</v>
      </c>
      <c r="H48" s="567" t="s">
        <v>721</v>
      </c>
      <c r="I48" s="809">
        <v>4.4404300293176879E-2</v>
      </c>
      <c r="J48" s="960">
        <v>6.4913168332380256E-2</v>
      </c>
      <c r="K48" s="809">
        <f t="shared" si="33"/>
        <v>1.0838196912275255</v>
      </c>
      <c r="L48" s="809">
        <f t="shared" si="34"/>
        <v>1.0964512745548223</v>
      </c>
      <c r="M48" s="809">
        <f t="shared" si="35"/>
        <v>1.0838196912275255</v>
      </c>
      <c r="N48" s="809">
        <f t="shared" si="36"/>
        <v>1.0964512745548223</v>
      </c>
      <c r="O48" s="567"/>
      <c r="P48" s="567"/>
      <c r="Q48" s="567"/>
      <c r="R48" s="567"/>
      <c r="S48" s="396"/>
      <c r="T48" s="378"/>
      <c r="U48" s="1663"/>
      <c r="V48" s="378"/>
      <c r="W48" s="1439"/>
    </row>
    <row r="49" spans="1:23" x14ac:dyDescent="0.25">
      <c r="A49" s="567"/>
      <c r="B49" s="1324" t="s">
        <v>73</v>
      </c>
      <c r="C49" s="809">
        <f>IF($B$9="Non-electives",'Hospital new figures_9899_1112'!J57,IF($B$9="Elective and day cases",'Hospital new figures_9899_1112'!B57,'Hospital new figures_9899_1112'!R57))</f>
        <v>12.125336000000001</v>
      </c>
      <c r="D49" s="809">
        <f>IF($B$9="Non-electives",'Hospital new figures_9899_1112'!K57,IF($B$9="Elective and day cases",'Hospital new figures_9899_1112'!C57,'Hospital new figures_9899_1112'!S57))</f>
        <v>0.97260801680052422</v>
      </c>
      <c r="E49" s="809">
        <f>IF($B$9="Non-electives",'Hospital new figures_9899_1112'!E57,IF($B$9="Elective and day cases",'Hospital new figures_9899_1112'!E57,'Hospital new figures_9899_1112'!U57))</f>
        <v>28.397096696397888</v>
      </c>
      <c r="F49" s="809">
        <f>IF($B$9="Non-electives",'Hospital new figures_9899_1112'!M57,IF($B$9="Elective and day cases",'Hospital new figures_9899_1112'!E57,'Hospital new figures_9899_1112'!U57))</f>
        <v>28.397096696397888</v>
      </c>
      <c r="G49" s="809">
        <f>IF($B$9="Non-electives",'Hospital new figures_9899_1112'!O57,IF($B$9="Elective and day cases",'Hospital new figures_9899_1112'!G57,'Hospital new figures_9899_1112'!G57))</f>
        <v>47.9</v>
      </c>
      <c r="H49" s="809" t="s">
        <v>601</v>
      </c>
      <c r="I49" s="809">
        <v>5.8062098914157811E-2</v>
      </c>
      <c r="J49" s="960">
        <v>7.26712654415127E-2</v>
      </c>
      <c r="K49" s="809">
        <f t="shared" si="33"/>
        <v>1.1467485373446902</v>
      </c>
      <c r="L49" s="809">
        <f t="shared" si="34"/>
        <v>1.1761317761716807</v>
      </c>
      <c r="M49" s="809">
        <f t="shared" si="35"/>
        <v>1.1467485373446902</v>
      </c>
      <c r="N49" s="809">
        <f t="shared" si="36"/>
        <v>1.1761317761716807</v>
      </c>
      <c r="O49" s="567"/>
      <c r="P49" s="567"/>
      <c r="Q49" s="567"/>
      <c r="R49" s="567"/>
      <c r="S49" s="396"/>
      <c r="T49" s="378"/>
      <c r="U49" s="1663"/>
      <c r="V49" s="378"/>
      <c r="W49" s="1439"/>
    </row>
    <row r="50" spans="1:23" x14ac:dyDescent="0.25">
      <c r="A50" s="567"/>
      <c r="B50" s="1324" t="s">
        <v>74</v>
      </c>
      <c r="C50" s="809">
        <f>IF($B$9="Non-electives",'Hospital new figures_9899_1112'!J58,IF($B$9="Elective and day cases",'Hospital new figures_9899_1112'!B58,'Hospital new figures_9899_1112'!R58))</f>
        <v>12.443735</v>
      </c>
      <c r="D50" s="809">
        <f>IF($B$9="Non-electives",'Hospital new figures_9899_1112'!K58,IF($B$9="Elective and day cases",'Hospital new figures_9899_1112'!C58,'Hospital new figures_9899_1112'!S58))</f>
        <v>0.97341917025716151</v>
      </c>
      <c r="E50" s="809">
        <f>IF($B$9="Non-electives",'Hospital new figures_9899_1112'!E58,IF($B$9="Elective and day cases",'Hospital new figures_9899_1112'!E58,'Hospital new figures_9899_1112'!U58))</f>
        <v>28.746241102515093</v>
      </c>
      <c r="F50" s="809">
        <f>IF($B$9="Non-electives",'Hospital new figures_9899_1112'!M58,IF($B$9="Elective and day cases",'Hospital new figures_9899_1112'!E58,'Hospital new figures_9899_1112'!U58))</f>
        <v>28.746241102515093</v>
      </c>
      <c r="G50" s="809">
        <f>IF($B$9="Non-electives",'Hospital new figures_9899_1112'!O58,IF($B$9="Elective and day cases",'Hospital new figures_9899_1112'!G58,'Hospital new figures_9899_1112'!G58))</f>
        <v>53.6</v>
      </c>
      <c r="H50" s="1324" t="s">
        <v>606</v>
      </c>
      <c r="I50" s="809">
        <v>2.5616856205384897E-2</v>
      </c>
      <c r="J50" s="960">
        <v>5.6628411567296144E-2</v>
      </c>
      <c r="K50" s="809">
        <f t="shared" si="33"/>
        <v>1.1761246297295846</v>
      </c>
      <c r="L50" s="809">
        <f t="shared" si="34"/>
        <v>1.2427342504501058</v>
      </c>
      <c r="M50" s="809">
        <f t="shared" si="35"/>
        <v>1.1761246297295846</v>
      </c>
      <c r="N50" s="809">
        <f t="shared" si="36"/>
        <v>1.2427342504501058</v>
      </c>
      <c r="O50" s="567"/>
      <c r="P50" s="567"/>
      <c r="Q50" s="567"/>
      <c r="R50" s="567"/>
      <c r="S50" s="396"/>
      <c r="T50" s="378"/>
      <c r="U50" s="1663"/>
      <c r="V50" s="378"/>
      <c r="W50" s="1439"/>
    </row>
    <row r="51" spans="1:23" x14ac:dyDescent="0.25">
      <c r="A51" s="567"/>
      <c r="B51" s="1324" t="s">
        <v>75</v>
      </c>
      <c r="C51" s="809">
        <f>IF($B$9="Non-electives",'Hospital new figures_9899_1112'!J59,IF($B$9="Elective and day cases",'Hospital new figures_9899_1112'!B59,'Hospital new figures_9899_1112'!R59))</f>
        <v>13.155729000000001</v>
      </c>
      <c r="D51" s="809">
        <f>IF($B$9="Non-electives",'Hospital new figures_9899_1112'!K59,IF($B$9="Elective and day cases",'Hospital new figures_9899_1112'!C59,'Hospital new figures_9899_1112'!S59))</f>
        <v>0.97566749662447427</v>
      </c>
      <c r="E51" s="809">
        <f>IF($B$9="Non-electives",'Hospital new figures_9899_1112'!E59,IF($B$9="Elective and day cases",'Hospital new figures_9899_1112'!E59,'Hospital new figures_9899_1112'!U59))</f>
        <v>28.743665415391696</v>
      </c>
      <c r="F51" s="809">
        <f>IF($B$9="Non-electives",'Hospital new figures_9899_1112'!M59,IF($B$9="Elective and day cases",'Hospital new figures_9899_1112'!E59,'Hospital new figures_9899_1112'!U59))</f>
        <v>28.743665415391696</v>
      </c>
      <c r="G51" s="809">
        <f>IF($B$9="Non-electives",'Hospital new figures_9899_1112'!O59,IF($B$9="Elective and day cases",'Hospital new figures_9899_1112'!G59,'Hospital new figures_9899_1112'!G59))</f>
        <v>53.9</v>
      </c>
      <c r="H51" s="1324" t="s">
        <v>722</v>
      </c>
      <c r="I51" s="809">
        <v>6.5299999999999997E-2</v>
      </c>
      <c r="J51" s="960">
        <v>7.1099999999999997E-2</v>
      </c>
      <c r="K51" s="809">
        <f t="shared" si="33"/>
        <v>1.2529255680509264</v>
      </c>
      <c r="L51" s="809">
        <f t="shared" si="34"/>
        <v>1.3310926556571083</v>
      </c>
      <c r="M51" s="809">
        <f t="shared" si="35"/>
        <v>1.2529255680509264</v>
      </c>
      <c r="N51" s="809">
        <f t="shared" si="36"/>
        <v>1.3310926556571083</v>
      </c>
      <c r="O51" s="567"/>
      <c r="P51" s="567"/>
      <c r="Q51" s="567"/>
      <c r="R51" s="567"/>
      <c r="S51" s="396"/>
      <c r="T51" s="378"/>
      <c r="U51" s="1663"/>
      <c r="V51" s="378"/>
      <c r="W51" s="1439"/>
    </row>
    <row r="52" spans="1:23" x14ac:dyDescent="0.25">
      <c r="A52" s="567"/>
      <c r="B52" s="1324" t="s">
        <v>76</v>
      </c>
      <c r="C52" s="809">
        <f>IF($B$9="Non-electives",'Hospital new figures_9899_1112'!J60,IF($B$9="Elective and day cases",'Hospital new figures_9899_1112'!B60,'Hospital new figures_9899_1112'!R60))</f>
        <v>13.558084999999998</v>
      </c>
      <c r="D52" s="809">
        <f>IF($B$9="Non-electives",'Hospital new figures_9899_1112'!K60,IF($B$9="Elective and day cases",'Hospital new figures_9899_1112'!C60,'Hospital new figures_9899_1112'!S60))</f>
        <v>0.97698337240841915</v>
      </c>
      <c r="E52" s="809">
        <f>IF($B$9="Non-electives",'Hospital new figures_9899_1112'!E60,IF($B$9="Elective and day cases",'Hospital new figures_9899_1112'!E60,'Hospital new figures_9899_1112'!U60))</f>
        <v>28.758553055230166</v>
      </c>
      <c r="F52" s="809">
        <f>IF($B$9="Non-electives",'Hospital new figures_9899_1112'!M60,IF($B$9="Elective and day cases",'Hospital new figures_9899_1112'!E60,'Hospital new figures_9899_1112'!U60))</f>
        <v>28.758553055230166</v>
      </c>
      <c r="G52" s="809">
        <f>IF($B$9="Non-electives",'Hospital new figures_9899_1112'!O60,IF($B$9="Elective and day cases",'Hospital new figures_9899_1112'!G60,'Hospital new figures_9899_1112'!G60))</f>
        <v>54.4</v>
      </c>
      <c r="H52" s="1324" t="s">
        <v>723</v>
      </c>
      <c r="I52" s="809">
        <v>5.8799999999999998E-2</v>
      </c>
      <c r="J52" s="960">
        <v>6.5000000000000002E-2</v>
      </c>
      <c r="K52" s="809">
        <f t="shared" si="33"/>
        <v>1.3265975914523207</v>
      </c>
      <c r="L52" s="809">
        <f t="shared" si="34"/>
        <v>1.4176136782748203</v>
      </c>
      <c r="M52" s="809">
        <f t="shared" si="35"/>
        <v>1.3265975914523207</v>
      </c>
      <c r="N52" s="809">
        <f t="shared" si="36"/>
        <v>1.4176136782748203</v>
      </c>
      <c r="O52" s="567"/>
      <c r="P52" s="567"/>
      <c r="Q52" s="567"/>
      <c r="R52" s="567"/>
      <c r="S52" s="396"/>
      <c r="T52" s="378"/>
      <c r="U52" s="1663"/>
      <c r="V52" s="378"/>
      <c r="W52" s="1439"/>
    </row>
    <row r="53" spans="1:23" x14ac:dyDescent="0.25">
      <c r="A53" s="949"/>
      <c r="B53" s="1324" t="s">
        <v>4</v>
      </c>
      <c r="C53" s="809">
        <f>IF($B$9="Non-electives",'Hospital new figures_9899_1112'!J61,IF($B$9="Elective and day cases",'Hospital new figures_9899_1112'!B61,'Hospital new figures_9899_1112'!R61))</f>
        <v>14.191932000000001</v>
      </c>
      <c r="D53" s="809">
        <f>IF($B$9="Non-electives",'Hospital new figures_9899_1112'!K61,IF($B$9="Elective and day cases",'Hospital new figures_9899_1112'!C61,'Hospital new figures_9899_1112'!S61))</f>
        <v>0.9789424262743085</v>
      </c>
      <c r="E53" s="809">
        <f>IF($B$9="Non-electives",'Hospital new figures_9899_1112'!E61,IF($B$9="Elective and day cases",'Hospital new figures_9899_1112'!E61,'Hospital new figures_9899_1112'!U61))</f>
        <v>28.519277592287217</v>
      </c>
      <c r="F53" s="809">
        <f>IF($B$9="Non-electives",'Hospital new figures_9899_1112'!M61,IF($B$9="Elective and day cases",'Hospital new figures_9899_1112'!E61,'Hospital new figures_9899_1112'!U61))</f>
        <v>28.519277592287217</v>
      </c>
      <c r="G53" s="809">
        <f>IF($B$9="Non-electives",'Hospital new figures_9899_1112'!O61,IF($B$9="Elective and day cases",'Hospital new figures_9899_1112'!G61,'Hospital new figures_9899_1112'!G61))</f>
        <v>54.6</v>
      </c>
      <c r="H53" s="1324" t="s">
        <v>724</v>
      </c>
      <c r="I53" s="809">
        <v>3.4099999999999998E-2</v>
      </c>
      <c r="J53" s="567">
        <v>3.6600000000000001E-2</v>
      </c>
      <c r="K53" s="809">
        <f t="shared" si="33"/>
        <v>1.3718345693208449</v>
      </c>
      <c r="L53" s="809">
        <f t="shared" si="34"/>
        <v>1.4694983388996787</v>
      </c>
      <c r="M53" s="809">
        <f t="shared" si="35"/>
        <v>1.3718345693208449</v>
      </c>
      <c r="N53" s="809">
        <f t="shared" si="36"/>
        <v>1.4694983388996787</v>
      </c>
      <c r="O53" s="567"/>
      <c r="P53" s="567"/>
      <c r="Q53" s="567"/>
      <c r="R53" s="567"/>
      <c r="S53" s="396"/>
      <c r="T53" s="378"/>
      <c r="U53" s="1663"/>
      <c r="V53" s="378"/>
      <c r="W53" s="1439"/>
    </row>
    <row r="54" spans="1:23" x14ac:dyDescent="0.25">
      <c r="A54" s="809"/>
      <c r="B54" s="1325" t="s">
        <v>5</v>
      </c>
      <c r="C54" s="809">
        <f>IF($B$9="Non-electives",'Hospital new figures_9899_1112'!J62,IF($B$9="Elective and day cases",'Hospital new figures_9899_1112'!B62,'Hospital new figures_9899_1112'!R62))</f>
        <v>14.974264000000002</v>
      </c>
      <c r="D54" s="809">
        <f>IF($B$9="Non-electives",'Hospital new figures_9899_1112'!K62,IF($B$9="Elective and day cases",'Hospital new figures_9899_1112'!C62,'Hospital new figures_9899_1112'!S62))</f>
        <v>0.97966739147246229</v>
      </c>
      <c r="E54" s="809">
        <f>IF($B$9="Non-electives",'Hospital new figures_9899_1112'!E62,IF($B$9="Elective and day cases",'Hospital new figures_9899_1112'!E62,'Hospital new figures_9899_1112'!U62))</f>
        <v>28.305532532350167</v>
      </c>
      <c r="F54" s="809">
        <f>IF($B$9="Non-electives",'Hospital new figures_9899_1112'!M62,IF($B$9="Elective and day cases",'Hospital new figures_9899_1112'!E62,'Hospital new figures_9899_1112'!U62))</f>
        <v>28.305532532350167</v>
      </c>
      <c r="G54" s="809">
        <f>IF($B$9="Non-electives",'Hospital new figures_9899_1112'!O62,IF($B$9="Elective and day cases",'Hospital new figures_9899_1112'!G62,'Hospital new figures_9899_1112'!G62))</f>
        <v>55</v>
      </c>
      <c r="H54" s="1324" t="s">
        <v>610</v>
      </c>
      <c r="I54" s="809">
        <v>3.0685314279900178E-2</v>
      </c>
      <c r="J54" s="567">
        <v>4.2393881491018082E-2</v>
      </c>
      <c r="K54" s="809">
        <f t="shared" si="33"/>
        <v>1.4139297442204866</v>
      </c>
      <c r="L54" s="809">
        <f t="shared" si="34"/>
        <v>1.5317960773302397</v>
      </c>
      <c r="M54" s="809">
        <f t="shared" si="35"/>
        <v>1.4139297442204866</v>
      </c>
      <c r="N54" s="809">
        <f t="shared" si="36"/>
        <v>1.5317960773302397</v>
      </c>
      <c r="O54" s="567"/>
      <c r="P54" s="567"/>
      <c r="Q54" s="567"/>
      <c r="R54" s="567"/>
      <c r="S54" s="396"/>
      <c r="T54" s="378"/>
      <c r="U54" s="1663"/>
      <c r="V54" s="378"/>
      <c r="W54" s="1439"/>
    </row>
    <row r="55" spans="1:23" x14ac:dyDescent="0.25">
      <c r="A55" s="809" t="s">
        <v>582</v>
      </c>
      <c r="B55" s="1325" t="s">
        <v>6</v>
      </c>
      <c r="C55" s="809">
        <f>IF($B$9="Non-electives",'Hospital new figures_9899_1112'!J63,IF($B$9="Elective and day cases",'Hospital new figures_9899_1112'!B63,'Hospital new figures_9899_1112'!R63))</f>
        <v>15.417135999999999</v>
      </c>
      <c r="D55" s="809">
        <f>IF($B$9="Non-electives",'Hospital new figures_9899_1112'!K63,IF($B$9="Elective and day cases",'Hospital new figures_9899_1112'!C63,'Hospital new figures_9899_1112'!S63))</f>
        <v>0.98096228693189191</v>
      </c>
      <c r="E55" s="809">
        <f>IF($B$9="Non-electives",'Hospital new figures_9899_1112'!E63,IF($B$9="Elective and day cases",'Hospital new figures_9899_1112'!E63,'Hospital new figures_9899_1112'!U63))</f>
        <v>28.44992916972387</v>
      </c>
      <c r="F55" s="809">
        <f>IF($B$9="Non-electives",'Hospital new figures_9899_1112'!M63,IF($B$9="Elective and day cases",'Hospital new figures_9899_1112'!E63,'Hospital new figures_9899_1112'!U63))</f>
        <v>28.44992916972387</v>
      </c>
      <c r="G55" s="809">
        <f>IF($B$9="Non-electives",'Hospital new figures_9899_1112'!O63,IF($B$9="Elective and day cases",'Hospital new figures_9899_1112'!G63,'Hospital new figures_9899_1112'!G63))</f>
        <v>55.3</v>
      </c>
      <c r="H55" s="1325" t="s">
        <v>725</v>
      </c>
      <c r="I55" s="809">
        <v>1.3912115299726135E-2</v>
      </c>
      <c r="J55" s="567">
        <v>1.2658458727172972E-2</v>
      </c>
      <c r="K55" s="809">
        <f t="shared" si="33"/>
        <v>1.4336004978477943</v>
      </c>
      <c r="L55" s="809">
        <f t="shared" si="34"/>
        <v>1.55118625475357</v>
      </c>
      <c r="M55" s="809">
        <f t="shared" si="35"/>
        <v>1.4336004978477943</v>
      </c>
      <c r="N55" s="809">
        <f t="shared" si="36"/>
        <v>1.55118625475357</v>
      </c>
      <c r="O55" s="567"/>
      <c r="P55" s="567"/>
      <c r="Q55" s="567"/>
      <c r="R55" s="567"/>
      <c r="S55" s="396"/>
      <c r="T55" s="378"/>
      <c r="U55" s="1663"/>
      <c r="V55" s="378"/>
      <c r="W55" s="1439"/>
    </row>
    <row r="56" spans="1:23" x14ac:dyDescent="0.25">
      <c r="A56" s="809" t="s">
        <v>578</v>
      </c>
      <c r="B56" s="1325" t="s">
        <v>7</v>
      </c>
      <c r="C56" s="809">
        <f>IF($B$9="Non-electives",'Hospital new figures_9899_1112'!J64,IF($B$9="Elective and day cases",'Hospital new figures_9899_1112'!B64,'Hospital new figures_9899_1112'!R64))</f>
        <v>15.864439000000001</v>
      </c>
      <c r="D56" s="809">
        <f>IF($B$9="Non-electives",'Hospital new figures_9899_1112'!K64,IF($B$9="Elective and day cases",'Hospital new figures_9899_1112'!C64,'Hospital new figures_9899_1112'!S64))</f>
        <v>0.98108468763377021</v>
      </c>
      <c r="E56" s="809">
        <f>IF($B$9="Non-electives",'Hospital new figures_9899_1112'!E64,IF($B$9="Elective and day cases",'Hospital new figures_9899_1112'!E64,'Hospital new figures_9899_1112'!U64))</f>
        <v>28.508701366622546</v>
      </c>
      <c r="F56" s="809">
        <f>IF($B$9="Non-electives",'Hospital new figures_9899_1112'!M64,IF($B$9="Elective and day cases",'Hospital new figures_9899_1112'!E64,'Hospital new figures_9899_1112'!U64))</f>
        <v>28.508701366622546</v>
      </c>
      <c r="G56" s="809">
        <f>IF($B$9="Non-electives",'Hospital new figures_9899_1112'!O64,IF($B$9="Elective and day cases",'Hospital new figures_9899_1112'!G64,'Hospital new figures_9899_1112'!G64))</f>
        <v>55.7</v>
      </c>
      <c r="H56" s="1325" t="s">
        <v>612</v>
      </c>
      <c r="I56" s="809">
        <v>3.835284309093967E-2</v>
      </c>
      <c r="J56" s="567">
        <v>4.9299185410158319E-2</v>
      </c>
      <c r="K56" s="809">
        <f t="shared" si="33"/>
        <v>1.4885831527968438</v>
      </c>
      <c r="L56" s="809">
        <f t="shared" si="34"/>
        <v>1.6276584735323554</v>
      </c>
      <c r="M56" s="809">
        <f t="shared" si="35"/>
        <v>1.4885831527968438</v>
      </c>
      <c r="N56" s="809">
        <f t="shared" si="36"/>
        <v>1.6276584735323554</v>
      </c>
      <c r="O56" s="567"/>
      <c r="P56" s="567"/>
      <c r="Q56" s="567"/>
      <c r="R56" s="567"/>
      <c r="S56" s="396"/>
      <c r="T56" s="378"/>
      <c r="U56" s="1663"/>
      <c r="V56" s="378"/>
      <c r="W56" s="1439"/>
    </row>
    <row r="57" spans="1:23" x14ac:dyDescent="0.25">
      <c r="A57" s="809" t="s">
        <v>790</v>
      </c>
      <c r="B57" s="1325" t="s">
        <v>489</v>
      </c>
      <c r="C57" s="809">
        <f>IF($B$9="Non-electives",'Hospital new figures_9899_1112'!J65,IF($B$9="Elective and day cases",'Hospital new figures_9899_1112'!B65,'Hospital new figures_9899_1112'!R65))</f>
        <v>16.001358</v>
      </c>
      <c r="D57" s="809">
        <f>IF($B$9="Non-electives",'Hospital new figures_9899_1112'!K65,IF($B$9="Elective and day cases",'Hospital new figures_9899_1112'!C65,'Hospital new figures_9899_1112'!S65))</f>
        <v>0.98166483207237798</v>
      </c>
      <c r="E57" s="809">
        <f>IF($B$9="Non-electives",'Hospital new figures_9899_1112'!E65,IF($B$9="Elective and day cases",'Hospital new figures_9899_1112'!E65,'Hospital new figures_9899_1112'!U65))</f>
        <v>28.325708043029849</v>
      </c>
      <c r="F57" s="809">
        <f>IF($B$9="Non-electives",'Hospital new figures_9899_1112'!M65,IF($B$9="Elective and day cases",'Hospital new figures_9899_1112'!E65,'Hospital new figures_9899_1112'!U65))</f>
        <v>28.325708043029849</v>
      </c>
      <c r="G57" s="809">
        <f>IF($B$9="Non-electives",'Hospital new figures_9899_1112'!O65,IF($B$9="Elective and day cases",'Hospital new figures_9899_1112'!G65,'Hospital new figures_9899_1112'!G65))</f>
        <v>56</v>
      </c>
      <c r="H57" s="1325" t="s">
        <v>726</v>
      </c>
      <c r="I57" s="809">
        <v>2.4447449647438058E-2</v>
      </c>
      <c r="J57" s="567">
        <v>3.0666420255953675E-2</v>
      </c>
      <c r="K57" s="809">
        <f t="shared" si="33"/>
        <v>1.5249752144708693</v>
      </c>
      <c r="L57" s="809">
        <f t="shared" si="34"/>
        <v>1.6775729323148627</v>
      </c>
      <c r="M57" s="809">
        <f t="shared" si="35"/>
        <v>1.5249752144708693</v>
      </c>
      <c r="N57" s="809">
        <f t="shared" si="36"/>
        <v>1.6775729323148627</v>
      </c>
      <c r="O57" s="567"/>
      <c r="P57" s="567"/>
      <c r="Q57" s="567"/>
      <c r="R57" s="567"/>
      <c r="S57" s="396"/>
      <c r="T57" s="378"/>
      <c r="U57" s="1663"/>
      <c r="V57" s="378"/>
      <c r="W57" s="1439"/>
    </row>
    <row r="58" spans="1:23" ht="23.25" customHeight="1" x14ac:dyDescent="0.25">
      <c r="A58" s="809"/>
      <c r="B58" s="1325"/>
      <c r="C58" s="567"/>
      <c r="D58" s="567"/>
      <c r="E58" s="1326"/>
      <c r="F58" s="1326"/>
      <c r="G58" s="809"/>
      <c r="H58" s="567"/>
      <c r="I58" s="567"/>
      <c r="J58" s="567"/>
      <c r="K58" s="567"/>
      <c r="L58" s="567"/>
      <c r="M58" s="567"/>
      <c r="N58" s="567"/>
      <c r="O58" s="567"/>
      <c r="P58" s="396"/>
      <c r="Q58" s="396"/>
      <c r="R58" s="396"/>
      <c r="S58" s="396"/>
      <c r="T58" s="378"/>
      <c r="U58" s="1663"/>
      <c r="V58" s="231"/>
      <c r="W58" s="231"/>
    </row>
    <row r="59" spans="1:23" x14ac:dyDescent="0.25">
      <c r="A59" s="809"/>
      <c r="B59" s="1325"/>
      <c r="C59" s="567"/>
      <c r="D59" s="567"/>
      <c r="E59" s="1326"/>
      <c r="F59" s="1326"/>
      <c r="G59" s="1326"/>
      <c r="H59" s="567"/>
      <c r="I59" s="567"/>
      <c r="J59" s="567"/>
      <c r="K59" s="567"/>
      <c r="L59" s="567"/>
      <c r="M59" s="567"/>
      <c r="N59" s="396"/>
      <c r="O59" s="396"/>
      <c r="P59" s="396"/>
      <c r="Q59" s="396"/>
      <c r="R59" s="396"/>
      <c r="S59" s="396"/>
      <c r="T59" s="378"/>
      <c r="U59" s="1663"/>
      <c r="V59" s="231"/>
      <c r="W59" s="231"/>
    </row>
    <row r="60" spans="1:23" x14ac:dyDescent="0.25">
      <c r="A60" s="809"/>
      <c r="B60" s="1325"/>
      <c r="C60" s="567"/>
      <c r="D60" s="567"/>
      <c r="E60" s="1326">
        <v>34.1</v>
      </c>
      <c r="F60" s="567">
        <v>34.299999999999997</v>
      </c>
      <c r="G60" s="1326">
        <v>34.6</v>
      </c>
      <c r="H60" s="567">
        <v>34.700000000000003</v>
      </c>
      <c r="I60" s="567">
        <v>34.4</v>
      </c>
      <c r="J60" s="567">
        <v>34.6</v>
      </c>
      <c r="K60" s="567">
        <v>34.799999999999997</v>
      </c>
      <c r="L60" s="567"/>
      <c r="M60" s="567"/>
      <c r="N60" s="396"/>
      <c r="O60" s="396"/>
      <c r="P60" s="396"/>
      <c r="Q60" s="396"/>
      <c r="R60" s="396"/>
      <c r="S60" s="396"/>
      <c r="T60" s="378"/>
      <c r="U60" s="1663"/>
      <c r="V60" s="231"/>
      <c r="W60" s="231"/>
    </row>
    <row r="61" spans="1:23" x14ac:dyDescent="0.25">
      <c r="A61" s="809"/>
      <c r="B61" s="1325"/>
      <c r="C61" s="396"/>
      <c r="D61" s="396"/>
      <c r="E61" s="1326"/>
      <c r="F61" s="567"/>
      <c r="G61" s="567"/>
      <c r="H61" s="567"/>
      <c r="I61" s="567"/>
      <c r="J61" s="567"/>
      <c r="K61" s="567"/>
      <c r="L61" s="567"/>
      <c r="M61" s="567"/>
      <c r="N61" s="396"/>
      <c r="O61" s="396"/>
      <c r="P61" s="396"/>
      <c r="Q61" s="396"/>
      <c r="R61" s="396"/>
      <c r="S61" s="396"/>
      <c r="T61" s="378"/>
      <c r="U61" s="1663"/>
      <c r="V61" s="231"/>
      <c r="W61" s="231"/>
    </row>
    <row r="62" spans="1:23" x14ac:dyDescent="0.25">
      <c r="A62" s="809"/>
      <c r="B62" s="1325"/>
      <c r="C62" s="396"/>
      <c r="D62" s="396"/>
      <c r="E62" s="1326"/>
      <c r="F62" s="567"/>
      <c r="G62" s="567"/>
      <c r="H62" s="567"/>
      <c r="I62" s="567"/>
      <c r="J62" s="567"/>
      <c r="K62" s="567"/>
      <c r="L62" s="567"/>
      <c r="M62" s="567"/>
      <c r="N62" s="396"/>
      <c r="O62" s="396"/>
      <c r="P62" s="396"/>
      <c r="Q62" s="396"/>
      <c r="R62" s="396"/>
      <c r="S62" s="396"/>
      <c r="T62" s="378"/>
      <c r="U62" s="1663"/>
      <c r="V62" s="231"/>
      <c r="W62" s="231"/>
    </row>
    <row r="63" spans="1:23" x14ac:dyDescent="0.25">
      <c r="A63" s="809"/>
      <c r="B63" s="567"/>
      <c r="C63" s="567"/>
      <c r="D63" s="567"/>
      <c r="E63" s="1326"/>
      <c r="F63" s="567"/>
      <c r="G63" s="567"/>
      <c r="H63" s="567"/>
      <c r="I63" s="567"/>
      <c r="J63" s="567"/>
      <c r="K63" s="567"/>
      <c r="L63" s="567"/>
      <c r="M63" s="567"/>
      <c r="N63" s="396"/>
      <c r="O63" s="396"/>
      <c r="P63" s="396"/>
      <c r="Q63" s="396"/>
      <c r="R63" s="396"/>
      <c r="S63" s="396"/>
      <c r="T63" s="378"/>
      <c r="U63" s="1663"/>
      <c r="V63" s="231"/>
      <c r="W63" s="231"/>
    </row>
    <row r="64" spans="1:23" x14ac:dyDescent="0.25">
      <c r="A64" s="567"/>
      <c r="B64" s="567"/>
      <c r="C64" s="567"/>
      <c r="D64" s="567"/>
      <c r="E64" s="1326"/>
      <c r="F64" s="567"/>
      <c r="G64" s="567"/>
      <c r="H64" s="567"/>
      <c r="I64" s="567"/>
      <c r="J64" s="567"/>
      <c r="K64" s="567"/>
      <c r="L64" s="567"/>
      <c r="M64" s="567"/>
      <c r="N64" s="396"/>
      <c r="O64" s="396"/>
      <c r="P64" s="396"/>
      <c r="Q64" s="396"/>
      <c r="R64" s="396"/>
      <c r="S64" s="396"/>
      <c r="T64" s="378"/>
      <c r="U64" s="1663"/>
      <c r="V64" s="231"/>
      <c r="W64" s="231"/>
    </row>
    <row r="65" spans="1:23" x14ac:dyDescent="0.25">
      <c r="A65" s="567"/>
      <c r="B65" s="567"/>
      <c r="C65" s="567"/>
      <c r="D65" s="567"/>
      <c r="E65" s="1326"/>
      <c r="F65" s="567"/>
      <c r="G65" s="567"/>
      <c r="H65" s="567"/>
      <c r="I65" s="567"/>
      <c r="J65" s="567"/>
      <c r="K65" s="567"/>
      <c r="L65" s="567"/>
      <c r="M65" s="567"/>
      <c r="N65" s="396"/>
      <c r="O65" s="396"/>
      <c r="P65" s="396"/>
      <c r="Q65" s="396"/>
      <c r="R65" s="396"/>
      <c r="S65" s="396"/>
      <c r="T65" s="378"/>
      <c r="U65" s="1663"/>
      <c r="V65" s="231"/>
      <c r="W65" s="231"/>
    </row>
    <row r="66" spans="1:23" x14ac:dyDescent="0.25">
      <c r="A66" s="567"/>
      <c r="B66" s="1417">
        <v>1.873602696231691E-2</v>
      </c>
      <c r="C66" s="1417">
        <v>9.108797210934938E-3</v>
      </c>
      <c r="D66" s="1417">
        <v>9.4591026031158876E-3</v>
      </c>
      <c r="E66" s="1417">
        <v>4.4404300293176879E-2</v>
      </c>
      <c r="F66" s="1417">
        <v>5.8062098914157811E-2</v>
      </c>
      <c r="G66" s="567"/>
      <c r="H66" s="567"/>
      <c r="I66" s="567"/>
      <c r="J66" s="567"/>
      <c r="K66" s="567"/>
      <c r="L66" s="567"/>
      <c r="M66" s="567"/>
      <c r="N66" s="396"/>
      <c r="O66" s="396"/>
      <c r="P66" s="396"/>
      <c r="Q66" s="396"/>
      <c r="R66" s="396"/>
      <c r="S66" s="396"/>
      <c r="T66" s="1663"/>
      <c r="U66" s="1663"/>
      <c r="V66" s="231"/>
      <c r="W66" s="231"/>
    </row>
    <row r="67" spans="1:23" x14ac:dyDescent="0.25">
      <c r="A67" s="567"/>
      <c r="B67" s="1417">
        <v>1.0160244939989349E-2</v>
      </c>
      <c r="C67" s="1417">
        <v>1.2632336897897599E-2</v>
      </c>
      <c r="D67" s="1417">
        <v>6.5447193794447855E-3</v>
      </c>
      <c r="E67" s="1417">
        <v>6.4913168332380256E-2</v>
      </c>
      <c r="F67" s="1417">
        <v>7.26712654415127E-2</v>
      </c>
      <c r="G67" s="1417">
        <v>2.5616856205384897E-2</v>
      </c>
      <c r="H67" s="1417">
        <v>6.5299999999999997E-2</v>
      </c>
      <c r="I67" s="1417">
        <v>5.8799999999999998E-2</v>
      </c>
      <c r="J67" s="1417">
        <v>3.4099999999999998E-2</v>
      </c>
      <c r="K67" s="1404">
        <v>3.0685314279900178E-2</v>
      </c>
      <c r="L67" s="1404">
        <v>1.3912115299726135E-2</v>
      </c>
      <c r="M67" s="1397">
        <v>3.835284309093967E-2</v>
      </c>
      <c r="N67" s="1404">
        <v>2.4447449647438058E-2</v>
      </c>
      <c r="O67" s="396"/>
      <c r="P67" s="396"/>
      <c r="Q67" s="396"/>
      <c r="R67" s="396"/>
      <c r="S67" s="396"/>
      <c r="T67" s="1663"/>
      <c r="U67" s="1663"/>
      <c r="V67" s="231"/>
      <c r="W67" s="231"/>
    </row>
    <row r="68" spans="1:23" x14ac:dyDescent="0.25">
      <c r="A68" s="567"/>
      <c r="B68" s="567"/>
      <c r="C68" s="567"/>
      <c r="D68" s="567"/>
      <c r="E68" s="567"/>
      <c r="F68" s="567"/>
      <c r="G68" s="1417">
        <v>5.6628411567296144E-2</v>
      </c>
      <c r="H68" s="1417">
        <v>7.1099999999999997E-2</v>
      </c>
      <c r="I68" s="1417">
        <v>6.5000000000000002E-2</v>
      </c>
      <c r="J68" s="1413">
        <v>3.6600000000000001E-2</v>
      </c>
      <c r="K68" s="1404">
        <v>4.2393881491018082E-2</v>
      </c>
      <c r="L68" s="1404">
        <v>1.2658458727172972E-2</v>
      </c>
      <c r="M68" s="1404">
        <v>4.9299185410158319E-2</v>
      </c>
      <c r="N68" s="1404">
        <v>3.0666420255953675E-2</v>
      </c>
      <c r="O68" s="396"/>
      <c r="P68" s="396"/>
      <c r="Q68" s="396"/>
      <c r="R68" s="396"/>
      <c r="S68" s="396"/>
      <c r="T68" s="1663"/>
      <c r="U68" s="1663"/>
      <c r="V68" s="231"/>
      <c r="W68" s="231"/>
    </row>
    <row r="69" spans="1:23" ht="23.25" customHeight="1" x14ac:dyDescent="0.25">
      <c r="A69" s="567"/>
      <c r="B69" s="567"/>
      <c r="C69" s="567"/>
      <c r="D69" s="567"/>
      <c r="E69" s="567"/>
      <c r="F69" s="567"/>
      <c r="G69" s="567"/>
      <c r="H69" s="567"/>
      <c r="I69" s="567"/>
      <c r="J69" s="567"/>
      <c r="K69" s="567"/>
      <c r="L69" s="567"/>
      <c r="M69" s="567"/>
      <c r="N69" s="396"/>
      <c r="O69" s="396"/>
      <c r="P69" s="396"/>
      <c r="Q69" s="396"/>
      <c r="R69" s="396"/>
      <c r="S69" s="396"/>
      <c r="T69" s="1663"/>
      <c r="U69" s="1663"/>
      <c r="V69" s="231"/>
      <c r="W69" s="231"/>
    </row>
    <row r="70" spans="1:23" x14ac:dyDescent="0.25">
      <c r="A70" s="396"/>
      <c r="B70" s="567"/>
      <c r="C70" s="567"/>
      <c r="D70" s="567"/>
      <c r="E70" s="567"/>
      <c r="F70" s="567"/>
      <c r="G70" s="567"/>
      <c r="H70" s="567"/>
      <c r="I70" s="567"/>
      <c r="J70" s="567"/>
      <c r="K70" s="567"/>
      <c r="L70" s="567"/>
      <c r="M70" s="567"/>
      <c r="N70" s="396"/>
      <c r="O70" s="396"/>
      <c r="P70" s="396"/>
      <c r="Q70" s="396"/>
      <c r="R70" s="396"/>
      <c r="S70" s="396"/>
      <c r="T70" s="1663"/>
      <c r="U70" s="1663"/>
      <c r="V70" s="231"/>
      <c r="W70" s="231"/>
    </row>
    <row r="71" spans="1:23" x14ac:dyDescent="0.25">
      <c r="A71" s="396"/>
      <c r="B71" s="567"/>
      <c r="C71" s="567"/>
      <c r="D71" s="567"/>
      <c r="E71" s="567"/>
      <c r="F71" s="567"/>
      <c r="G71" s="567"/>
      <c r="H71" s="567"/>
      <c r="I71" s="396"/>
      <c r="J71" s="396"/>
      <c r="K71" s="396"/>
      <c r="L71" s="396"/>
      <c r="M71" s="396"/>
      <c r="N71" s="396"/>
      <c r="O71" s="396"/>
      <c r="P71" s="396"/>
      <c r="Q71" s="396"/>
      <c r="R71" s="396"/>
      <c r="S71" s="396"/>
      <c r="T71" s="1663"/>
      <c r="U71" s="1663"/>
      <c r="V71" s="231"/>
      <c r="W71" s="231"/>
    </row>
    <row r="72" spans="1:23" x14ac:dyDescent="0.25">
      <c r="A72" s="396"/>
      <c r="B72" s="567"/>
      <c r="C72" s="567"/>
      <c r="D72" s="567"/>
      <c r="E72" s="567"/>
      <c r="F72" s="567"/>
      <c r="G72" s="567"/>
      <c r="H72" s="567"/>
      <c r="I72" s="396"/>
      <c r="J72" s="396"/>
      <c r="K72" s="396"/>
      <c r="L72" s="396"/>
      <c r="M72" s="396"/>
      <c r="N72" s="396"/>
      <c r="O72" s="396"/>
      <c r="P72" s="396"/>
      <c r="Q72" s="396"/>
      <c r="R72" s="396"/>
      <c r="S72" s="396"/>
      <c r="T72" s="1663"/>
      <c r="U72" s="1663"/>
      <c r="V72" s="231"/>
      <c r="W72" s="231"/>
    </row>
    <row r="73" spans="1:23" x14ac:dyDescent="0.25">
      <c r="A73" s="396"/>
      <c r="B73" s="567"/>
      <c r="C73" s="567"/>
      <c r="D73" s="567"/>
      <c r="E73" s="567"/>
      <c r="F73" s="567"/>
      <c r="G73" s="567"/>
      <c r="H73" s="567"/>
      <c r="I73" s="396"/>
      <c r="J73" s="396"/>
      <c r="K73" s="396"/>
      <c r="L73" s="396"/>
      <c r="M73" s="396"/>
      <c r="N73" s="396"/>
      <c r="O73" s="396"/>
      <c r="P73" s="396"/>
      <c r="Q73" s="396"/>
      <c r="R73" s="396"/>
      <c r="S73" s="396"/>
      <c r="T73" s="1663"/>
      <c r="U73" s="1663"/>
      <c r="V73" s="231"/>
      <c r="W73" s="231"/>
    </row>
    <row r="74" spans="1:23" x14ac:dyDescent="0.25">
      <c r="A74" s="396"/>
      <c r="B74" s="567"/>
      <c r="C74" s="567"/>
      <c r="D74" s="567"/>
      <c r="E74" s="567"/>
      <c r="F74" s="567"/>
      <c r="G74" s="567"/>
      <c r="H74" s="567"/>
      <c r="I74" s="396"/>
      <c r="J74" s="396"/>
      <c r="K74" s="396"/>
      <c r="L74" s="396"/>
      <c r="M74" s="396"/>
      <c r="N74" s="396"/>
      <c r="O74" s="396"/>
      <c r="P74" s="396"/>
      <c r="Q74" s="396"/>
      <c r="R74" s="396"/>
      <c r="S74" s="396"/>
      <c r="T74" s="1663"/>
      <c r="U74" s="1663"/>
      <c r="V74" s="231"/>
      <c r="W74" s="231"/>
    </row>
    <row r="75" spans="1:23" x14ac:dyDescent="0.25">
      <c r="A75" s="396"/>
      <c r="B75" s="567"/>
      <c r="C75" s="567"/>
      <c r="D75" s="567"/>
      <c r="E75" s="567"/>
      <c r="F75" s="567"/>
      <c r="G75" s="567"/>
      <c r="H75" s="567"/>
      <c r="I75" s="396"/>
      <c r="J75" s="396"/>
      <c r="K75" s="396"/>
      <c r="L75" s="396"/>
      <c r="M75" s="396"/>
      <c r="N75" s="396"/>
      <c r="O75" s="396"/>
      <c r="P75" s="396"/>
      <c r="Q75" s="396"/>
      <c r="R75" s="396"/>
      <c r="S75" s="396"/>
      <c r="T75" s="1663"/>
      <c r="U75" s="1663"/>
      <c r="V75" s="231"/>
      <c r="W75" s="231"/>
    </row>
    <row r="76" spans="1:23" x14ac:dyDescent="0.25">
      <c r="A76" s="396"/>
      <c r="B76" s="567"/>
      <c r="C76" s="567"/>
      <c r="D76" s="567"/>
      <c r="E76" s="567"/>
      <c r="F76" s="567"/>
      <c r="G76" s="567"/>
      <c r="H76" s="567"/>
      <c r="I76" s="396"/>
      <c r="J76" s="396"/>
      <c r="K76" s="396"/>
      <c r="L76" s="396"/>
      <c r="M76" s="396"/>
      <c r="N76" s="396"/>
      <c r="O76" s="396"/>
      <c r="P76" s="396"/>
      <c r="Q76" s="396"/>
      <c r="R76" s="396"/>
      <c r="S76" s="396"/>
      <c r="T76" s="1663"/>
      <c r="U76" s="1663"/>
      <c r="V76" s="231"/>
      <c r="W76" s="231"/>
    </row>
    <row r="77" spans="1:23" x14ac:dyDescent="0.25">
      <c r="A77" s="396"/>
      <c r="B77" s="567"/>
      <c r="C77" s="567"/>
      <c r="D77" s="567"/>
      <c r="E77" s="567"/>
      <c r="F77" s="567"/>
      <c r="G77" s="567"/>
      <c r="H77" s="567"/>
      <c r="I77" s="396"/>
      <c r="J77" s="396"/>
      <c r="K77" s="396"/>
      <c r="L77" s="396"/>
      <c r="M77" s="396"/>
      <c r="N77" s="396"/>
      <c r="O77" s="396"/>
      <c r="P77" s="396"/>
      <c r="Q77" s="396"/>
      <c r="R77" s="396"/>
      <c r="S77" s="396"/>
      <c r="T77" s="1663"/>
      <c r="U77" s="1663"/>
      <c r="V77" s="231"/>
      <c r="W77" s="231"/>
    </row>
    <row r="78" spans="1:23" x14ac:dyDescent="0.25">
      <c r="A78" s="396"/>
      <c r="B78" s="567"/>
      <c r="C78" s="567"/>
      <c r="D78" s="567"/>
      <c r="E78" s="567"/>
      <c r="F78" s="567"/>
      <c r="G78" s="567"/>
      <c r="H78" s="567"/>
      <c r="I78" s="396"/>
      <c r="J78" s="396"/>
      <c r="K78" s="396"/>
      <c r="L78" s="396"/>
      <c r="M78" s="396"/>
      <c r="N78" s="396"/>
      <c r="O78" s="396"/>
      <c r="P78" s="396"/>
      <c r="Q78" s="396"/>
      <c r="R78" s="396"/>
      <c r="S78" s="396"/>
      <c r="T78" s="1663"/>
      <c r="U78" s="1663"/>
      <c r="V78" s="231"/>
      <c r="W78" s="231"/>
    </row>
    <row r="79" spans="1:23" ht="23.25" customHeight="1" x14ac:dyDescent="0.25">
      <c r="A79" s="396"/>
      <c r="B79" s="567"/>
      <c r="C79" s="567"/>
      <c r="D79" s="567"/>
      <c r="E79" s="567"/>
      <c r="F79" s="567"/>
      <c r="G79" s="567"/>
      <c r="H79" s="567"/>
      <c r="I79" s="396"/>
      <c r="J79" s="396"/>
      <c r="K79" s="396"/>
      <c r="L79" s="396"/>
      <c r="M79" s="396"/>
      <c r="N79" s="396"/>
      <c r="O79" s="396"/>
      <c r="P79" s="396"/>
      <c r="Q79" s="396"/>
      <c r="R79" s="396"/>
      <c r="S79" s="396"/>
      <c r="T79" s="1663"/>
      <c r="U79" s="1663"/>
      <c r="V79" s="231"/>
      <c r="W79" s="231"/>
    </row>
    <row r="80" spans="1:23" x14ac:dyDescent="0.25">
      <c r="A80" s="396"/>
      <c r="B80" s="567"/>
      <c r="C80" s="567"/>
      <c r="D80" s="567"/>
      <c r="E80" s="567"/>
      <c r="F80" s="567"/>
      <c r="G80" s="567"/>
      <c r="H80" s="567"/>
      <c r="I80" s="396"/>
      <c r="J80" s="396"/>
      <c r="K80" s="396"/>
      <c r="L80" s="396"/>
      <c r="M80" s="396"/>
      <c r="N80" s="396"/>
      <c r="O80" s="396"/>
      <c r="P80" s="396"/>
      <c r="Q80" s="396"/>
      <c r="R80" s="396"/>
      <c r="S80" s="396"/>
      <c r="T80" s="1663"/>
      <c r="U80" s="1663"/>
      <c r="V80" s="231"/>
      <c r="W80" s="231"/>
    </row>
    <row r="81" spans="1:23" x14ac:dyDescent="0.25">
      <c r="A81" s="396"/>
      <c r="B81" s="567"/>
      <c r="C81" s="567"/>
      <c r="D81" s="567"/>
      <c r="E81" s="567"/>
      <c r="F81" s="567"/>
      <c r="G81" s="567"/>
      <c r="H81" s="567"/>
      <c r="I81" s="396"/>
      <c r="J81" s="396"/>
      <c r="K81" s="396"/>
      <c r="L81" s="396"/>
      <c r="M81" s="396"/>
      <c r="N81" s="396"/>
      <c r="O81" s="396"/>
      <c r="P81" s="396"/>
      <c r="Q81" s="396"/>
      <c r="R81" s="396"/>
      <c r="S81" s="396"/>
      <c r="T81" s="1663"/>
      <c r="U81" s="1663"/>
      <c r="V81" s="231"/>
      <c r="W81" s="231"/>
    </row>
    <row r="82" spans="1:23" x14ac:dyDescent="0.25">
      <c r="A82" s="396"/>
      <c r="B82" s="396"/>
      <c r="C82" s="567"/>
      <c r="D82" s="567"/>
      <c r="E82" s="567"/>
      <c r="F82" s="567"/>
      <c r="G82" s="567"/>
      <c r="H82" s="567"/>
      <c r="I82" s="396"/>
      <c r="J82" s="396"/>
      <c r="K82" s="396"/>
      <c r="L82" s="396"/>
      <c r="M82" s="396"/>
      <c r="N82" s="396"/>
      <c r="O82" s="396"/>
      <c r="P82" s="396"/>
      <c r="Q82" s="396"/>
      <c r="R82" s="396"/>
      <c r="S82" s="396"/>
      <c r="T82" s="1663"/>
      <c r="U82" s="1663"/>
      <c r="V82" s="231"/>
      <c r="W82" s="231"/>
    </row>
    <row r="83" spans="1:23" x14ac:dyDescent="0.25">
      <c r="A83" s="396"/>
      <c r="B83" s="396"/>
      <c r="C83" s="567"/>
      <c r="D83" s="567"/>
      <c r="E83" s="567"/>
      <c r="F83" s="567"/>
      <c r="G83" s="567"/>
      <c r="H83" s="567"/>
      <c r="I83" s="396"/>
      <c r="J83" s="396"/>
      <c r="K83" s="396"/>
      <c r="L83" s="396"/>
      <c r="M83" s="396"/>
      <c r="N83" s="396"/>
      <c r="O83" s="396"/>
      <c r="P83" s="396"/>
      <c r="Q83" s="396"/>
      <c r="R83" s="396"/>
      <c r="S83" s="396"/>
      <c r="T83" s="1663"/>
      <c r="U83" s="1663"/>
      <c r="V83" s="231"/>
      <c r="W83" s="231"/>
    </row>
    <row r="84" spans="1:23" x14ac:dyDescent="0.25">
      <c r="A84" s="396"/>
      <c r="B84" s="396"/>
      <c r="C84" s="567"/>
      <c r="D84" s="567"/>
      <c r="E84" s="567"/>
      <c r="F84" s="567"/>
      <c r="G84" s="567"/>
      <c r="H84" s="567"/>
      <c r="I84" s="396"/>
      <c r="J84" s="396"/>
      <c r="K84" s="396"/>
      <c r="L84" s="396"/>
      <c r="M84" s="396"/>
      <c r="N84" s="396"/>
      <c r="O84" s="396"/>
      <c r="P84" s="396"/>
      <c r="Q84" s="396"/>
      <c r="R84" s="396"/>
      <c r="S84" s="396"/>
      <c r="T84" s="1663"/>
      <c r="U84" s="1663"/>
      <c r="V84" s="231"/>
      <c r="W84" s="231"/>
    </row>
    <row r="85" spans="1:23" x14ac:dyDescent="0.25">
      <c r="A85" s="396"/>
      <c r="B85" s="396"/>
      <c r="C85" s="396"/>
      <c r="D85" s="396"/>
      <c r="E85" s="567"/>
      <c r="F85" s="567"/>
      <c r="G85" s="567"/>
      <c r="H85" s="567"/>
      <c r="I85" s="396"/>
      <c r="J85" s="396"/>
      <c r="K85" s="396"/>
      <c r="L85" s="396"/>
      <c r="M85" s="396"/>
      <c r="N85" s="396"/>
      <c r="O85" s="396"/>
      <c r="P85" s="396"/>
      <c r="Q85" s="396"/>
      <c r="R85" s="396"/>
      <c r="S85" s="396"/>
      <c r="T85" s="1663"/>
      <c r="U85" s="1663"/>
      <c r="V85" s="231"/>
      <c r="W85" s="231"/>
    </row>
    <row r="86" spans="1:23" x14ac:dyDescent="0.25">
      <c r="A86" s="396"/>
      <c r="B86" s="396"/>
      <c r="C86" s="396"/>
      <c r="D86" s="396"/>
      <c r="E86" s="396"/>
      <c r="F86" s="396"/>
      <c r="G86" s="567"/>
      <c r="H86" s="567"/>
      <c r="I86" s="396"/>
      <c r="J86" s="396"/>
      <c r="K86" s="396"/>
      <c r="L86" s="396"/>
      <c r="M86" s="396"/>
      <c r="N86" s="396"/>
      <c r="O86" s="396"/>
      <c r="P86" s="396"/>
      <c r="Q86" s="396"/>
      <c r="R86" s="396"/>
      <c r="S86" s="396"/>
      <c r="T86" s="1663"/>
      <c r="U86" s="1663"/>
      <c r="V86" s="231"/>
      <c r="W86" s="231"/>
    </row>
    <row r="87" spans="1:23" x14ac:dyDescent="0.25">
      <c r="A87" s="396"/>
      <c r="B87" s="396"/>
      <c r="C87" s="396"/>
      <c r="D87" s="396"/>
      <c r="E87" s="396"/>
      <c r="F87" s="396"/>
      <c r="G87" s="396"/>
      <c r="H87" s="396"/>
      <c r="I87" s="396"/>
      <c r="J87" s="396"/>
      <c r="K87" s="396"/>
      <c r="L87" s="396"/>
      <c r="M87" s="396"/>
      <c r="N87" s="396"/>
      <c r="O87" s="396"/>
      <c r="P87" s="396"/>
      <c r="Q87" s="396"/>
      <c r="R87" s="396"/>
      <c r="S87" s="396"/>
      <c r="T87" s="1663"/>
      <c r="U87" s="1663"/>
      <c r="V87" s="231"/>
      <c r="W87" s="231"/>
    </row>
    <row r="88" spans="1:23" x14ac:dyDescent="0.25">
      <c r="A88" s="396"/>
      <c r="B88" s="396"/>
      <c r="C88" s="396"/>
      <c r="D88" s="396"/>
      <c r="E88" s="396"/>
      <c r="F88" s="396"/>
      <c r="G88" s="396"/>
      <c r="H88" s="396"/>
      <c r="I88" s="396"/>
      <c r="J88" s="396"/>
      <c r="K88" s="396"/>
      <c r="L88" s="396"/>
      <c r="M88" s="396"/>
      <c r="N88" s="396"/>
      <c r="O88" s="396"/>
      <c r="P88" s="396"/>
      <c r="Q88" s="396"/>
      <c r="R88" s="396"/>
      <c r="S88" s="396"/>
      <c r="T88" s="1663"/>
      <c r="U88" s="1663"/>
      <c r="V88" s="231"/>
      <c r="W88" s="231"/>
    </row>
    <row r="89" spans="1:23" ht="23.25" customHeight="1" x14ac:dyDescent="0.25">
      <c r="A89" s="396"/>
      <c r="B89" s="396"/>
      <c r="C89" s="396"/>
      <c r="D89" s="396"/>
      <c r="E89" s="396"/>
      <c r="F89" s="396"/>
      <c r="G89" s="396"/>
      <c r="H89" s="396"/>
      <c r="I89" s="396"/>
      <c r="J89" s="396"/>
      <c r="K89" s="396"/>
      <c r="L89" s="396"/>
      <c r="M89" s="396"/>
      <c r="N89" s="396"/>
      <c r="O89" s="396"/>
      <c r="P89" s="396"/>
      <c r="Q89" s="396"/>
      <c r="R89" s="396"/>
      <c r="S89" s="396"/>
      <c r="T89" s="1663"/>
      <c r="U89" s="1663"/>
      <c r="V89" s="231"/>
      <c r="W89" s="231"/>
    </row>
    <row r="90" spans="1:23" x14ac:dyDescent="0.25">
      <c r="A90" s="396"/>
      <c r="B90" s="396"/>
      <c r="C90" s="396"/>
      <c r="D90" s="396"/>
      <c r="E90" s="396"/>
      <c r="F90" s="396"/>
      <c r="G90" s="396"/>
      <c r="H90" s="396"/>
      <c r="I90" s="396"/>
      <c r="J90" s="396"/>
      <c r="K90" s="396"/>
      <c r="L90" s="396"/>
      <c r="M90" s="396"/>
      <c r="N90" s="396"/>
      <c r="O90" s="396"/>
      <c r="P90" s="396"/>
      <c r="Q90" s="396"/>
      <c r="R90" s="396"/>
      <c r="S90" s="396"/>
      <c r="T90" s="1663"/>
      <c r="U90" s="1663"/>
      <c r="V90" s="231"/>
      <c r="W90" s="231"/>
    </row>
    <row r="91" spans="1:23" x14ac:dyDescent="0.25">
      <c r="A91" s="396"/>
      <c r="B91" s="396"/>
      <c r="C91" s="396"/>
      <c r="D91" s="396"/>
      <c r="E91" s="396"/>
      <c r="F91" s="396"/>
      <c r="G91" s="396"/>
      <c r="H91" s="396"/>
      <c r="I91" s="396"/>
      <c r="J91" s="396"/>
      <c r="K91" s="396"/>
      <c r="L91" s="396"/>
      <c r="M91" s="396"/>
      <c r="N91" s="396"/>
      <c r="O91" s="396"/>
      <c r="P91" s="396"/>
      <c r="Q91" s="396"/>
      <c r="R91" s="396"/>
      <c r="S91" s="396"/>
      <c r="T91" s="1663"/>
      <c r="U91" s="1663"/>
      <c r="V91" s="231"/>
      <c r="W91" s="231"/>
    </row>
    <row r="92" spans="1:23" x14ac:dyDescent="0.25">
      <c r="A92" s="396"/>
      <c r="B92" s="396"/>
      <c r="C92" s="396"/>
      <c r="D92" s="396"/>
      <c r="E92" s="396"/>
      <c r="F92" s="396"/>
      <c r="G92" s="396"/>
      <c r="H92" s="396"/>
      <c r="I92" s="396"/>
      <c r="J92" s="396"/>
      <c r="K92" s="396"/>
      <c r="L92" s="396"/>
      <c r="M92" s="396"/>
      <c r="N92" s="396"/>
      <c r="O92" s="396"/>
      <c r="P92" s="396"/>
      <c r="Q92" s="396"/>
      <c r="R92" s="396"/>
      <c r="S92" s="396"/>
      <c r="T92" s="1663"/>
      <c r="U92" s="1663"/>
      <c r="V92" s="231"/>
      <c r="W92" s="231"/>
    </row>
    <row r="93" spans="1:23" x14ac:dyDescent="0.25">
      <c r="A93" s="396"/>
      <c r="B93" s="396"/>
      <c r="C93" s="396"/>
      <c r="D93" s="396"/>
      <c r="E93" s="396"/>
      <c r="F93" s="396"/>
      <c r="G93" s="396"/>
      <c r="H93" s="396"/>
      <c r="I93" s="396"/>
      <c r="J93" s="396"/>
      <c r="K93" s="396"/>
      <c r="L93" s="396"/>
      <c r="M93" s="396"/>
      <c r="N93" s="396"/>
      <c r="O93" s="396"/>
      <c r="P93" s="396"/>
      <c r="Q93" s="396"/>
      <c r="R93" s="396"/>
      <c r="S93" s="396"/>
      <c r="T93" s="1663"/>
      <c r="U93" s="1663"/>
      <c r="V93" s="231"/>
      <c r="W93" s="231"/>
    </row>
    <row r="94" spans="1:23" x14ac:dyDescent="0.25">
      <c r="A94" s="1663"/>
      <c r="B94" s="1663"/>
      <c r="C94" s="1663"/>
      <c r="D94" s="1663"/>
      <c r="E94" s="1663"/>
      <c r="F94" s="1663"/>
      <c r="G94" s="1663"/>
      <c r="H94" s="1663"/>
      <c r="I94" s="1663"/>
      <c r="J94" s="1663"/>
      <c r="K94" s="1663"/>
      <c r="L94" s="1663"/>
      <c r="M94" s="1663"/>
      <c r="N94" s="1663"/>
      <c r="O94" s="1663"/>
      <c r="P94" s="1663"/>
      <c r="Q94" s="1663"/>
      <c r="R94" s="1663"/>
      <c r="S94" s="1663"/>
      <c r="T94" s="1663"/>
      <c r="U94" s="1663"/>
      <c r="V94" s="231"/>
      <c r="W94" s="231"/>
    </row>
    <row r="95" spans="1:23" x14ac:dyDescent="0.25">
      <c r="A95" s="1663"/>
      <c r="B95" s="1663"/>
      <c r="C95" s="1663"/>
      <c r="D95" s="1663"/>
      <c r="E95" s="1663"/>
      <c r="F95" s="1663"/>
      <c r="G95" s="1663"/>
      <c r="H95" s="1663"/>
      <c r="I95" s="1663"/>
      <c r="J95" s="1663"/>
      <c r="K95" s="1663"/>
      <c r="L95" s="1663"/>
      <c r="M95" s="1663"/>
      <c r="N95" s="1663"/>
      <c r="O95" s="1663"/>
      <c r="P95" s="1663"/>
      <c r="Q95" s="1663"/>
      <c r="R95" s="1663"/>
      <c r="S95" s="1663"/>
      <c r="T95" s="1663"/>
      <c r="U95" s="1663"/>
      <c r="V95" s="231"/>
      <c r="W95" s="231"/>
    </row>
    <row r="96" spans="1:23" x14ac:dyDescent="0.25">
      <c r="A96" s="1663"/>
      <c r="B96" s="1663"/>
      <c r="C96" s="1663"/>
      <c r="D96" s="1663"/>
      <c r="E96" s="1663"/>
      <c r="F96" s="1663"/>
      <c r="G96" s="1663"/>
      <c r="H96" s="1663"/>
      <c r="I96" s="1663"/>
      <c r="J96" s="1663"/>
      <c r="K96" s="1663"/>
      <c r="L96" s="1663"/>
      <c r="M96" s="1663"/>
      <c r="N96" s="1663"/>
      <c r="O96" s="1663"/>
      <c r="P96" s="1663"/>
      <c r="Q96" s="1663"/>
      <c r="R96" s="1663"/>
      <c r="S96" s="1663"/>
      <c r="T96" s="1663"/>
      <c r="U96" s="1663"/>
      <c r="V96" s="231"/>
      <c r="W96" s="231"/>
    </row>
    <row r="97" spans="1:23" x14ac:dyDescent="0.25">
      <c r="A97" s="396"/>
      <c r="B97" s="396"/>
      <c r="C97" s="396"/>
      <c r="D97" s="396"/>
      <c r="E97" s="396"/>
      <c r="F97" s="396"/>
      <c r="G97" s="396"/>
      <c r="H97" s="396"/>
      <c r="I97" s="396"/>
      <c r="J97" s="396"/>
      <c r="K97" s="396"/>
      <c r="L97" s="396"/>
      <c r="M97" s="396"/>
      <c r="N97" s="396"/>
      <c r="O97" s="396"/>
      <c r="P97" s="396"/>
      <c r="Q97" s="396"/>
      <c r="R97" s="396"/>
      <c r="S97" s="396"/>
      <c r="T97" s="396"/>
      <c r="U97" s="396"/>
      <c r="V97" s="231"/>
      <c r="W97" s="231"/>
    </row>
    <row r="98" spans="1:23" x14ac:dyDescent="0.25">
      <c r="A98" s="396"/>
      <c r="B98" s="396"/>
      <c r="C98" s="396"/>
      <c r="D98" s="396"/>
      <c r="E98" s="396"/>
      <c r="F98" s="396"/>
      <c r="G98" s="396"/>
      <c r="H98" s="396"/>
      <c r="I98" s="396"/>
      <c r="J98" s="396"/>
      <c r="K98" s="396"/>
      <c r="L98" s="396"/>
      <c r="M98" s="396"/>
      <c r="N98" s="396"/>
      <c r="O98" s="396"/>
      <c r="P98" s="396"/>
      <c r="Q98" s="396"/>
      <c r="R98" s="396"/>
      <c r="S98" s="396"/>
      <c r="T98" s="396"/>
      <c r="U98" s="396"/>
      <c r="V98" s="231"/>
      <c r="W98" s="231"/>
    </row>
    <row r="99" spans="1:23" ht="23.25" customHeight="1" x14ac:dyDescent="0.25">
      <c r="A99" s="396"/>
      <c r="B99" s="396"/>
      <c r="C99" s="396"/>
      <c r="D99" s="396"/>
      <c r="E99" s="396"/>
      <c r="F99" s="396"/>
      <c r="G99" s="396"/>
      <c r="H99" s="396"/>
      <c r="I99" s="396"/>
      <c r="J99" s="396"/>
      <c r="K99" s="396"/>
      <c r="L99" s="396"/>
      <c r="M99" s="396"/>
      <c r="N99" s="396"/>
      <c r="O99" s="396"/>
      <c r="P99" s="396"/>
      <c r="Q99" s="396"/>
      <c r="R99" s="396"/>
      <c r="S99" s="396"/>
      <c r="T99" s="396"/>
      <c r="U99" s="396"/>
      <c r="V99" s="231"/>
      <c r="W99" s="231"/>
    </row>
    <row r="100" spans="1:23" x14ac:dyDescent="0.25">
      <c r="A100" s="378"/>
      <c r="B100" s="378"/>
      <c r="C100" s="378"/>
      <c r="D100" s="378"/>
      <c r="E100" s="378"/>
      <c r="F100" s="378"/>
      <c r="G100" s="378"/>
      <c r="H100" s="378"/>
      <c r="I100" s="378"/>
      <c r="J100" s="378"/>
      <c r="K100" s="378"/>
      <c r="L100" s="378"/>
      <c r="M100" s="378"/>
      <c r="N100" s="378"/>
      <c r="O100" s="378"/>
      <c r="P100" s="378"/>
      <c r="Q100" s="378"/>
      <c r="R100" s="378"/>
      <c r="S100" s="378"/>
      <c r="T100" s="378"/>
      <c r="U100" s="378"/>
      <c r="V100" s="231"/>
      <c r="W100" s="231"/>
    </row>
    <row r="101" spans="1:23" x14ac:dyDescent="0.25">
      <c r="A101" s="396"/>
      <c r="B101" s="396"/>
      <c r="C101" s="396"/>
      <c r="D101" s="396"/>
      <c r="E101" s="396"/>
      <c r="F101" s="396"/>
      <c r="G101" s="396"/>
      <c r="H101" s="396"/>
      <c r="I101" s="396"/>
      <c r="J101" s="396"/>
      <c r="K101" s="396"/>
      <c r="L101" s="396"/>
      <c r="M101" s="396"/>
      <c r="N101" s="396"/>
      <c r="O101" s="396"/>
      <c r="P101" s="396"/>
      <c r="Q101" s="396"/>
      <c r="R101" s="396"/>
      <c r="S101" s="396"/>
      <c r="T101" s="396"/>
      <c r="U101" s="396"/>
      <c r="V101" s="231"/>
      <c r="W101" s="231"/>
    </row>
  </sheetData>
  <sheetProtection formatCells="0"/>
  <protectedRanges>
    <protectedRange sqref="B9" name="Range1"/>
  </protectedRanges>
  <mergeCells count="1">
    <mergeCell ref="A1:B1"/>
  </mergeCells>
  <conditionalFormatting sqref="E21:E22 E13:E19">
    <cfRule type="iconSet" priority="1">
      <iconSet iconSet="3Arrows" showValue="0">
        <cfvo type="percent" val="0"/>
        <cfvo type="num" val="0"/>
        <cfvo type="num" val="0" gte="0"/>
      </iconSet>
    </cfRule>
  </conditionalFormatting>
  <dataValidations count="3">
    <dataValidation type="list" allowBlank="1" showInputMessage="1" showErrorMessage="1" sqref="B9">
      <formula1>setting</formula1>
    </dataValidation>
    <dataValidation allowBlank="1" showErrorMessage="1" prompt="For years 1998/99-2003/04 mean age includes elective and non-elective patients._x000a_" sqref="B15"/>
    <dataValidation allowBlank="1" showInputMessage="1" showErrorMessage="1" prompt="For years 1998/99-2003/04 mean age includes elective and non-elective patients._x000a_" sqref="B16"/>
  </dataValidations>
  <pageMargins left="0.7" right="0.7" top="0.75" bottom="0.75" header="0.3" footer="0.3"/>
  <pageSetup paperSize="9" orientation="portrait" r:id="rId1"/>
  <ignoredErrors>
    <ignoredError sqref="C27:C31 C32:C40"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47457" r:id="rId4" name="Check Box 1">
              <controlPr defaultSize="0" autoFill="0" autoLine="0" autoPict="0">
                <anchor moveWithCells="1">
                  <from>
                    <xdr:col>0</xdr:col>
                    <xdr:colOff>590550</xdr:colOff>
                    <xdr:row>24</xdr:row>
                    <xdr:rowOff>0</xdr:rowOff>
                  </from>
                  <to>
                    <xdr:col>1</xdr:col>
                    <xdr:colOff>1352550</xdr:colOff>
                    <xdr:row>24</xdr:row>
                    <xdr:rowOff>304800</xdr:rowOff>
                  </to>
                </anchor>
              </controlPr>
            </control>
          </mc:Choice>
        </mc:AlternateContent>
      </controls>
    </mc:Choice>
  </mc:AlternateContent>
  <extLst>
    <ext xmlns:x14="http://schemas.microsoft.com/office/spreadsheetml/2009/9/main" uri="{05C60535-1F16-4fd2-B633-F4F36F0B64E0}">
      <x14:sparklineGroups xmlns:xm="http://schemas.microsoft.com/office/excel/2006/main">
        <x14:sparklineGroup displayEmptyCellsAs="gap" markers="1" high="1">
          <x14:colorSeries theme="8"/>
          <x14:colorNegative theme="9"/>
          <x14:colorAxis rgb="FF000000"/>
          <x14:colorMarkers theme="8" tint="-0.249977111117893"/>
          <x14:colorFirst theme="8" tint="-0.249977111117893"/>
          <x14:colorLast theme="8" tint="-0.249977111117893"/>
          <x14:colorHigh rgb="FFFF0000"/>
          <x14:colorLow theme="8" tint="-0.249977111117893"/>
          <x14:sparklines>
            <x14:sparkline>
              <xm:f>Admited_care!I45:I57</xm:f>
              <xm:sqref>I21</xm:sqref>
            </x14:sparkline>
          </x14:sparklines>
        </x14:sparklineGroup>
        <x14:sparklineGroup displayEmptyCellsAs="gap" markers="1" high="1">
          <x14:colorSeries theme="8"/>
          <x14:colorNegative theme="9"/>
          <x14:colorAxis rgb="FF000000"/>
          <x14:colorMarkers theme="8" tint="-0.249977111117893"/>
          <x14:colorFirst theme="8" tint="-0.249977111117893"/>
          <x14:colorLast theme="8" tint="-0.249977111117893"/>
          <x14:colorHigh rgb="FFFF0000"/>
          <x14:colorLow theme="8" tint="-0.249977111117893"/>
          <x14:sparklines>
            <x14:sparkline>
              <xm:f>Admited_care!J45:J57</xm:f>
              <xm:sqref>I22</xm:sqref>
            </x14:sparkline>
          </x14:sparklines>
        </x14:sparklineGroup>
        <x14:sparklineGroup displayEmptyCellsAs="gap" markers="1" high="1">
          <x14:colorSeries theme="8"/>
          <x14:colorNegative theme="9"/>
          <x14:colorAxis rgb="FF000000"/>
          <x14:colorMarkers theme="8" tint="-0.249977111117893"/>
          <x14:colorFirst theme="8" tint="-0.249977111117893"/>
          <x14:colorLast theme="8" tint="-0.249977111117893"/>
          <x14:colorHigh rgb="FFFF0000"/>
          <x14:colorLow theme="8" tint="-0.249977111117893"/>
          <x14:sparklines>
            <x14:sparkline>
              <xm:f>Admited_care!C44:C57</xm:f>
              <xm:sqref>I13</xm:sqref>
            </x14:sparkline>
          </x14:sparklines>
        </x14:sparklineGroup>
        <x14:sparklineGroup displayEmptyCellsAs="gap" markers="1" high="1">
          <x14:colorSeries theme="8"/>
          <x14:colorNegative theme="9"/>
          <x14:colorAxis rgb="FF000000"/>
          <x14:colorMarkers theme="8" tint="-0.249977111117893"/>
          <x14:colorFirst theme="8" tint="-0.249977111117893"/>
          <x14:colorLast theme="8" tint="-0.249977111117893"/>
          <x14:colorHigh rgb="FFFF0000"/>
          <x14:colorLow theme="8" tint="-0.249977111117893"/>
          <x14:sparklines>
            <x14:sparkline>
              <xm:f>Admited_care!D44:D57</xm:f>
              <xm:sqref>I14</xm:sqref>
            </x14:sparkline>
          </x14:sparklines>
        </x14:sparklineGroup>
        <x14:sparklineGroup displayEmptyCellsAs="gap" markers="1" high="1">
          <x14:colorSeries theme="8"/>
          <x14:colorNegative theme="9"/>
          <x14:colorAxis rgb="FF000000"/>
          <x14:colorMarkers theme="8" tint="-0.249977111117893"/>
          <x14:colorFirst theme="8" tint="-0.249977111117893"/>
          <x14:colorLast theme="8" tint="-0.249977111117893"/>
          <x14:colorHigh rgb="FFFF0000"/>
          <x14:colorLow theme="8" tint="-0.249977111117893"/>
          <x14:sparklines>
            <x14:sparkline>
              <xm:f>Admited_care!F44:F57</xm:f>
              <xm:sqref>I15</xm:sqref>
            </x14:sparkline>
          </x14:sparklines>
        </x14:sparklineGroup>
        <x14:sparklineGroup displayEmptyCellsAs="gap" markers="1" high="1">
          <x14:colorSeries theme="8"/>
          <x14:colorNegative theme="9"/>
          <x14:colorAxis rgb="FF000000"/>
          <x14:colorMarkers theme="8" tint="-0.249977111117893"/>
          <x14:colorFirst theme="8" tint="-0.249977111117893"/>
          <x14:colorLast theme="8" tint="-0.249977111117893"/>
          <x14:colorHigh rgb="FFFF0000"/>
          <x14:colorLow theme="8" tint="-0.249977111117893"/>
          <x14:sparklines>
            <x14:sparkline>
              <xm:f>Admited_care!G44:G57</xm:f>
              <xm:sqref>I16</xm:sqref>
            </x14:sparkline>
          </x14:sparklines>
        </x14:sparklineGroup>
      </x14:sparklineGroup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V90"/>
  <sheetViews>
    <sheetView topLeftCell="E37" workbookViewId="0">
      <selection activeCell="M66" sqref="M66"/>
    </sheetView>
  </sheetViews>
  <sheetFormatPr defaultRowHeight="15" x14ac:dyDescent="0.25"/>
  <cols>
    <col min="1" max="1" width="21.140625" customWidth="1"/>
    <col min="2" max="2" width="10.7109375" customWidth="1"/>
    <col min="3" max="5" width="13.28515625" bestFit="1" customWidth="1"/>
    <col min="6" max="7" width="13.28515625" style="1576" customWidth="1"/>
    <col min="8" max="8" width="13.28515625" bestFit="1" customWidth="1"/>
    <col min="9" max="9" width="13.28515625" hidden="1" customWidth="1"/>
    <col min="10" max="10" width="12" bestFit="1" customWidth="1"/>
    <col min="14" max="14" width="9.140625" style="1576"/>
  </cols>
  <sheetData>
    <row r="3" spans="1:19" x14ac:dyDescent="0.25">
      <c r="A3" s="377" t="s">
        <v>627</v>
      </c>
      <c r="B3" s="377"/>
      <c r="C3" s="377"/>
      <c r="D3" s="377"/>
      <c r="E3" s="377"/>
      <c r="F3" s="377"/>
      <c r="G3" s="377"/>
      <c r="H3" s="377"/>
      <c r="I3" s="377"/>
    </row>
    <row r="4" spans="1:19" ht="67.5" customHeight="1" x14ac:dyDescent="0.25">
      <c r="A4" s="1291" t="s">
        <v>576</v>
      </c>
      <c r="B4" s="1292" t="s">
        <v>68</v>
      </c>
      <c r="C4" s="1293" t="s">
        <v>69</v>
      </c>
      <c r="D4" s="1293" t="s">
        <v>70</v>
      </c>
      <c r="E4" s="1293" t="s">
        <v>71</v>
      </c>
      <c r="F4" s="1293"/>
      <c r="G4" s="1293"/>
      <c r="H4" s="1293" t="s">
        <v>72</v>
      </c>
      <c r="I4" s="1293" t="s">
        <v>73</v>
      </c>
      <c r="J4" s="1294" t="s">
        <v>73</v>
      </c>
      <c r="K4" s="1295" t="s">
        <v>74</v>
      </c>
      <c r="L4" s="1295" t="s">
        <v>75</v>
      </c>
      <c r="M4" s="1295" t="s">
        <v>76</v>
      </c>
      <c r="N4" s="1295"/>
      <c r="O4" s="1295" t="s">
        <v>4</v>
      </c>
      <c r="P4" s="1295" t="s">
        <v>5</v>
      </c>
      <c r="Q4" s="1295" t="s">
        <v>6</v>
      </c>
      <c r="R4" s="1295" t="s">
        <v>572</v>
      </c>
      <c r="S4" s="1295" t="s">
        <v>573</v>
      </c>
    </row>
    <row r="5" spans="1:19" ht="15" customHeight="1" x14ac:dyDescent="0.25">
      <c r="A5" s="1123" t="s">
        <v>578</v>
      </c>
    </row>
    <row r="6" spans="1:19" ht="15" customHeight="1" x14ac:dyDescent="0.25">
      <c r="A6" s="925" t="s">
        <v>575</v>
      </c>
      <c r="B6" s="1124">
        <f>5389617/1000000</f>
        <v>5.3896170000000003</v>
      </c>
      <c r="C6" s="1124">
        <f>5454880/1000000</f>
        <v>5.4548800000000002</v>
      </c>
      <c r="D6" s="1124">
        <f>5444058/1000000</f>
        <v>5.4440580000000001</v>
      </c>
      <c r="E6" s="1124">
        <f>5348469/1000000</f>
        <v>5.3484689999999997</v>
      </c>
      <c r="F6" s="1124"/>
      <c r="G6" s="1124"/>
      <c r="H6" s="1124">
        <f>5537122/1000000</f>
        <v>5.5371220000000001</v>
      </c>
      <c r="I6" s="1296">
        <f>5696467/1000000</f>
        <v>5.6964670000000002</v>
      </c>
      <c r="J6" s="1297">
        <f>6401519/1000000</f>
        <v>6.4015190000000004</v>
      </c>
      <c r="K6" s="1127">
        <f>6433933/1000000</f>
        <v>6.4339329999999997</v>
      </c>
      <c r="L6" s="1128">
        <f>6864612/1000000</f>
        <v>6.8646120000000002</v>
      </c>
      <c r="M6" s="1128">
        <f>7194697/1000000</f>
        <v>7.1946969999999997</v>
      </c>
      <c r="N6" s="1128"/>
      <c r="O6" s="1129">
        <f>7598796/1000000</f>
        <v>7.5987960000000001</v>
      </c>
      <c r="P6" s="1130">
        <f>8148229/1000000</f>
        <v>8.1482290000000006</v>
      </c>
      <c r="Q6" s="1130">
        <f>8465757/1000000</f>
        <v>8.465757</v>
      </c>
      <c r="R6" s="1130">
        <f>8755081/1000000</f>
        <v>8.7550810000000006</v>
      </c>
      <c r="S6" s="1130">
        <f>8947134/1000000</f>
        <v>8.9471340000000001</v>
      </c>
    </row>
    <row r="7" spans="1:19" ht="15" customHeight="1" x14ac:dyDescent="0.25">
      <c r="A7" s="562" t="s">
        <v>579</v>
      </c>
      <c r="B7" s="1132">
        <v>0.9929278958133021</v>
      </c>
      <c r="C7" s="1132">
        <v>0.99340369088134506</v>
      </c>
      <c r="D7" s="1132">
        <v>0.99376894490859113</v>
      </c>
      <c r="E7" s="1132">
        <v>0.99408281881012039</v>
      </c>
      <c r="F7" s="1132"/>
      <c r="G7" s="1132"/>
      <c r="H7" s="1132">
        <v>0.99422764515030193</v>
      </c>
      <c r="I7" s="1298">
        <v>0.99474567571808115</v>
      </c>
      <c r="J7" s="1299">
        <v>0.99357871155267996</v>
      </c>
      <c r="K7" s="1136">
        <v>0.99380000000000002</v>
      </c>
      <c r="L7" s="1137">
        <v>0.99470000000000003</v>
      </c>
      <c r="M7" s="1137">
        <v>0.99509999999999998</v>
      </c>
      <c r="N7" s="1137"/>
      <c r="O7" s="1138">
        <v>0.99719999999999998</v>
      </c>
      <c r="P7" s="1137">
        <v>0.99739999999999995</v>
      </c>
      <c r="Q7" s="1137">
        <v>0.99760000000000004</v>
      </c>
      <c r="R7" s="1137">
        <v>0.99775999999999998</v>
      </c>
      <c r="S7" s="1137">
        <v>0.99783999999999995</v>
      </c>
    </row>
    <row r="8" spans="1:19" ht="15" customHeight="1" x14ac:dyDescent="0.25">
      <c r="A8" s="562" t="s">
        <v>580</v>
      </c>
      <c r="B8" s="1162">
        <v>25.18765216920303</v>
      </c>
      <c r="C8" s="1162">
        <v>24.723975542628413</v>
      </c>
      <c r="D8" s="1162">
        <v>24.270679724894904</v>
      </c>
      <c r="E8" s="1162">
        <v>24.024876147075172</v>
      </c>
      <c r="F8" s="1162"/>
      <c r="G8" s="1162"/>
      <c r="H8" s="1162">
        <v>23.816643597295425</v>
      </c>
      <c r="I8" s="1300">
        <v>23.516449562294287</v>
      </c>
      <c r="J8" s="1301">
        <v>23.544394482986274</v>
      </c>
      <c r="K8" s="1144">
        <v>23.745407097929938</v>
      </c>
      <c r="L8" s="1144">
        <v>23.651527511178436</v>
      </c>
      <c r="M8" s="1144">
        <v>23.592054258827055</v>
      </c>
      <c r="N8" s="1144"/>
      <c r="O8" s="1145">
        <v>23.156540730776808</v>
      </c>
      <c r="P8" s="1146">
        <v>23.2</v>
      </c>
      <c r="Q8" s="1146">
        <v>23.4</v>
      </c>
      <c r="R8" s="1147">
        <v>23.4</v>
      </c>
      <c r="S8" s="1147">
        <v>23.3</v>
      </c>
    </row>
    <row r="9" spans="1:19" ht="15" customHeight="1" x14ac:dyDescent="0.25">
      <c r="A9" s="1268" t="s">
        <v>628</v>
      </c>
      <c r="B9" s="316">
        <v>89.27378263038571</v>
      </c>
      <c r="C9" s="316">
        <v>81.206543777191385</v>
      </c>
      <c r="D9" s="316">
        <v>82.767833663267979</v>
      </c>
      <c r="E9" s="316">
        <v>85.735177351994366</v>
      </c>
      <c r="F9" s="316"/>
      <c r="G9" s="316"/>
      <c r="H9" s="316">
        <v>88.992216040380498</v>
      </c>
      <c r="I9" s="1302">
        <v>86.407724789654608</v>
      </c>
      <c r="J9" s="1303">
        <v>77.848804008815989</v>
      </c>
      <c r="K9" s="1147">
        <v>71</v>
      </c>
      <c r="L9" s="1146">
        <v>67</v>
      </c>
      <c r="M9" s="1146">
        <v>65</v>
      </c>
      <c r="N9" s="1146"/>
      <c r="O9" s="1153">
        <v>57</v>
      </c>
      <c r="P9" s="1146">
        <v>51</v>
      </c>
      <c r="Q9" s="1146">
        <v>57</v>
      </c>
      <c r="R9" s="1147">
        <v>62</v>
      </c>
      <c r="S9" s="1147">
        <v>67</v>
      </c>
    </row>
    <row r="10" spans="1:19" ht="15" customHeight="1" x14ac:dyDescent="0.25">
      <c r="A10" s="1268" t="s">
        <v>629</v>
      </c>
      <c r="B10" s="316">
        <v>89.27378263038571</v>
      </c>
      <c r="C10" s="316">
        <v>81.206543777191385</v>
      </c>
      <c r="D10" s="316">
        <v>82.767833663267979</v>
      </c>
      <c r="E10" s="316">
        <v>85.735177351994366</v>
      </c>
      <c r="F10" s="316"/>
      <c r="G10" s="316"/>
      <c r="H10" s="316">
        <v>88.992216040380498</v>
      </c>
      <c r="I10" s="1302">
        <v>86.407724789654608</v>
      </c>
      <c r="J10" s="1303">
        <v>77.848804008815989</v>
      </c>
      <c r="K10" s="1147">
        <v>71</v>
      </c>
      <c r="L10" s="1146">
        <v>67</v>
      </c>
      <c r="M10" s="1146">
        <v>65</v>
      </c>
      <c r="N10" s="1146"/>
      <c r="O10" s="1153">
        <v>57</v>
      </c>
      <c r="P10" s="1146">
        <v>51</v>
      </c>
      <c r="Q10" s="1146">
        <v>57</v>
      </c>
      <c r="R10" s="1147">
        <v>62</v>
      </c>
      <c r="S10" s="1147">
        <v>67</v>
      </c>
    </row>
    <row r="11" spans="1:19" ht="15" customHeight="1" x14ac:dyDescent="0.25">
      <c r="A11" s="1268"/>
      <c r="I11" s="1304"/>
      <c r="J11" s="1304"/>
    </row>
    <row r="12" spans="1:19" ht="15" customHeight="1" x14ac:dyDescent="0.25">
      <c r="A12" s="233"/>
      <c r="I12" s="1304"/>
      <c r="J12" s="1304"/>
    </row>
    <row r="13" spans="1:19" ht="15" customHeight="1" x14ac:dyDescent="0.25">
      <c r="A13" s="1123" t="s">
        <v>582</v>
      </c>
      <c r="I13" s="1304"/>
      <c r="J13" s="1304"/>
    </row>
    <row r="14" spans="1:19" ht="15" customHeight="1" x14ac:dyDescent="0.25">
      <c r="A14" s="925" t="s">
        <v>575</v>
      </c>
      <c r="B14" s="1125">
        <f>5821199/1000000</f>
        <v>5.821199</v>
      </c>
      <c r="C14" s="1125">
        <f>5650865/1000000</f>
        <v>5.6508649999999996</v>
      </c>
      <c r="D14" s="1125">
        <f>5631181/1000000</f>
        <v>5.6311809999999998</v>
      </c>
      <c r="E14" s="1125">
        <f>5645590/1000000</f>
        <v>5.6455900000000003</v>
      </c>
      <c r="F14" s="1125"/>
      <c r="G14" s="1125"/>
      <c r="H14" s="1125">
        <f>6004713/1000000</f>
        <v>6.0047129999999997</v>
      </c>
      <c r="I14" s="1305">
        <f>6451641/1000000</f>
        <v>6.4516410000000004</v>
      </c>
      <c r="J14" s="1297">
        <f>5723817/1000000</f>
        <v>5.7238170000000004</v>
      </c>
      <c r="K14" s="1127">
        <f>6009802/1000000</f>
        <v>6.0098019999999996</v>
      </c>
      <c r="L14" s="1128">
        <f>6291117/1000000</f>
        <v>6.2911169999999998</v>
      </c>
      <c r="M14" s="1128">
        <f>6363388/1000000</f>
        <v>6.3633879999999996</v>
      </c>
      <c r="N14" s="1128"/>
      <c r="O14" s="1129">
        <f>6593136/1000000</f>
        <v>6.5931360000000003</v>
      </c>
      <c r="P14" s="1130">
        <f>6826035/1000000</f>
        <v>6.8260350000000001</v>
      </c>
      <c r="Q14" s="1130">
        <f>6951379/1000000</f>
        <v>6.9513790000000002</v>
      </c>
      <c r="R14" s="1159">
        <f>7109358/1000000</f>
        <v>7.1093580000000003</v>
      </c>
      <c r="S14" s="1159">
        <f>7054224/1000000</f>
        <v>7.0542239999999996</v>
      </c>
    </row>
    <row r="15" spans="1:19" ht="15" customHeight="1" x14ac:dyDescent="0.25">
      <c r="A15" s="562" t="s">
        <v>579</v>
      </c>
      <c r="B15" s="403">
        <v>0.94722776226359906</v>
      </c>
      <c r="C15" s="403">
        <v>0.94623189893312132</v>
      </c>
      <c r="D15" s="403">
        <v>0.94831173068293295</v>
      </c>
      <c r="E15" s="403">
        <v>0.94734145131765835</v>
      </c>
      <c r="F15" s="403"/>
      <c r="G15" s="403"/>
      <c r="H15" s="403">
        <v>0.95023673565733124</v>
      </c>
      <c r="I15" s="1306">
        <v>0.95254474187236193</v>
      </c>
      <c r="J15" s="1307">
        <v>0.9491543842159873</v>
      </c>
      <c r="K15" s="1136">
        <v>0.9516</v>
      </c>
      <c r="L15" s="1137">
        <v>0.95489999999999997</v>
      </c>
      <c r="M15" s="1137">
        <v>0.95650000000000002</v>
      </c>
      <c r="N15" s="1137"/>
      <c r="O15" s="1138">
        <v>0.95789999999999997</v>
      </c>
      <c r="P15" s="1137">
        <v>0.95850000000000002</v>
      </c>
      <c r="Q15" s="1137">
        <v>0.9607</v>
      </c>
      <c r="R15" s="1136">
        <v>0.96050000000000002</v>
      </c>
      <c r="S15" s="1136">
        <v>0.96120000000000005</v>
      </c>
    </row>
    <row r="16" spans="1:19" ht="15" customHeight="1" x14ac:dyDescent="0.25">
      <c r="A16" s="562" t="s">
        <v>580</v>
      </c>
      <c r="B16" s="1162">
        <v>33.519059742476145</v>
      </c>
      <c r="C16" s="1162">
        <v>33.940541261284068</v>
      </c>
      <c r="D16" s="1162">
        <v>33.70742768994414</v>
      </c>
      <c r="E16" s="1162">
        <v>33.696092728310632</v>
      </c>
      <c r="F16" s="1162"/>
      <c r="G16" s="1162"/>
      <c r="H16" s="1162">
        <v>32.883528920486022</v>
      </c>
      <c r="I16" s="1300">
        <v>32.514471773117485</v>
      </c>
      <c r="J16" s="1308">
        <v>33.824360604467714</v>
      </c>
      <c r="K16" s="1147">
        <v>34.1</v>
      </c>
      <c r="L16" s="1146">
        <v>34.299999999999997</v>
      </c>
      <c r="M16" s="1146">
        <v>34.6</v>
      </c>
      <c r="N16" s="1146"/>
      <c r="O16" s="1153">
        <v>34.700000000000003</v>
      </c>
      <c r="P16" s="1147">
        <v>34.4</v>
      </c>
      <c r="Q16" s="1147">
        <v>34.6</v>
      </c>
      <c r="R16" s="1147">
        <v>34.799999999999997</v>
      </c>
      <c r="S16" s="1147">
        <v>34.700000000000003</v>
      </c>
    </row>
    <row r="18" spans="1:11" x14ac:dyDescent="0.25">
      <c r="I18" s="1125">
        <f>SUM(I14,I6)</f>
        <v>12.148108000000001</v>
      </c>
      <c r="J18" s="1125">
        <f>SUM(J14,J6)</f>
        <v>12.125336000000001</v>
      </c>
    </row>
    <row r="20" spans="1:11" x14ac:dyDescent="0.25">
      <c r="A20" s="1123" t="s">
        <v>578</v>
      </c>
      <c r="B20" s="1123"/>
      <c r="C20" s="657"/>
      <c r="D20" s="233"/>
      <c r="E20" s="233"/>
      <c r="F20" s="233"/>
      <c r="G20" s="233"/>
      <c r="H20" s="233"/>
      <c r="I20" s="233"/>
    </row>
    <row r="21" spans="1:11" x14ac:dyDescent="0.25">
      <c r="A21" s="925" t="s">
        <v>575</v>
      </c>
      <c r="B21" s="1124">
        <f>5427066/1000000</f>
        <v>5.4270659999999999</v>
      </c>
      <c r="C21" s="1124">
        <f>5487579/1000000</f>
        <v>5.4875790000000002</v>
      </c>
      <c r="D21" s="1124">
        <f>5479633/1000000</f>
        <v>5.4796329999999998</v>
      </c>
      <c r="E21" s="1125">
        <f>5386575/1000000</f>
        <v>5.3865749999999997</v>
      </c>
      <c r="F21" s="1125"/>
      <c r="G21" s="1125"/>
      <c r="H21" s="1124">
        <f>5578093/1000000</f>
        <v>5.578093</v>
      </c>
      <c r="I21" s="1162">
        <v>5.7363309999999998</v>
      </c>
      <c r="J21">
        <v>6.4015190000000004</v>
      </c>
      <c r="K21" s="1309"/>
    </row>
    <row r="22" spans="1:11" x14ac:dyDescent="0.25">
      <c r="A22" s="562" t="s">
        <v>579</v>
      </c>
      <c r="B22" s="1131">
        <v>0.99297982552078423</v>
      </c>
      <c r="C22" s="1132">
        <v>0.99344809833581327</v>
      </c>
      <c r="D22" s="1132">
        <v>0.9938130481879307</v>
      </c>
      <c r="E22" s="1133">
        <v>0.99412727750723706</v>
      </c>
      <c r="F22" s="1133"/>
      <c r="G22" s="1133"/>
      <c r="H22" s="1133">
        <v>0.99427255281866589</v>
      </c>
      <c r="I22" s="1132">
        <v>0.99478428089861648</v>
      </c>
      <c r="J22" s="1310">
        <v>0.99357871155267996</v>
      </c>
    </row>
    <row r="23" spans="1:11" x14ac:dyDescent="0.25">
      <c r="A23" s="562" t="s">
        <v>580</v>
      </c>
      <c r="B23" s="1139">
        <v>25.311743839819581</v>
      </c>
      <c r="C23" s="1140">
        <v>24.835254072157774</v>
      </c>
      <c r="D23" s="1140">
        <v>24.393908901190436</v>
      </c>
      <c r="E23" s="1141">
        <v>24.160071730032158</v>
      </c>
      <c r="F23" s="1141"/>
      <c r="G23" s="1141"/>
      <c r="H23" s="1141">
        <v>23.958833186583934</v>
      </c>
      <c r="I23" s="1162">
        <v>23.652542243951583</v>
      </c>
      <c r="J23">
        <v>23.544394482986274</v>
      </c>
    </row>
    <row r="24" spans="1:11" x14ac:dyDescent="0.25">
      <c r="A24" s="1917" t="s">
        <v>628</v>
      </c>
      <c r="B24" s="1148">
        <v>88.723499036333564</v>
      </c>
      <c r="C24" s="1149">
        <v>80.778152493315716</v>
      </c>
      <c r="D24" s="1149">
        <v>82.304893177015529</v>
      </c>
      <c r="E24" s="1150">
        <v>85.237862415005438</v>
      </c>
      <c r="F24" s="1150"/>
      <c r="G24" s="1150"/>
      <c r="H24" s="1150">
        <v>88.498913740756919</v>
      </c>
      <c r="I24" s="316">
        <v>85.907327267949</v>
      </c>
      <c r="J24">
        <v>118.76313325009268</v>
      </c>
    </row>
    <row r="25" spans="1:11" x14ac:dyDescent="0.25">
      <c r="A25" s="1917"/>
      <c r="B25" s="1148"/>
      <c r="C25" s="1149"/>
      <c r="D25" s="1149"/>
      <c r="E25" s="1150"/>
      <c r="F25" s="1150"/>
      <c r="G25" s="1150"/>
      <c r="H25" s="1150"/>
      <c r="J25">
        <v>77.848804008815989</v>
      </c>
    </row>
    <row r="26" spans="1:11" x14ac:dyDescent="0.25">
      <c r="A26" s="233"/>
      <c r="B26" s="267"/>
      <c r="C26" s="267"/>
      <c r="D26" s="267"/>
      <c r="E26" s="267"/>
      <c r="F26" s="267"/>
      <c r="G26" s="267"/>
      <c r="H26" s="267"/>
    </row>
    <row r="27" spans="1:11" x14ac:dyDescent="0.25">
      <c r="A27" s="1123" t="s">
        <v>582</v>
      </c>
      <c r="B27" s="356"/>
      <c r="C27" s="267"/>
      <c r="D27" s="267"/>
      <c r="E27" s="267"/>
      <c r="F27" s="267"/>
      <c r="G27" s="267"/>
      <c r="H27" s="267"/>
    </row>
    <row r="28" spans="1:11" x14ac:dyDescent="0.25">
      <c r="A28" s="925" t="s">
        <v>575</v>
      </c>
      <c r="B28" s="1156">
        <f>5783750/1000000</f>
        <v>5.7837500000000004</v>
      </c>
      <c r="C28" s="1124">
        <f>5618166/1000000</f>
        <v>5.6181660000000004</v>
      </c>
      <c r="D28" s="1156">
        <f>5595606/1000000</f>
        <v>5.5956060000000001</v>
      </c>
      <c r="E28" s="1124">
        <f>5607484/1000000</f>
        <v>5.6074840000000004</v>
      </c>
      <c r="F28" s="1124"/>
      <c r="G28" s="1124"/>
      <c r="H28" s="1156">
        <f>5963742/1000000</f>
        <v>5.9637419999999999</v>
      </c>
      <c r="I28" s="1162">
        <v>6.4117769999999998</v>
      </c>
      <c r="K28" s="1309"/>
    </row>
    <row r="29" spans="1:11" x14ac:dyDescent="0.25">
      <c r="A29" s="562" t="s">
        <v>579</v>
      </c>
      <c r="B29" s="1132">
        <v>0.94756780976717914</v>
      </c>
      <c r="C29" s="1132">
        <v>0.94656187141177361</v>
      </c>
      <c r="D29" s="1132">
        <v>0.948581619202433</v>
      </c>
      <c r="E29" s="1132">
        <v>0.94760349278650813</v>
      </c>
      <c r="F29" s="1132"/>
      <c r="G29" s="1132"/>
      <c r="H29" s="1132">
        <v>0.95054579485147772</v>
      </c>
      <c r="I29" s="403">
        <v>0.95289289026855672</v>
      </c>
      <c r="J29" s="1310">
        <v>5.7238170000000004</v>
      </c>
    </row>
    <row r="30" spans="1:11" x14ac:dyDescent="0.25">
      <c r="A30" s="562" t="s">
        <v>580</v>
      </c>
      <c r="B30" s="1161">
        <v>33.456565546794309</v>
      </c>
      <c r="C30" s="1161">
        <v>33.885491759478363</v>
      </c>
      <c r="D30" s="1161">
        <v>33.646748229643457</v>
      </c>
      <c r="E30" s="1162">
        <v>33.631944570558957</v>
      </c>
      <c r="F30" s="1162"/>
      <c r="G30" s="1162"/>
      <c r="H30" s="1162">
        <v>32.812823750123755</v>
      </c>
      <c r="I30" s="1162">
        <v>32.448659204893161</v>
      </c>
      <c r="J30">
        <v>0.9491543842159873</v>
      </c>
    </row>
    <row r="31" spans="1:11" x14ac:dyDescent="0.25">
      <c r="J31">
        <v>33.824360604467714</v>
      </c>
    </row>
    <row r="33" spans="1:19" ht="30" x14ac:dyDescent="0.25">
      <c r="A33" s="1122" t="s">
        <v>630</v>
      </c>
      <c r="B33" s="1122"/>
      <c r="C33" s="657"/>
      <c r="D33" s="233"/>
      <c r="E33" s="233"/>
      <c r="F33" s="233"/>
      <c r="G33" s="233"/>
      <c r="H33" s="233"/>
      <c r="I33" s="233"/>
      <c r="J33" s="267"/>
      <c r="K33" s="267"/>
      <c r="L33" s="267"/>
      <c r="M33" s="267"/>
      <c r="N33" s="267"/>
    </row>
    <row r="34" spans="1:19" x14ac:dyDescent="0.25">
      <c r="A34" s="925" t="s">
        <v>575</v>
      </c>
      <c r="B34" s="1122"/>
      <c r="J34" s="1311">
        <f>50205073/1000000</f>
        <v>50.205072999999999</v>
      </c>
      <c r="K34" s="1171">
        <v>52724302</v>
      </c>
      <c r="L34" s="1172">
        <v>60541477</v>
      </c>
      <c r="M34" s="1172">
        <v>63453507</v>
      </c>
      <c r="N34" s="1172"/>
      <c r="O34" s="1172">
        <v>69678564</v>
      </c>
      <c r="P34" s="1172">
        <v>74421017</v>
      </c>
      <c r="Q34" s="1172">
        <v>76761100</v>
      </c>
      <c r="R34" s="1172">
        <v>81263904</v>
      </c>
      <c r="S34" s="1173">
        <v>75863819</v>
      </c>
    </row>
    <row r="35" spans="1:19" x14ac:dyDescent="0.25">
      <c r="A35" s="562" t="s">
        <v>586</v>
      </c>
      <c r="B35" s="1122"/>
      <c r="J35" s="1188">
        <v>98.100088157645317</v>
      </c>
      <c r="K35" s="1147">
        <v>106</v>
      </c>
      <c r="L35" s="1146">
        <v>103</v>
      </c>
      <c r="M35" s="1146">
        <v>93</v>
      </c>
      <c r="N35" s="1146"/>
      <c r="O35" s="1153">
        <v>94</v>
      </c>
      <c r="P35" s="1146">
        <v>98</v>
      </c>
      <c r="Q35" s="1146">
        <v>99</v>
      </c>
      <c r="R35" s="1147">
        <v>105</v>
      </c>
      <c r="S35" s="1189">
        <v>108</v>
      </c>
    </row>
    <row r="36" spans="1:19" x14ac:dyDescent="0.25">
      <c r="A36" s="1918" t="s">
        <v>587</v>
      </c>
      <c r="B36" s="1122"/>
      <c r="J36" s="1190">
        <v>8.3171414300353241</v>
      </c>
      <c r="K36" s="1147">
        <v>7.4</v>
      </c>
      <c r="L36" s="1146">
        <v>6.5</v>
      </c>
      <c r="M36" s="1146">
        <v>5.9</v>
      </c>
      <c r="N36" s="1146"/>
      <c r="O36" s="1191">
        <v>3.4</v>
      </c>
      <c r="P36" s="1191">
        <v>3.1</v>
      </c>
      <c r="Q36" s="1191">
        <v>3.4</v>
      </c>
      <c r="R36" s="233"/>
      <c r="S36" s="267"/>
    </row>
    <row r="37" spans="1:19" x14ac:dyDescent="0.25">
      <c r="A37" s="1918"/>
      <c r="B37" s="1122"/>
      <c r="J37" s="1190"/>
      <c r="K37" s="1147"/>
      <c r="L37" s="1146"/>
      <c r="M37" s="1146"/>
      <c r="N37" s="1146"/>
      <c r="O37" s="1191">
        <v>5.3</v>
      </c>
      <c r="P37" s="1191">
        <v>4.8</v>
      </c>
      <c r="Q37" s="1191">
        <v>5.0999999999999996</v>
      </c>
      <c r="R37" s="267">
        <v>5.3</v>
      </c>
      <c r="S37" s="1189">
        <v>5.3</v>
      </c>
    </row>
    <row r="38" spans="1:19" x14ac:dyDescent="0.25">
      <c r="J38">
        <f>(J36*365)/52</f>
        <v>58.379935037747948</v>
      </c>
      <c r="K38">
        <f t="shared" ref="K38:S39" si="0">(K36*365)/52</f>
        <v>51.942307692307693</v>
      </c>
      <c r="L38">
        <f t="shared" si="0"/>
        <v>45.625</v>
      </c>
      <c r="M38">
        <f t="shared" si="0"/>
        <v>41.41346153846154</v>
      </c>
      <c r="O38">
        <f t="shared" si="0"/>
        <v>23.865384615384617</v>
      </c>
      <c r="P38">
        <f t="shared" si="0"/>
        <v>21.759615384615383</v>
      </c>
      <c r="Q38">
        <f t="shared" si="0"/>
        <v>23.865384615384617</v>
      </c>
    </row>
    <row r="39" spans="1:19" x14ac:dyDescent="0.25">
      <c r="A39" t="s">
        <v>631</v>
      </c>
      <c r="O39">
        <f t="shared" si="0"/>
        <v>37.20192307692308</v>
      </c>
      <c r="P39">
        <f t="shared" si="0"/>
        <v>33.692307692307693</v>
      </c>
      <c r="Q39">
        <f t="shared" si="0"/>
        <v>35.79807692307692</v>
      </c>
      <c r="R39">
        <f t="shared" si="0"/>
        <v>37.20192307692308</v>
      </c>
      <c r="S39">
        <f t="shared" si="0"/>
        <v>37.20192307692308</v>
      </c>
    </row>
    <row r="42" spans="1:19" x14ac:dyDescent="0.25">
      <c r="B42" s="1125">
        <f>B6+B14</f>
        <v>11.210816000000001</v>
      </c>
      <c r="C42" s="1125">
        <f t="shared" ref="C42:S42" si="1">C6+C14</f>
        <v>11.105744999999999</v>
      </c>
      <c r="D42" s="1125">
        <f t="shared" si="1"/>
        <v>11.075239</v>
      </c>
      <c r="E42" s="1125">
        <f t="shared" si="1"/>
        <v>10.994059</v>
      </c>
      <c r="F42" s="1125"/>
      <c r="G42" s="1125"/>
      <c r="H42" s="1125">
        <f t="shared" si="1"/>
        <v>11.541834999999999</v>
      </c>
      <c r="I42" s="1125">
        <f t="shared" si="1"/>
        <v>12.148108000000001</v>
      </c>
      <c r="J42" s="1125">
        <f t="shared" si="1"/>
        <v>12.125336000000001</v>
      </c>
      <c r="K42" s="1125">
        <f t="shared" si="1"/>
        <v>12.443735</v>
      </c>
      <c r="L42" s="1125">
        <f t="shared" si="1"/>
        <v>13.155729000000001</v>
      </c>
      <c r="M42" s="1125">
        <f t="shared" si="1"/>
        <v>13.558084999999998</v>
      </c>
      <c r="N42" s="1125"/>
      <c r="O42" s="1125">
        <f t="shared" si="1"/>
        <v>14.191932000000001</v>
      </c>
      <c r="P42" s="1125">
        <f t="shared" si="1"/>
        <v>14.974264000000002</v>
      </c>
      <c r="Q42" s="1125">
        <f t="shared" si="1"/>
        <v>15.417135999999999</v>
      </c>
      <c r="R42" s="1125">
        <f t="shared" si="1"/>
        <v>15.864439000000001</v>
      </c>
      <c r="S42" s="1125">
        <f t="shared" si="1"/>
        <v>16.001358</v>
      </c>
    </row>
    <row r="43" spans="1:19" x14ac:dyDescent="0.25">
      <c r="B43" s="1125">
        <f>(B6*B7+B14*B15)/(B42)</f>
        <v>0.96919817161486754</v>
      </c>
      <c r="C43" s="1125">
        <f t="shared" ref="C43:S43" si="2">(C6*C7+C14*C15)/(C42)</f>
        <v>0.96940157052764542</v>
      </c>
      <c r="D43" s="1125">
        <f t="shared" si="2"/>
        <v>0.97065632394750345</v>
      </c>
      <c r="E43" s="1125">
        <f t="shared" si="2"/>
        <v>0.97008052840020276</v>
      </c>
      <c r="F43" s="1125"/>
      <c r="G43" s="1125"/>
      <c r="H43" s="1125">
        <f t="shared" si="2"/>
        <v>0.97134109495145904</v>
      </c>
      <c r="I43" s="1125">
        <f t="shared" si="2"/>
        <v>0.9723335210815458</v>
      </c>
      <c r="J43" s="1125">
        <f t="shared" si="2"/>
        <v>0.97260801680052422</v>
      </c>
      <c r="K43" s="1125">
        <f t="shared" si="2"/>
        <v>0.97341917025716151</v>
      </c>
      <c r="L43" s="1125">
        <f t="shared" si="2"/>
        <v>0.97566749662447427</v>
      </c>
      <c r="M43" s="1125">
        <f t="shared" si="2"/>
        <v>0.97698337240841915</v>
      </c>
      <c r="N43" s="1125"/>
      <c r="O43" s="1125">
        <f t="shared" si="2"/>
        <v>0.9789424262743085</v>
      </c>
      <c r="P43" s="1125">
        <f t="shared" si="2"/>
        <v>0.97966739147246229</v>
      </c>
      <c r="Q43" s="1125">
        <f t="shared" si="2"/>
        <v>0.98096228693189191</v>
      </c>
      <c r="R43" s="1125">
        <f t="shared" si="2"/>
        <v>0.98106261290172303</v>
      </c>
      <c r="S43" s="1125">
        <f t="shared" si="2"/>
        <v>0.98168719800906912</v>
      </c>
    </row>
    <row r="44" spans="1:19" x14ac:dyDescent="0.25">
      <c r="B44" s="1125">
        <f>(B6*B8+B14*B16)/B42</f>
        <v>29.513722763362264</v>
      </c>
      <c r="C44" s="1125">
        <f t="shared" ref="C44:S44" si="3">(C6*C8+C14*C16)/C42</f>
        <v>29.413581565434725</v>
      </c>
      <c r="D44" s="1125">
        <f t="shared" si="3"/>
        <v>29.068773548655631</v>
      </c>
      <c r="E44" s="1125">
        <f t="shared" si="3"/>
        <v>28.99116963511786</v>
      </c>
      <c r="F44" s="1125"/>
      <c r="G44" s="1125"/>
      <c r="H44" s="1125">
        <f t="shared" si="3"/>
        <v>28.533748301155057</v>
      </c>
      <c r="I44" s="1125">
        <f t="shared" si="3"/>
        <v>28.295136829007557</v>
      </c>
      <c r="J44" s="1125">
        <f t="shared" si="3"/>
        <v>28.397096696397888</v>
      </c>
      <c r="K44" s="1125">
        <f t="shared" si="3"/>
        <v>28.746241102515093</v>
      </c>
      <c r="L44" s="1125">
        <f t="shared" si="3"/>
        <v>28.743665415391696</v>
      </c>
      <c r="M44" s="1125">
        <f t="shared" si="3"/>
        <v>28.758553055230166</v>
      </c>
      <c r="N44" s="1125"/>
      <c r="O44" s="1125">
        <f t="shared" si="3"/>
        <v>28.519277592287217</v>
      </c>
      <c r="P44" s="1125">
        <f t="shared" si="3"/>
        <v>28.305532532350167</v>
      </c>
      <c r="Q44" s="1125">
        <f t="shared" si="3"/>
        <v>28.44992916972387</v>
      </c>
      <c r="R44" s="1125">
        <f t="shared" si="3"/>
        <v>28.508701366622546</v>
      </c>
      <c r="S44" s="1125">
        <f t="shared" si="3"/>
        <v>28.325708043029849</v>
      </c>
    </row>
    <row r="49" spans="1:22" x14ac:dyDescent="0.25">
      <c r="C49" t="s">
        <v>632</v>
      </c>
      <c r="K49" t="s">
        <v>582</v>
      </c>
      <c r="R49" t="s">
        <v>220</v>
      </c>
    </row>
    <row r="51" spans="1:22" x14ac:dyDescent="0.25">
      <c r="B51" t="s">
        <v>575</v>
      </c>
      <c r="C51" t="s">
        <v>579</v>
      </c>
      <c r="D51" t="s">
        <v>693</v>
      </c>
      <c r="E51" s="1576" t="s">
        <v>580</v>
      </c>
      <c r="F51" s="1576" t="s">
        <v>633</v>
      </c>
      <c r="J51" t="s">
        <v>575</v>
      </c>
      <c r="K51" t="s">
        <v>579</v>
      </c>
      <c r="L51" s="1576" t="s">
        <v>693</v>
      </c>
      <c r="M51" t="s">
        <v>580</v>
      </c>
      <c r="N51"/>
      <c r="O51" s="1576" t="s">
        <v>633</v>
      </c>
      <c r="R51" t="s">
        <v>575</v>
      </c>
      <c r="S51" t="s">
        <v>579</v>
      </c>
      <c r="T51" s="1576" t="s">
        <v>693</v>
      </c>
      <c r="U51" t="s">
        <v>580</v>
      </c>
      <c r="V51" s="1576" t="s">
        <v>633</v>
      </c>
    </row>
    <row r="52" spans="1:22" x14ac:dyDescent="0.25">
      <c r="A52" t="s">
        <v>68</v>
      </c>
      <c r="B52">
        <v>5.3896170000000003</v>
      </c>
      <c r="C52">
        <v>0.9929278958133021</v>
      </c>
      <c r="D52">
        <v>45.71</v>
      </c>
      <c r="E52" s="1576">
        <v>25.18765216920303</v>
      </c>
      <c r="F52" s="1576">
        <v>89.27378263038571</v>
      </c>
      <c r="G52" s="1576">
        <v>45.71</v>
      </c>
      <c r="J52">
        <v>5.821199</v>
      </c>
      <c r="K52">
        <v>0.94722776226359906</v>
      </c>
      <c r="L52" s="1576">
        <v>45.71</v>
      </c>
      <c r="M52">
        <v>33.519059742476145</v>
      </c>
      <c r="N52"/>
      <c r="O52" s="1576">
        <v>45.71</v>
      </c>
      <c r="R52">
        <v>11.210816000000001</v>
      </c>
      <c r="S52">
        <v>0.96919817161486754</v>
      </c>
      <c r="T52" s="1576">
        <v>45.71</v>
      </c>
      <c r="U52">
        <v>29.513722763362264</v>
      </c>
      <c r="V52" s="1576">
        <v>89.27378263038571</v>
      </c>
    </row>
    <row r="53" spans="1:22" x14ac:dyDescent="0.25">
      <c r="A53" t="s">
        <v>69</v>
      </c>
      <c r="B53">
        <v>5.4548800000000002</v>
      </c>
      <c r="C53">
        <v>0.99340369088134506</v>
      </c>
      <c r="D53">
        <v>45.76</v>
      </c>
      <c r="E53" s="1576">
        <v>24.723975542628413</v>
      </c>
      <c r="F53" s="1576">
        <v>81.206543777191385</v>
      </c>
      <c r="G53" s="1576">
        <v>45.76</v>
      </c>
      <c r="J53">
        <v>5.6508649999999996</v>
      </c>
      <c r="K53">
        <v>0.94623189893312132</v>
      </c>
      <c r="L53" s="1576">
        <v>45.76</v>
      </c>
      <c r="M53">
        <v>33.940541261284068</v>
      </c>
      <c r="N53"/>
      <c r="O53" s="1576">
        <v>45.76</v>
      </c>
      <c r="R53">
        <v>11.105744999999999</v>
      </c>
      <c r="S53">
        <v>0.96940157052764542</v>
      </c>
      <c r="T53" s="1576">
        <v>45.76</v>
      </c>
      <c r="U53">
        <v>29.413581565434725</v>
      </c>
      <c r="V53" s="1576">
        <v>81.206543777191385</v>
      </c>
    </row>
    <row r="54" spans="1:22" x14ac:dyDescent="0.25">
      <c r="A54" t="s">
        <v>70</v>
      </c>
      <c r="B54">
        <v>5.4440580000000001</v>
      </c>
      <c r="C54">
        <v>0.99376894490859113</v>
      </c>
      <c r="D54">
        <v>46.17</v>
      </c>
      <c r="E54" s="1576">
        <v>24.270679724894904</v>
      </c>
      <c r="F54" s="1576">
        <v>82.767833663267979</v>
      </c>
      <c r="G54" s="1576">
        <v>46.17</v>
      </c>
      <c r="J54">
        <v>5.6311809999999998</v>
      </c>
      <c r="K54">
        <v>0.94831173068293295</v>
      </c>
      <c r="L54" s="1576">
        <v>46.17</v>
      </c>
      <c r="M54">
        <v>33.70742768994414</v>
      </c>
      <c r="N54"/>
      <c r="O54" s="1576">
        <v>46.17</v>
      </c>
      <c r="R54">
        <v>11.075239</v>
      </c>
      <c r="S54">
        <v>0.97065632394750345</v>
      </c>
      <c r="T54" s="1576">
        <v>46.17</v>
      </c>
      <c r="U54">
        <v>29.068773548655631</v>
      </c>
      <c r="V54" s="1576">
        <v>82.767833663267979</v>
      </c>
    </row>
    <row r="55" spans="1:22" x14ac:dyDescent="0.25">
      <c r="A55" t="s">
        <v>71</v>
      </c>
      <c r="B55">
        <v>5.3484689999999997</v>
      </c>
      <c r="C55">
        <v>0.99408281881012039</v>
      </c>
      <c r="D55">
        <v>46.3</v>
      </c>
      <c r="E55" s="1576">
        <v>24.024876147075172</v>
      </c>
      <c r="F55" s="1576">
        <v>85.735177351994366</v>
      </c>
      <c r="G55" s="1576">
        <v>46.3</v>
      </c>
      <c r="J55">
        <v>5.6455900000000003</v>
      </c>
      <c r="K55">
        <v>0.94734145131765835</v>
      </c>
      <c r="L55" s="1576">
        <v>46.3</v>
      </c>
      <c r="M55">
        <v>33.696092728310632</v>
      </c>
      <c r="N55"/>
      <c r="O55" s="1576">
        <v>46.3</v>
      </c>
      <c r="R55">
        <v>10.994059</v>
      </c>
      <c r="S55">
        <v>0.97008052840020276</v>
      </c>
      <c r="T55" s="1576">
        <v>46.3</v>
      </c>
      <c r="U55">
        <v>28.99116963511786</v>
      </c>
      <c r="V55" s="1576">
        <v>85.735177351994366</v>
      </c>
    </row>
    <row r="56" spans="1:22" x14ac:dyDescent="0.25">
      <c r="A56" t="s">
        <v>72</v>
      </c>
      <c r="B56">
        <v>5.5371220000000001</v>
      </c>
      <c r="C56">
        <v>0.99422764515030193</v>
      </c>
      <c r="D56">
        <v>46.93</v>
      </c>
      <c r="E56" s="1576">
        <v>23.816643597295425</v>
      </c>
      <c r="F56" s="1576">
        <v>88.992216040380498</v>
      </c>
      <c r="G56" s="1576">
        <v>46.93</v>
      </c>
      <c r="J56">
        <v>6.0047129999999997</v>
      </c>
      <c r="K56">
        <v>0.95023673565733124</v>
      </c>
      <c r="L56" s="1576">
        <v>46.93</v>
      </c>
      <c r="M56">
        <v>32.883528920486022</v>
      </c>
      <c r="N56"/>
      <c r="O56" s="1576">
        <v>46.93</v>
      </c>
      <c r="R56">
        <v>11.541834999999999</v>
      </c>
      <c r="S56">
        <v>0.97134109495145904</v>
      </c>
      <c r="T56" s="1576">
        <v>46.93</v>
      </c>
      <c r="U56">
        <v>28.533748301155057</v>
      </c>
      <c r="V56" s="1576">
        <v>88.992216040380498</v>
      </c>
    </row>
    <row r="57" spans="1:22" x14ac:dyDescent="0.25">
      <c r="A57" t="s">
        <v>73</v>
      </c>
      <c r="B57">
        <v>6.4015190000000004</v>
      </c>
      <c r="C57">
        <v>0.99357871155267996</v>
      </c>
      <c r="D57">
        <v>53.2</v>
      </c>
      <c r="E57" s="1576">
        <v>23.544394482986274</v>
      </c>
      <c r="F57" s="1576">
        <v>77.848804008815989</v>
      </c>
      <c r="G57" s="1576">
        <v>47.9</v>
      </c>
      <c r="J57">
        <v>5.7238170000000004</v>
      </c>
      <c r="K57">
        <v>0.9491543842159873</v>
      </c>
      <c r="L57" s="1576">
        <v>53.2</v>
      </c>
      <c r="M57">
        <v>33.824360604467714</v>
      </c>
      <c r="N57"/>
      <c r="O57" s="1576">
        <v>47.9</v>
      </c>
      <c r="R57">
        <v>12.125336000000001</v>
      </c>
      <c r="S57">
        <v>0.97260801680052422</v>
      </c>
      <c r="T57" s="1576">
        <v>53.2</v>
      </c>
      <c r="U57">
        <v>28.397096696397888</v>
      </c>
      <c r="V57" s="1576">
        <v>77.848804008815989</v>
      </c>
    </row>
    <row r="58" spans="1:22" x14ac:dyDescent="0.25">
      <c r="A58" t="s">
        <v>74</v>
      </c>
      <c r="B58">
        <v>6.4339329999999997</v>
      </c>
      <c r="C58">
        <v>0.99380000000000002</v>
      </c>
      <c r="D58">
        <v>53.6</v>
      </c>
      <c r="E58" s="1576">
        <v>23.745407097929938</v>
      </c>
      <c r="F58" s="1576">
        <v>71</v>
      </c>
      <c r="G58" s="1576">
        <v>53.6</v>
      </c>
      <c r="H58" s="381">
        <v>33.82</v>
      </c>
      <c r="J58">
        <v>6.0098019999999996</v>
      </c>
      <c r="K58">
        <v>0.9516</v>
      </c>
      <c r="L58" s="1576"/>
      <c r="M58" s="381">
        <v>33.82</v>
      </c>
      <c r="N58">
        <v>23.5</v>
      </c>
      <c r="O58" s="1576">
        <v>41.6</v>
      </c>
      <c r="R58">
        <v>12.443735</v>
      </c>
      <c r="S58">
        <v>0.97341917025716151</v>
      </c>
      <c r="T58" s="1576"/>
      <c r="U58">
        <v>28.746241102515093</v>
      </c>
      <c r="V58" s="1576">
        <v>71</v>
      </c>
    </row>
    <row r="59" spans="1:22" x14ac:dyDescent="0.25">
      <c r="A59" t="s">
        <v>75</v>
      </c>
      <c r="B59">
        <v>6.8646120000000002</v>
      </c>
      <c r="C59">
        <v>0.99470000000000003</v>
      </c>
      <c r="D59">
        <v>53.9</v>
      </c>
      <c r="E59" s="1576">
        <v>23.651527511178436</v>
      </c>
      <c r="F59" s="1576">
        <v>67</v>
      </c>
      <c r="G59" s="1576">
        <v>53.9</v>
      </c>
      <c r="H59" s="381">
        <v>34.1</v>
      </c>
      <c r="J59">
        <v>6.2911169999999998</v>
      </c>
      <c r="K59">
        <v>0.95489999999999997</v>
      </c>
      <c r="L59" s="1576"/>
      <c r="M59" s="381">
        <v>34.1</v>
      </c>
      <c r="N59">
        <v>23.7</v>
      </c>
      <c r="O59" s="1576">
        <v>41.6</v>
      </c>
      <c r="R59">
        <v>13.155729000000001</v>
      </c>
      <c r="S59">
        <v>0.97566749662447427</v>
      </c>
      <c r="T59" s="1576"/>
      <c r="U59">
        <v>28.743665415391696</v>
      </c>
      <c r="V59" s="1576">
        <v>67</v>
      </c>
    </row>
    <row r="60" spans="1:22" x14ac:dyDescent="0.25">
      <c r="A60" t="s">
        <v>76</v>
      </c>
      <c r="B60">
        <v>7.1946969999999997</v>
      </c>
      <c r="C60">
        <v>0.99509999999999998</v>
      </c>
      <c r="D60">
        <v>54.4</v>
      </c>
      <c r="E60" s="1576">
        <v>23.592054258827055</v>
      </c>
      <c r="F60" s="1576">
        <v>65</v>
      </c>
      <c r="G60" s="1576">
        <v>54.4</v>
      </c>
      <c r="H60" s="381">
        <v>34.299999999999997</v>
      </c>
      <c r="J60">
        <v>6.3633879999999996</v>
      </c>
      <c r="K60">
        <v>0.95650000000000002</v>
      </c>
      <c r="L60" s="1576"/>
      <c r="M60" s="381">
        <v>34.299999999999997</v>
      </c>
      <c r="N60">
        <v>23.7</v>
      </c>
      <c r="O60" s="1576">
        <v>41.6</v>
      </c>
      <c r="R60">
        <v>13.558084999999998</v>
      </c>
      <c r="S60">
        <v>0.97698337240841915</v>
      </c>
      <c r="T60" s="1576"/>
      <c r="U60">
        <v>28.758553055230166</v>
      </c>
      <c r="V60" s="1576">
        <v>65</v>
      </c>
    </row>
    <row r="61" spans="1:22" x14ac:dyDescent="0.25">
      <c r="A61" t="s">
        <v>4</v>
      </c>
      <c r="B61">
        <v>7.5987960000000001</v>
      </c>
      <c r="C61">
        <v>0.99719999999999998</v>
      </c>
      <c r="D61">
        <v>54.6</v>
      </c>
      <c r="E61" s="1576">
        <v>23.156540730776808</v>
      </c>
      <c r="F61" s="1576">
        <v>57</v>
      </c>
      <c r="G61" s="1576">
        <v>54.6</v>
      </c>
      <c r="H61" s="381">
        <v>34.6</v>
      </c>
      <c r="J61">
        <v>6.5931360000000003</v>
      </c>
      <c r="K61">
        <v>0.95789999999999997</v>
      </c>
      <c r="L61" s="1576"/>
      <c r="M61" s="381">
        <v>34.6</v>
      </c>
      <c r="N61">
        <v>23.6</v>
      </c>
      <c r="O61" s="1576">
        <v>41.4</v>
      </c>
      <c r="R61">
        <v>14.191932000000001</v>
      </c>
      <c r="S61">
        <v>0.9789424262743085</v>
      </c>
      <c r="T61" s="1576"/>
      <c r="U61">
        <v>28.519277592287217</v>
      </c>
      <c r="V61" s="1576">
        <v>57</v>
      </c>
    </row>
    <row r="62" spans="1:22" x14ac:dyDescent="0.25">
      <c r="A62" t="s">
        <v>5</v>
      </c>
      <c r="B62">
        <v>8.1482290000000006</v>
      </c>
      <c r="C62">
        <v>0.99739999999999995</v>
      </c>
      <c r="D62">
        <v>55</v>
      </c>
      <c r="E62" s="1576">
        <v>23.2</v>
      </c>
      <c r="F62" s="1576">
        <v>51</v>
      </c>
      <c r="G62" s="1576">
        <v>55</v>
      </c>
      <c r="H62" s="381">
        <v>34.700000000000003</v>
      </c>
      <c r="J62">
        <v>6.8260350000000001</v>
      </c>
      <c r="K62">
        <v>0.95850000000000002</v>
      </c>
      <c r="L62" s="1576"/>
      <c r="M62" s="381">
        <v>34.700000000000003</v>
      </c>
      <c r="N62">
        <v>23.5</v>
      </c>
      <c r="O62" s="1576">
        <v>41.9</v>
      </c>
      <c r="R62">
        <v>14.974264000000002</v>
      </c>
      <c r="S62">
        <v>0.97966739147246229</v>
      </c>
      <c r="T62" s="1576"/>
      <c r="U62">
        <v>28.305532532350167</v>
      </c>
      <c r="V62" s="1576">
        <v>51</v>
      </c>
    </row>
    <row r="63" spans="1:22" x14ac:dyDescent="0.25">
      <c r="A63" t="s">
        <v>6</v>
      </c>
      <c r="B63">
        <v>8.465757</v>
      </c>
      <c r="C63">
        <v>0.99760000000000004</v>
      </c>
      <c r="D63">
        <v>55.3</v>
      </c>
      <c r="E63" s="1576">
        <v>23.4</v>
      </c>
      <c r="F63" s="1576">
        <v>57</v>
      </c>
      <c r="G63" s="1576">
        <v>55.3</v>
      </c>
      <c r="H63" s="381">
        <v>34.4</v>
      </c>
      <c r="J63">
        <v>6.9513790000000002</v>
      </c>
      <c r="K63">
        <v>0.9607</v>
      </c>
      <c r="L63" s="1576"/>
      <c r="M63" s="381">
        <v>34.4</v>
      </c>
      <c r="N63">
        <v>23.2</v>
      </c>
      <c r="O63" s="1576">
        <v>42.1</v>
      </c>
      <c r="R63">
        <v>15.417135999999999</v>
      </c>
      <c r="S63">
        <v>0.98096228693189191</v>
      </c>
      <c r="T63" s="1576"/>
      <c r="U63">
        <v>28.44992916972387</v>
      </c>
      <c r="V63" s="1576">
        <v>57</v>
      </c>
    </row>
    <row r="64" spans="1:22" x14ac:dyDescent="0.25">
      <c r="A64" t="s">
        <v>572</v>
      </c>
      <c r="B64">
        <v>8.7550810000000006</v>
      </c>
      <c r="C64">
        <v>0.99775999999999998</v>
      </c>
      <c r="D64">
        <v>55.7</v>
      </c>
      <c r="E64" s="1576">
        <v>23.4</v>
      </c>
      <c r="F64" s="1576">
        <v>62</v>
      </c>
      <c r="G64" s="1576">
        <v>55.7</v>
      </c>
      <c r="H64" s="381">
        <v>34.6</v>
      </c>
      <c r="J64">
        <v>7.1093580000000003</v>
      </c>
      <c r="K64">
        <v>0.96050000000000002</v>
      </c>
      <c r="L64" s="1576"/>
      <c r="M64" s="381">
        <v>34.6</v>
      </c>
      <c r="N64">
        <v>23.4</v>
      </c>
      <c r="O64" s="1576">
        <v>42.2</v>
      </c>
      <c r="R64">
        <v>15.864439000000001</v>
      </c>
      <c r="S64">
        <v>0.98108468763377021</v>
      </c>
      <c r="T64" s="1576"/>
      <c r="U64">
        <v>28.508701366622546</v>
      </c>
      <c r="V64" s="1576">
        <v>62</v>
      </c>
    </row>
    <row r="65" spans="1:22" x14ac:dyDescent="0.25">
      <c r="A65" t="s">
        <v>573</v>
      </c>
      <c r="B65">
        <v>8.9471340000000001</v>
      </c>
      <c r="C65">
        <v>0.99783999999999995</v>
      </c>
      <c r="D65">
        <v>23.3</v>
      </c>
      <c r="E65" s="1576">
        <v>23.3</v>
      </c>
      <c r="F65" s="1576">
        <v>67</v>
      </c>
      <c r="G65" s="1576">
        <v>56</v>
      </c>
      <c r="H65" s="381">
        <v>34.799999999999997</v>
      </c>
      <c r="J65">
        <v>7.0542239999999996</v>
      </c>
      <c r="K65">
        <v>0.96120000000000005</v>
      </c>
      <c r="L65" s="1576"/>
      <c r="M65" s="381">
        <v>34.799999999999997</v>
      </c>
      <c r="N65">
        <v>23.4</v>
      </c>
      <c r="O65" s="1576">
        <v>42.7</v>
      </c>
      <c r="R65">
        <v>16.001358</v>
      </c>
      <c r="S65">
        <v>0.98166483207237798</v>
      </c>
      <c r="T65" s="1576"/>
      <c r="U65">
        <v>28.325708043029849</v>
      </c>
      <c r="V65" s="1576">
        <v>67</v>
      </c>
    </row>
    <row r="78" spans="1:22" x14ac:dyDescent="0.25">
      <c r="D78">
        <v>45.71</v>
      </c>
      <c r="E78">
        <v>45.71</v>
      </c>
    </row>
    <row r="79" spans="1:22" x14ac:dyDescent="0.25">
      <c r="D79">
        <v>45.76</v>
      </c>
      <c r="E79">
        <v>45.76</v>
      </c>
    </row>
    <row r="80" spans="1:22" x14ac:dyDescent="0.25">
      <c r="D80">
        <v>46.17</v>
      </c>
      <c r="E80">
        <v>46.17</v>
      </c>
    </row>
    <row r="81" spans="4:5" x14ac:dyDescent="0.25">
      <c r="D81">
        <v>46.3</v>
      </c>
      <c r="E81">
        <v>46.3</v>
      </c>
    </row>
    <row r="82" spans="4:5" x14ac:dyDescent="0.25">
      <c r="D82">
        <v>46.93</v>
      </c>
      <c r="E82">
        <v>46.93</v>
      </c>
    </row>
    <row r="83" spans="4:5" x14ac:dyDescent="0.25">
      <c r="D83">
        <v>47.9</v>
      </c>
      <c r="E83">
        <v>47.9</v>
      </c>
    </row>
    <row r="84" spans="4:5" x14ac:dyDescent="0.25">
      <c r="D84">
        <v>41.6</v>
      </c>
      <c r="E84">
        <v>53.6</v>
      </c>
    </row>
    <row r="85" spans="4:5" x14ac:dyDescent="0.25">
      <c r="D85">
        <v>41.6</v>
      </c>
      <c r="E85">
        <v>53.9</v>
      </c>
    </row>
    <row r="86" spans="4:5" x14ac:dyDescent="0.25">
      <c r="D86">
        <v>41.6</v>
      </c>
      <c r="E86">
        <v>54.4</v>
      </c>
    </row>
    <row r="87" spans="4:5" x14ac:dyDescent="0.25">
      <c r="D87">
        <v>41.4</v>
      </c>
      <c r="E87">
        <v>54.6</v>
      </c>
    </row>
    <row r="88" spans="4:5" x14ac:dyDescent="0.25">
      <c r="D88">
        <v>41.9</v>
      </c>
      <c r="E88">
        <v>55</v>
      </c>
    </row>
    <row r="89" spans="4:5" x14ac:dyDescent="0.25">
      <c r="D89">
        <v>42.1</v>
      </c>
      <c r="E89">
        <v>55.3</v>
      </c>
    </row>
    <row r="90" spans="4:5" x14ac:dyDescent="0.25">
      <c r="D90">
        <v>42.2</v>
      </c>
      <c r="E90">
        <v>55.7</v>
      </c>
    </row>
  </sheetData>
  <mergeCells count="2">
    <mergeCell ref="A24:A25"/>
    <mergeCell ref="A36:A37"/>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W331"/>
  <sheetViews>
    <sheetView showGridLines="0" showRowColHeaders="0" zoomScaleNormal="100" workbookViewId="0">
      <selection sqref="A1:B1"/>
    </sheetView>
  </sheetViews>
  <sheetFormatPr defaultRowHeight="15" x14ac:dyDescent="0.25"/>
  <cols>
    <col min="1" max="1" width="9.140625" style="1576"/>
    <col min="2" max="2" width="17.7109375" style="1576" customWidth="1"/>
    <col min="3" max="3" width="11.7109375" style="1576" customWidth="1"/>
    <col min="4" max="4" width="18.7109375" style="1576" customWidth="1"/>
    <col min="5" max="5" width="15.85546875" style="1576" customWidth="1"/>
    <col min="6" max="6" width="16.28515625" style="1576" customWidth="1"/>
    <col min="7" max="7" width="23.140625" style="1576" customWidth="1"/>
    <col min="8" max="8" width="15.85546875" style="1576" customWidth="1"/>
    <col min="9" max="9" width="30.7109375" style="1576" customWidth="1"/>
    <col min="10" max="10" width="15.7109375" style="1576" customWidth="1"/>
    <col min="11" max="11" width="26.28515625" style="1576" bestFit="1" customWidth="1"/>
    <col min="12" max="12" width="16.28515625" style="1576" bestFit="1" customWidth="1"/>
    <col min="13" max="13" width="22.5703125" style="1576" bestFit="1" customWidth="1"/>
    <col min="14" max="14" width="21.28515625" style="1576" bestFit="1" customWidth="1"/>
    <col min="15" max="15" width="22.28515625" style="1576" bestFit="1" customWidth="1"/>
    <col min="16" max="16384" width="9.140625" style="1576"/>
  </cols>
  <sheetData>
    <row r="1" spans="1:15" x14ac:dyDescent="0.25">
      <c r="A1" s="1898"/>
      <c r="B1" s="1898"/>
      <c r="D1" s="231"/>
      <c r="E1" s="231"/>
    </row>
    <row r="2" spans="1:15" x14ac:dyDescent="0.25">
      <c r="D2" s="231"/>
      <c r="E2" s="231"/>
    </row>
    <row r="3" spans="1:15" x14ac:dyDescent="0.25">
      <c r="D3" s="231"/>
      <c r="E3" s="231"/>
    </row>
    <row r="4" spans="1:15" ht="31.5" x14ac:dyDescent="0.5">
      <c r="A4" s="233"/>
      <c r="B4" s="1224" t="s">
        <v>731</v>
      </c>
      <c r="C4" s="658"/>
      <c r="D4" s="658"/>
      <c r="E4" s="658"/>
      <c r="F4" s="658"/>
      <c r="G4" s="658"/>
      <c r="H4" s="231"/>
    </row>
    <row r="5" spans="1:15" ht="23.25" customHeight="1" x14ac:dyDescent="0.25">
      <c r="A5" s="276"/>
      <c r="B5" s="627" t="s">
        <v>715</v>
      </c>
      <c r="C5" s="276"/>
      <c r="D5" s="276"/>
      <c r="E5" s="276"/>
      <c r="F5" s="276"/>
      <c r="G5" s="276"/>
      <c r="H5" s="276"/>
      <c r="I5" s="276"/>
      <c r="J5" s="276"/>
      <c r="K5" s="276"/>
      <c r="L5" s="276"/>
      <c r="M5" s="276"/>
      <c r="N5" s="276"/>
      <c r="O5" s="276"/>
    </row>
    <row r="6" spans="1:15" x14ac:dyDescent="0.25">
      <c r="A6" s="279"/>
      <c r="B6" s="723"/>
      <c r="C6" s="279"/>
      <c r="D6" s="279"/>
      <c r="E6" s="279"/>
      <c r="F6" s="1436"/>
      <c r="G6" s="276"/>
      <c r="H6" s="276"/>
      <c r="I6" s="276"/>
      <c r="J6" s="276"/>
      <c r="K6" s="276"/>
      <c r="L6" s="276"/>
      <c r="M6" s="276"/>
      <c r="N6" s="276"/>
      <c r="O6" s="276"/>
    </row>
    <row r="7" spans="1:15" x14ac:dyDescent="0.25">
      <c r="A7" s="276"/>
      <c r="B7" s="735"/>
      <c r="C7" s="276"/>
      <c r="D7" s="276"/>
      <c r="E7" s="276"/>
      <c r="F7" s="276"/>
      <c r="G7" s="276"/>
      <c r="H7" s="276"/>
      <c r="I7" s="276"/>
      <c r="J7" s="276"/>
      <c r="K7" s="276"/>
      <c r="L7" s="276"/>
      <c r="M7" s="276"/>
      <c r="N7" s="276"/>
      <c r="O7" s="276"/>
    </row>
    <row r="8" spans="1:15" ht="24.95" customHeight="1" x14ac:dyDescent="0.25">
      <c r="A8" s="709"/>
      <c r="B8" s="797"/>
      <c r="C8" s="709"/>
      <c r="D8" s="709"/>
      <c r="E8" s="709"/>
      <c r="F8" s="709"/>
      <c r="G8" s="709"/>
      <c r="H8" s="709"/>
      <c r="I8" s="709"/>
      <c r="J8" s="709"/>
      <c r="K8" s="709"/>
      <c r="L8" s="709"/>
      <c r="M8" s="276"/>
      <c r="N8" s="276"/>
      <c r="O8" s="276"/>
    </row>
    <row r="9" spans="1:15" ht="24.95" customHeight="1" x14ac:dyDescent="0.25">
      <c r="A9" s="709"/>
      <c r="B9" s="782"/>
      <c r="C9" s="1625" t="s">
        <v>595</v>
      </c>
      <c r="D9" s="708" t="s">
        <v>656</v>
      </c>
      <c r="E9" s="1625"/>
      <c r="F9" s="1522" t="s">
        <v>506</v>
      </c>
      <c r="G9" s="1522" t="s">
        <v>507</v>
      </c>
      <c r="H9" s="1474" t="s">
        <v>704</v>
      </c>
      <c r="I9" s="1522" t="s">
        <v>503</v>
      </c>
      <c r="J9" s="1636" t="s">
        <v>536</v>
      </c>
      <c r="K9" s="709"/>
      <c r="L9" s="709"/>
      <c r="M9" s="276"/>
      <c r="N9" s="276"/>
      <c r="O9" s="276"/>
    </row>
    <row r="10" spans="1:15" ht="24.95" customHeight="1" x14ac:dyDescent="0.25">
      <c r="A10" s="709"/>
      <c r="B10" s="1477" t="s">
        <v>657</v>
      </c>
      <c r="C10" s="1642">
        <f>C51</f>
        <v>82197237</v>
      </c>
      <c r="D10" s="1621">
        <f>C51/C50-1</f>
        <v>2.2300379284946104E-2</v>
      </c>
      <c r="E10" s="715">
        <f>D10</f>
        <v>2.2300379284946104E-2</v>
      </c>
      <c r="F10" s="1642">
        <f>MIN(C44:C51)</f>
        <v>52724302</v>
      </c>
      <c r="G10" s="1642">
        <f>MAX(C44:C51)</f>
        <v>82197237</v>
      </c>
      <c r="H10" s="1650">
        <f>C44/1000000</f>
        <v>52.724302000000002</v>
      </c>
      <c r="I10" s="1615"/>
      <c r="J10" s="836">
        <f>C51/1000000</f>
        <v>82.197237000000001</v>
      </c>
      <c r="K10" s="709"/>
      <c r="L10" s="709"/>
      <c r="M10" s="276"/>
      <c r="N10" s="276"/>
    </row>
    <row r="11" spans="1:15" ht="24.95" customHeight="1" x14ac:dyDescent="0.25">
      <c r="A11" s="709"/>
      <c r="B11" s="1477" t="s">
        <v>512</v>
      </c>
      <c r="C11" s="1642">
        <f>D51</f>
        <v>108</v>
      </c>
      <c r="D11" s="1621">
        <f>D51/D50-1</f>
        <v>2.857142857142847E-2</v>
      </c>
      <c r="E11" s="731">
        <f>D11</f>
        <v>2.857142857142847E-2</v>
      </c>
      <c r="F11" s="1620">
        <f>MIN(D44:D51)</f>
        <v>93</v>
      </c>
      <c r="G11" s="1620">
        <f>MAX(D44:D51)</f>
        <v>108</v>
      </c>
      <c r="H11" s="1650">
        <f>D44</f>
        <v>106</v>
      </c>
      <c r="I11" s="1615"/>
      <c r="J11" s="836">
        <f>D51</f>
        <v>108</v>
      </c>
      <c r="K11" s="709"/>
      <c r="L11" s="709"/>
      <c r="M11" s="276"/>
      <c r="N11" s="276"/>
    </row>
    <row r="12" spans="1:15" ht="24.95" customHeight="1" x14ac:dyDescent="0.25">
      <c r="A12" s="709"/>
      <c r="B12" s="1477" t="s">
        <v>738</v>
      </c>
      <c r="C12" s="1642">
        <f>E51</f>
        <v>5.3</v>
      </c>
      <c r="D12" s="1621">
        <f>E51/E50-1</f>
        <v>0</v>
      </c>
      <c r="E12" s="1876">
        <f>D12</f>
        <v>0</v>
      </c>
      <c r="F12" s="1620">
        <f>MIN(E44:E51)</f>
        <v>4.8</v>
      </c>
      <c r="G12" s="1620">
        <f>MAX(E44:E51)</f>
        <v>7.4</v>
      </c>
      <c r="H12" s="1637">
        <f>E44</f>
        <v>7.4</v>
      </c>
      <c r="I12" s="1615"/>
      <c r="J12" s="1508">
        <f>E51</f>
        <v>5.3</v>
      </c>
      <c r="K12" s="709"/>
      <c r="L12" s="709"/>
      <c r="M12" s="276"/>
      <c r="N12" s="276"/>
    </row>
    <row r="13" spans="1:15" ht="24.95" customHeight="1" x14ac:dyDescent="0.25">
      <c r="A13" s="709"/>
      <c r="B13" s="1477"/>
      <c r="C13" s="1620"/>
      <c r="D13" s="1621"/>
      <c r="E13" s="731"/>
      <c r="F13" s="1620"/>
      <c r="G13" s="1620"/>
      <c r="H13" s="1637"/>
      <c r="I13" s="1615"/>
      <c r="J13" s="1508"/>
      <c r="K13" s="709"/>
      <c r="L13" s="709"/>
      <c r="M13" s="276"/>
      <c r="N13" s="276"/>
    </row>
    <row r="14" spans="1:15" ht="24.95" customHeight="1" x14ac:dyDescent="0.25">
      <c r="A14" s="709"/>
      <c r="B14" s="1477" t="s">
        <v>791</v>
      </c>
      <c r="C14" s="1522" t="s">
        <v>595</v>
      </c>
      <c r="D14" s="708" t="s">
        <v>716</v>
      </c>
      <c r="E14" s="1624"/>
      <c r="F14" s="1624"/>
      <c r="G14" s="1624"/>
      <c r="H14" s="1626" t="s">
        <v>858</v>
      </c>
      <c r="I14" s="1624" t="s">
        <v>503</v>
      </c>
      <c r="J14" s="1723" t="s">
        <v>730</v>
      </c>
      <c r="K14" s="709"/>
      <c r="L14" s="709"/>
      <c r="M14" s="276"/>
      <c r="N14" s="276"/>
    </row>
    <row r="15" spans="1:15" ht="24.95" customHeight="1" x14ac:dyDescent="0.25">
      <c r="A15" s="709"/>
      <c r="B15" s="1477" t="s">
        <v>159</v>
      </c>
      <c r="C15" s="713">
        <f>G51</f>
        <v>2.23E-2</v>
      </c>
      <c r="D15" s="1621">
        <f>I51</f>
        <v>1.7894045728687769</v>
      </c>
      <c r="E15" s="731">
        <f>D15</f>
        <v>1.7894045728687769</v>
      </c>
      <c r="F15" s="1621"/>
      <c r="G15" s="1621"/>
      <c r="H15" s="1638">
        <f>G40</f>
        <v>4.4351077834433816E-2</v>
      </c>
      <c r="I15" s="1615"/>
      <c r="J15" s="1509">
        <f>G51</f>
        <v>2.23E-2</v>
      </c>
      <c r="K15" s="709"/>
      <c r="L15" s="709"/>
      <c r="M15" s="276"/>
      <c r="N15" s="276"/>
    </row>
    <row r="16" spans="1:15" ht="24.95" customHeight="1" x14ac:dyDescent="0.25">
      <c r="A16" s="709"/>
      <c r="B16" s="1477" t="s">
        <v>737</v>
      </c>
      <c r="C16" s="713">
        <f>H51</f>
        <v>2.2100000000000002E-2</v>
      </c>
      <c r="D16" s="1621">
        <f>J51</f>
        <v>1.7956188115503395</v>
      </c>
      <c r="E16" s="731">
        <f>D16</f>
        <v>1.7956188115503395</v>
      </c>
      <c r="F16" s="1621"/>
      <c r="G16" s="1621"/>
      <c r="H16" s="1806">
        <f>H40</f>
        <v>4.4358496770696254E-2</v>
      </c>
      <c r="I16" s="1615"/>
      <c r="J16" s="1807">
        <f>H51</f>
        <v>2.2100000000000002E-2</v>
      </c>
      <c r="K16" s="709"/>
      <c r="L16" s="709"/>
      <c r="M16" s="276"/>
      <c r="N16" s="276"/>
    </row>
    <row r="17" spans="1:23" ht="24.95" customHeight="1" x14ac:dyDescent="0.25">
      <c r="A17" s="709"/>
      <c r="B17" s="782"/>
      <c r="C17" s="1623"/>
      <c r="D17" s="1524"/>
      <c r="E17" s="1623"/>
      <c r="F17" s="1640"/>
      <c r="G17" s="1640"/>
      <c r="H17" s="1510"/>
      <c r="I17" s="1513"/>
      <c r="J17" s="1513"/>
      <c r="K17" s="709"/>
      <c r="L17" s="709"/>
      <c r="M17" s="276"/>
      <c r="N17" s="276"/>
      <c r="O17" s="276"/>
    </row>
    <row r="18" spans="1:23" ht="24.95" customHeight="1" x14ac:dyDescent="0.25">
      <c r="A18" s="1641" t="b">
        <v>1</v>
      </c>
      <c r="B18" s="1625"/>
      <c r="C18" s="709"/>
      <c r="D18" s="709"/>
      <c r="E18" s="709"/>
      <c r="F18" s="709"/>
      <c r="G18" s="709"/>
      <c r="H18" s="709"/>
      <c r="I18" s="709"/>
      <c r="J18" s="709"/>
      <c r="K18" s="709"/>
      <c r="L18" s="709"/>
      <c r="M18" s="276"/>
      <c r="N18" s="276"/>
      <c r="O18" s="276"/>
    </row>
    <row r="19" spans="1:23" ht="24.95" customHeight="1" x14ac:dyDescent="0.25">
      <c r="A19" s="383"/>
      <c r="B19" s="276"/>
      <c r="C19" s="276"/>
      <c r="D19" s="276"/>
      <c r="E19" s="1312"/>
      <c r="F19" s="276"/>
      <c r="G19" s="276"/>
      <c r="H19" s="276"/>
      <c r="I19" s="276"/>
      <c r="J19" s="276"/>
      <c r="K19" s="276"/>
      <c r="L19" s="276"/>
      <c r="M19" s="276"/>
      <c r="N19" s="276"/>
      <c r="O19" s="276"/>
    </row>
    <row r="20" spans="1:23" ht="26.25" x14ac:dyDescent="0.25">
      <c r="A20" s="276"/>
      <c r="B20" s="1525"/>
      <c r="C20" s="1327" t="str">
        <f>IF($A$18=TRUE,C37,"")</f>
        <v xml:space="preserve">Volume of activity </v>
      </c>
      <c r="D20" s="1327" t="str">
        <f>IF($A$18=TRUE,D37,"")</f>
        <v>Average cost</v>
      </c>
      <c r="E20" s="1327" t="str">
        <f>IF($A$18=TRUE,E37,"")</f>
        <v>Waiting time</v>
      </c>
      <c r="F20" s="1645"/>
      <c r="G20" s="1643" t="str">
        <f t="shared" ref="G20:H20" si="0">IF($A$18=TRUE,G37,"")</f>
        <v>Output growth</v>
      </c>
      <c r="H20" s="1643" t="str">
        <f t="shared" si="0"/>
        <v>QA Output growth</v>
      </c>
      <c r="I20" s="1800" t="str">
        <f>IF($A$18=TRUE,I37,"")</f>
        <v>Output index</v>
      </c>
      <c r="J20" s="1800" t="str">
        <f t="shared" ref="J20:K20" si="1">IF($A$18=TRUE,J37,"")</f>
        <v>QA Output index</v>
      </c>
      <c r="K20" s="1800">
        <f t="shared" si="1"/>
        <v>0</v>
      </c>
      <c r="L20" s="627"/>
      <c r="M20" s="627" t="str">
        <f t="shared" ref="M20:S20" si="2">IF(J18=TRUE,M38,"")</f>
        <v/>
      </c>
      <c r="N20" s="627" t="str">
        <f t="shared" si="2"/>
        <v/>
      </c>
      <c r="O20" s="627" t="str">
        <f t="shared" si="2"/>
        <v/>
      </c>
      <c r="P20" s="627" t="str">
        <f t="shared" si="2"/>
        <v/>
      </c>
      <c r="Q20" s="627" t="str">
        <f t="shared" si="2"/>
        <v/>
      </c>
      <c r="R20" s="627" t="str">
        <f t="shared" si="2"/>
        <v/>
      </c>
      <c r="S20" s="627" t="str">
        <f t="shared" si="2"/>
        <v/>
      </c>
    </row>
    <row r="21" spans="1:23" x14ac:dyDescent="0.25">
      <c r="A21" s="276"/>
      <c r="B21" s="627" t="str">
        <f t="shared" ref="B21:B34" si="3">IF($A$18=TRUE,B38,"")</f>
        <v>1998/99</v>
      </c>
      <c r="C21" s="1644" t="str">
        <f t="shared" ref="C21:D34" si="4">IF($A$18=TRUE,C38,"")</f>
        <v>N/A</v>
      </c>
      <c r="D21" s="1644" t="str">
        <f t="shared" si="4"/>
        <v>N/A</v>
      </c>
      <c r="E21" s="1644" t="str">
        <f t="shared" ref="E21" si="5">IF($A$18=TRUE,E38,"")</f>
        <v>N/A</v>
      </c>
      <c r="F21" s="1645"/>
      <c r="G21" s="1645"/>
      <c r="H21" s="1645"/>
      <c r="I21" s="1800"/>
      <c r="J21" s="1800"/>
      <c r="K21" s="1800">
        <f t="shared" ref="K21" si="6">IF($A$18=TRUE,K38,"")</f>
        <v>0</v>
      </c>
      <c r="L21" s="627"/>
      <c r="M21" s="627"/>
      <c r="N21" s="627"/>
      <c r="O21" s="627"/>
      <c r="P21" s="627"/>
      <c r="Q21" s="627"/>
      <c r="R21" s="627"/>
      <c r="S21" s="627"/>
    </row>
    <row r="22" spans="1:23" x14ac:dyDescent="0.25">
      <c r="A22" s="276"/>
      <c r="B22" s="1649" t="str">
        <f t="shared" si="3"/>
        <v>1999/00</v>
      </c>
      <c r="C22" s="1644" t="str">
        <f t="shared" si="4"/>
        <v>N/A</v>
      </c>
      <c r="D22" s="1644" t="str">
        <f t="shared" si="4"/>
        <v>N/A</v>
      </c>
      <c r="E22" s="1644" t="str">
        <f t="shared" ref="E22" si="7">IF($A$18=TRUE,E39,"")</f>
        <v>N/A</v>
      </c>
      <c r="F22" s="1643" t="str">
        <f t="shared" ref="F22:K22" si="8">IF($A$18=TRUE,F39,"")</f>
        <v>1998/99 -1999/00</v>
      </c>
      <c r="G22" s="632" t="str">
        <f t="shared" si="8"/>
        <v>N/A</v>
      </c>
      <c r="H22" s="632" t="str">
        <f t="shared" si="8"/>
        <v>N/A</v>
      </c>
      <c r="I22" s="1800">
        <f t="shared" si="8"/>
        <v>1</v>
      </c>
      <c r="J22" s="1800">
        <f t="shared" si="8"/>
        <v>1</v>
      </c>
      <c r="K22" s="1800">
        <f t="shared" si="8"/>
        <v>0</v>
      </c>
      <c r="L22" s="627"/>
      <c r="M22" s="627"/>
      <c r="N22" s="627"/>
      <c r="O22" s="627"/>
      <c r="P22" s="627"/>
      <c r="Q22" s="627"/>
      <c r="R22" s="627"/>
      <c r="S22" s="627"/>
    </row>
    <row r="23" spans="1:23" x14ac:dyDescent="0.25">
      <c r="A23" s="276"/>
      <c r="B23" s="1649" t="str">
        <f t="shared" si="3"/>
        <v>2000/01</v>
      </c>
      <c r="C23" s="1644" t="str">
        <f t="shared" si="4"/>
        <v>N/A</v>
      </c>
      <c r="D23" s="1644" t="str">
        <f t="shared" si="4"/>
        <v>N/A</v>
      </c>
      <c r="E23" s="1644" t="str">
        <f t="shared" ref="E23" si="9">IF($A$18=TRUE,E40,"")</f>
        <v>N/A</v>
      </c>
      <c r="F23" s="1643" t="str">
        <f>IF($A$18=TRUE,F40,"")</f>
        <v>1999/00 -2000/01</v>
      </c>
      <c r="G23" s="632">
        <f>IF($A$18=TRUE,G40,"")</f>
        <v>4.4351077834433816E-2</v>
      </c>
      <c r="H23" s="632">
        <f t="shared" ref="H23:H34" si="10">IF($A$18=TRUE,H40,"")</f>
        <v>4.4358496770696254E-2</v>
      </c>
      <c r="I23" s="1801">
        <f t="shared" ref="I23:K34" si="11">IF($A$18=TRUE,I40,"")</f>
        <v>1.0443510778344338</v>
      </c>
      <c r="J23" s="1801">
        <f t="shared" si="11"/>
        <v>1.0443584967706963</v>
      </c>
      <c r="K23" s="1800">
        <f t="shared" si="11"/>
        <v>0</v>
      </c>
      <c r="L23" s="627"/>
      <c r="M23" s="627"/>
      <c r="N23" s="627"/>
      <c r="O23" s="627"/>
      <c r="P23" s="627"/>
      <c r="Q23" s="627"/>
      <c r="R23" s="627"/>
      <c r="S23" s="627"/>
    </row>
    <row r="24" spans="1:23" x14ac:dyDescent="0.25">
      <c r="A24" s="276"/>
      <c r="B24" s="1649" t="str">
        <f t="shared" si="3"/>
        <v>2001/02</v>
      </c>
      <c r="C24" s="1644" t="str">
        <f t="shared" si="4"/>
        <v>N/A</v>
      </c>
      <c r="D24" s="1644" t="str">
        <f t="shared" si="4"/>
        <v>N/A</v>
      </c>
      <c r="E24" s="1644" t="str">
        <f t="shared" ref="E24" si="12">IF($A$18=TRUE,E41,"")</f>
        <v>N/A</v>
      </c>
      <c r="F24" s="1643" t="str">
        <f>IF($A$18=TRUE,F41,"")</f>
        <v>2000/01 - 2001/02</v>
      </c>
      <c r="G24" s="632">
        <f>IF($A$18=TRUE,G41,"")</f>
        <v>3.3493659153591704E-2</v>
      </c>
      <c r="H24" s="632">
        <f t="shared" si="10"/>
        <v>3.348752506549002E-2</v>
      </c>
      <c r="I24" s="1801">
        <f t="shared" si="11"/>
        <v>1.0793302168721064</v>
      </c>
      <c r="J24" s="1801">
        <f t="shared" si="11"/>
        <v>1.0793314781086625</v>
      </c>
      <c r="K24" s="1800">
        <f t="shared" si="11"/>
        <v>0</v>
      </c>
      <c r="L24" s="627"/>
      <c r="M24" s="627"/>
      <c r="N24" s="627"/>
      <c r="O24" s="627"/>
      <c r="P24" s="627"/>
      <c r="Q24" s="627"/>
      <c r="R24" s="627"/>
      <c r="S24" s="627"/>
    </row>
    <row r="25" spans="1:23" x14ac:dyDescent="0.25">
      <c r="A25" s="276"/>
      <c r="B25" s="1649" t="str">
        <f t="shared" si="3"/>
        <v>2002/03</v>
      </c>
      <c r="C25" s="1518" t="str">
        <f t="shared" si="4"/>
        <v>N/A</v>
      </c>
      <c r="D25" s="1518" t="str">
        <f t="shared" si="4"/>
        <v>N/A</v>
      </c>
      <c r="E25" s="1518" t="str">
        <f t="shared" ref="E25" si="13">IF($A$18=TRUE,E42,"")</f>
        <v>N/A</v>
      </c>
      <c r="F25" s="1643" t="str">
        <f t="shared" ref="F25:F34" si="14">IF($A$18=TRUE,F42,"")</f>
        <v>2001/02 - 2002/03</v>
      </c>
      <c r="G25" s="632">
        <f t="shared" ref="G25:G34" si="15">IF($A$18=TRUE,G42,"")</f>
        <v>4.6780000000000002E-2</v>
      </c>
      <c r="H25" s="632">
        <f t="shared" si="10"/>
        <v>4.6292192056288872E-2</v>
      </c>
      <c r="I25" s="1801">
        <f t="shared" si="11"/>
        <v>1.1298212844173836</v>
      </c>
      <c r="J25" s="1801">
        <f t="shared" si="11"/>
        <v>1.1292960981856668</v>
      </c>
      <c r="K25" s="1800">
        <f t="shared" si="11"/>
        <v>0</v>
      </c>
      <c r="L25" s="627"/>
      <c r="M25" s="627"/>
      <c r="N25" s="627"/>
      <c r="O25" s="627"/>
      <c r="P25" s="627"/>
      <c r="Q25" s="627"/>
      <c r="R25" s="627"/>
      <c r="S25" s="627"/>
    </row>
    <row r="26" spans="1:23" x14ac:dyDescent="0.25">
      <c r="A26" s="276"/>
      <c r="B26" s="1649" t="str">
        <f t="shared" si="3"/>
        <v>2003/04</v>
      </c>
      <c r="C26" s="1518" t="str">
        <f t="shared" si="4"/>
        <v>N/A</v>
      </c>
      <c r="D26" s="1518" t="str">
        <f t="shared" si="4"/>
        <v>N/A</v>
      </c>
      <c r="E26" s="1518" t="str">
        <f t="shared" ref="E26" si="16">IF($A$18=TRUE,E43,"")</f>
        <v>N/A</v>
      </c>
      <c r="F26" s="1643" t="str">
        <f t="shared" si="14"/>
        <v>2002/03 -2003/04</v>
      </c>
      <c r="G26" s="632">
        <f t="shared" si="15"/>
        <v>5.4829999999999997E-2</v>
      </c>
      <c r="H26" s="632">
        <f t="shared" si="10"/>
        <v>5.4855078069479202E-2</v>
      </c>
      <c r="I26" s="1801">
        <f t="shared" si="11"/>
        <v>1.1917693854419886</v>
      </c>
      <c r="J26" s="1801">
        <f t="shared" si="11"/>
        <v>1.1912437238151998</v>
      </c>
      <c r="K26" s="1800">
        <f t="shared" si="11"/>
        <v>0</v>
      </c>
      <c r="L26" s="627"/>
      <c r="M26" s="627"/>
      <c r="N26" s="627"/>
      <c r="O26" s="627"/>
      <c r="P26" s="627"/>
      <c r="Q26" s="627"/>
      <c r="R26" s="627"/>
      <c r="S26" s="627"/>
    </row>
    <row r="27" spans="1:23" x14ac:dyDescent="0.25">
      <c r="A27" s="593"/>
      <c r="B27" s="1651" t="str">
        <f t="shared" si="3"/>
        <v>2004/05</v>
      </c>
      <c r="C27" s="1676">
        <f t="shared" si="4"/>
        <v>52724302</v>
      </c>
      <c r="D27" s="1644">
        <f t="shared" si="4"/>
        <v>106</v>
      </c>
      <c r="E27" s="1644">
        <f t="shared" ref="E27" si="17">IF($A$18=TRUE,E44,"")</f>
        <v>7.4</v>
      </c>
      <c r="F27" s="1643" t="str">
        <f t="shared" si="14"/>
        <v>2003/04 -2004/05</v>
      </c>
      <c r="G27" s="632">
        <f t="shared" si="15"/>
        <v>0.1014</v>
      </c>
      <c r="H27" s="632">
        <f t="shared" si="10"/>
        <v>0.10228616433299975</v>
      </c>
      <c r="I27" s="1801">
        <f t="shared" si="11"/>
        <v>1.3126148011258061</v>
      </c>
      <c r="J27" s="1801">
        <f t="shared" si="11"/>
        <v>1.313091475110016</v>
      </c>
      <c r="K27" s="1800">
        <f t="shared" si="11"/>
        <v>0</v>
      </c>
      <c r="L27" s="627"/>
      <c r="M27" s="627"/>
      <c r="N27" s="627"/>
      <c r="O27" s="627"/>
      <c r="P27" s="627"/>
      <c r="Q27" s="627"/>
      <c r="R27" s="627"/>
      <c r="S27" s="627"/>
    </row>
    <row r="28" spans="1:23" x14ac:dyDescent="0.25">
      <c r="A28" s="593"/>
      <c r="B28" s="1651" t="str">
        <f t="shared" si="3"/>
        <v>2005/06</v>
      </c>
      <c r="C28" s="1676">
        <f t="shared" si="4"/>
        <v>60541477</v>
      </c>
      <c r="D28" s="1644">
        <f t="shared" si="4"/>
        <v>103</v>
      </c>
      <c r="E28" s="1644">
        <f t="shared" ref="E28" si="18">IF($A$18=TRUE,E45,"")</f>
        <v>6.5</v>
      </c>
      <c r="F28" s="1643" t="str">
        <f t="shared" si="14"/>
        <v>2004/05 - 2005/06</v>
      </c>
      <c r="G28" s="632">
        <f t="shared" si="15"/>
        <v>9.8719895811427483E-2</v>
      </c>
      <c r="H28" s="632">
        <f t="shared" si="10"/>
        <v>9.955852290494005E-2</v>
      </c>
      <c r="I28" s="1801">
        <f t="shared" si="11"/>
        <v>1.4421959975334833</v>
      </c>
      <c r="J28" s="1801">
        <f t="shared" si="11"/>
        <v>1.4438209228110381</v>
      </c>
      <c r="K28" s="1800">
        <f t="shared" si="11"/>
        <v>0</v>
      </c>
      <c r="L28" s="593"/>
      <c r="M28" s="593"/>
      <c r="N28" s="593"/>
      <c r="O28" s="593"/>
      <c r="P28" s="593"/>
      <c r="Q28" s="593"/>
      <c r="R28" s="296"/>
      <c r="S28" s="296"/>
      <c r="T28" s="296"/>
      <c r="U28" s="296"/>
      <c r="V28" s="296"/>
      <c r="W28" s="296"/>
    </row>
    <row r="29" spans="1:23" x14ac:dyDescent="0.25">
      <c r="A29" s="593"/>
      <c r="B29" s="1651" t="str">
        <f t="shared" si="3"/>
        <v>2006/07</v>
      </c>
      <c r="C29" s="1676">
        <f t="shared" si="4"/>
        <v>63453507</v>
      </c>
      <c r="D29" s="1644">
        <f t="shared" si="4"/>
        <v>93</v>
      </c>
      <c r="E29" s="1644">
        <f t="shared" ref="E29" si="19">IF($A$18=TRUE,E46,"")</f>
        <v>5.9</v>
      </c>
      <c r="F29" s="1643" t="str">
        <f t="shared" si="14"/>
        <v>2005/06 - 2006/07</v>
      </c>
      <c r="G29" s="632">
        <f t="shared" si="15"/>
        <v>-6.8552823741646063E-2</v>
      </c>
      <c r="H29" s="632">
        <f t="shared" si="10"/>
        <v>-6.8132104071234045E-2</v>
      </c>
      <c r="I29" s="1801">
        <f t="shared" si="11"/>
        <v>1.3433293895136629</v>
      </c>
      <c r="J29" s="1801">
        <f t="shared" si="11"/>
        <v>1.3454503654378513</v>
      </c>
      <c r="K29" s="1800">
        <f t="shared" si="11"/>
        <v>0</v>
      </c>
      <c r="L29" s="593"/>
      <c r="M29" s="593"/>
      <c r="N29" s="593"/>
      <c r="O29" s="593"/>
      <c r="P29" s="593"/>
      <c r="Q29" s="593"/>
      <c r="R29" s="296"/>
      <c r="S29" s="296"/>
      <c r="T29" s="296"/>
      <c r="U29" s="296"/>
      <c r="V29" s="296"/>
      <c r="W29" s="296"/>
    </row>
    <row r="30" spans="1:23" x14ac:dyDescent="0.25">
      <c r="A30" s="593"/>
      <c r="B30" s="653" t="str">
        <f t="shared" si="3"/>
        <v>2007/08</v>
      </c>
      <c r="C30" s="1676">
        <f t="shared" si="4"/>
        <v>69678564</v>
      </c>
      <c r="D30" s="1644">
        <f t="shared" si="4"/>
        <v>94</v>
      </c>
      <c r="E30" s="1644">
        <f t="shared" ref="E30" si="20">IF($A$18=TRUE,E47,"")</f>
        <v>5.3</v>
      </c>
      <c r="F30" s="1643" t="str">
        <f t="shared" si="14"/>
        <v>2006/07 - 2007/08</v>
      </c>
      <c r="G30" s="632">
        <f t="shared" si="15"/>
        <v>8.1592493501527752E-2</v>
      </c>
      <c r="H30" s="632">
        <f t="shared" si="10"/>
        <v>8.4054458452162528E-2</v>
      </c>
      <c r="I30" s="1801">
        <f t="shared" si="11"/>
        <v>1.4529349839979677</v>
      </c>
      <c r="J30" s="1801">
        <f t="shared" si="11"/>
        <v>1.458541467278994</v>
      </c>
      <c r="K30" s="1800">
        <f t="shared" si="11"/>
        <v>0</v>
      </c>
      <c r="L30" s="593"/>
      <c r="M30" s="593"/>
      <c r="N30" s="593"/>
      <c r="O30" s="593"/>
      <c r="P30" s="593"/>
      <c r="Q30" s="593"/>
      <c r="R30" s="296"/>
      <c r="S30" s="296"/>
      <c r="T30" s="296"/>
      <c r="U30" s="296"/>
      <c r="V30" s="296"/>
      <c r="W30" s="296"/>
    </row>
    <row r="31" spans="1:23" x14ac:dyDescent="0.25">
      <c r="A31" s="593"/>
      <c r="B31" s="653" t="str">
        <f t="shared" si="3"/>
        <v>2008/09</v>
      </c>
      <c r="C31" s="1676">
        <f t="shared" si="4"/>
        <v>74421017</v>
      </c>
      <c r="D31" s="1644">
        <f t="shared" si="4"/>
        <v>98</v>
      </c>
      <c r="E31" s="1644">
        <f t="shared" ref="E31" si="21">IF($A$18=TRUE,E48,"")</f>
        <v>4.8</v>
      </c>
      <c r="F31" s="1643" t="str">
        <f t="shared" si="14"/>
        <v>2007/08 - 2008/09</v>
      </c>
      <c r="G31" s="632">
        <f t="shared" si="15"/>
        <v>7.2870800000000013E-2</v>
      </c>
      <c r="H31" s="632">
        <f t="shared" si="10"/>
        <v>7.2870800000000013E-2</v>
      </c>
      <c r="I31" s="1801">
        <f t="shared" si="11"/>
        <v>1.5588115186298868</v>
      </c>
      <c r="J31" s="1801">
        <f t="shared" si="11"/>
        <v>1.5648265508327881</v>
      </c>
      <c r="K31" s="1800">
        <f t="shared" si="11"/>
        <v>0</v>
      </c>
      <c r="L31" s="593"/>
      <c r="M31" s="593"/>
      <c r="N31" s="593"/>
      <c r="O31" s="593"/>
      <c r="P31" s="593"/>
      <c r="Q31" s="593"/>
      <c r="R31" s="296"/>
      <c r="S31" s="296"/>
      <c r="T31" s="296"/>
      <c r="U31" s="296"/>
      <c r="V31" s="296"/>
      <c r="W31" s="296"/>
    </row>
    <row r="32" spans="1:23" x14ac:dyDescent="0.25">
      <c r="A32" s="593"/>
      <c r="B32" s="653" t="str">
        <f t="shared" si="3"/>
        <v>2009/10</v>
      </c>
      <c r="C32" s="1676">
        <f t="shared" si="4"/>
        <v>76761100</v>
      </c>
      <c r="D32" s="1644">
        <f t="shared" si="4"/>
        <v>99</v>
      </c>
      <c r="E32" s="1644">
        <f t="shared" ref="E32" si="22">IF($A$18=TRUE,E49,"")</f>
        <v>5.0999999999999996</v>
      </c>
      <c r="F32" s="1643" t="str">
        <f t="shared" si="14"/>
        <v>2008/09 -2009/10</v>
      </c>
      <c r="G32" s="632">
        <f t="shared" si="15"/>
        <v>9.7930199999999967E-2</v>
      </c>
      <c r="H32" s="632">
        <f t="shared" si="10"/>
        <v>9.7830200000000006E-2</v>
      </c>
      <c r="I32" s="1801">
        <f t="shared" si="11"/>
        <v>1.7114662424116152</v>
      </c>
      <c r="J32" s="1801">
        <f t="shared" si="11"/>
        <v>1.7179138452660698</v>
      </c>
      <c r="K32" s="1800">
        <f t="shared" si="11"/>
        <v>0</v>
      </c>
      <c r="L32" s="593"/>
      <c r="M32" s="593"/>
      <c r="N32" s="593"/>
      <c r="O32" s="593"/>
      <c r="P32" s="593"/>
      <c r="Q32" s="593"/>
      <c r="R32" s="296"/>
      <c r="S32" s="296"/>
      <c r="T32" s="296"/>
      <c r="U32" s="296"/>
      <c r="V32" s="296"/>
      <c r="W32" s="296"/>
    </row>
    <row r="33" spans="1:23" x14ac:dyDescent="0.25">
      <c r="A33" s="593"/>
      <c r="B33" s="653" t="str">
        <f t="shared" si="3"/>
        <v>2010/11</v>
      </c>
      <c r="C33" s="1676">
        <f t="shared" si="4"/>
        <v>80404193</v>
      </c>
      <c r="D33" s="1644">
        <f t="shared" si="4"/>
        <v>105</v>
      </c>
      <c r="E33" s="1644">
        <f t="shared" ref="E33" si="23">IF($A$18=TRUE,E50,"")</f>
        <v>5.3</v>
      </c>
      <c r="F33" s="1643" t="str">
        <f t="shared" si="14"/>
        <v>2009/10 - 2010/11</v>
      </c>
      <c r="G33" s="632">
        <f t="shared" si="15"/>
        <v>2.2731999999999974E-2</v>
      </c>
      <c r="H33" s="632">
        <f t="shared" si="10"/>
        <v>2.2631999999999999E-2</v>
      </c>
      <c r="I33" s="1801">
        <f t="shared" si="11"/>
        <v>1.750371293034116</v>
      </c>
      <c r="J33" s="1801">
        <f t="shared" si="11"/>
        <v>1.7567936714121315</v>
      </c>
      <c r="K33" s="1800">
        <f t="shared" si="11"/>
        <v>0</v>
      </c>
      <c r="L33" s="593"/>
      <c r="M33" s="593"/>
      <c r="N33" s="593"/>
      <c r="O33" s="593"/>
      <c r="P33" s="593"/>
      <c r="Q33" s="593"/>
      <c r="R33" s="296"/>
      <c r="S33" s="296"/>
      <c r="T33" s="296"/>
      <c r="U33" s="296"/>
      <c r="V33" s="296"/>
      <c r="W33" s="296"/>
    </row>
    <row r="34" spans="1:23" x14ac:dyDescent="0.25">
      <c r="A34" s="593"/>
      <c r="B34" s="653" t="str">
        <f t="shared" si="3"/>
        <v>2011/12</v>
      </c>
      <c r="C34" s="1676">
        <f t="shared" si="4"/>
        <v>82197237</v>
      </c>
      <c r="D34" s="1644">
        <f t="shared" si="4"/>
        <v>108</v>
      </c>
      <c r="E34" s="1644">
        <f t="shared" ref="E34" si="24">IF($A$18=TRUE,E51,"")</f>
        <v>5.3</v>
      </c>
      <c r="F34" s="1643" t="str">
        <f t="shared" si="14"/>
        <v>2010/11 - 2011/12</v>
      </c>
      <c r="G34" s="632">
        <f t="shared" si="15"/>
        <v>2.23E-2</v>
      </c>
      <c r="H34" s="632">
        <f t="shared" si="10"/>
        <v>2.2100000000000002E-2</v>
      </c>
      <c r="I34" s="1801">
        <f t="shared" si="11"/>
        <v>1.7894045728687769</v>
      </c>
      <c r="J34" s="1801">
        <f t="shared" si="11"/>
        <v>1.7956188115503395</v>
      </c>
      <c r="K34" s="1800">
        <f t="shared" si="11"/>
        <v>0</v>
      </c>
      <c r="L34" s="1632"/>
      <c r="M34" s="593"/>
      <c r="N34" s="593"/>
      <c r="O34" s="593"/>
      <c r="P34" s="593"/>
      <c r="Q34" s="593"/>
      <c r="R34" s="296"/>
      <c r="S34" s="296"/>
      <c r="T34" s="296"/>
      <c r="U34" s="296"/>
      <c r="V34" s="296"/>
      <c r="W34" s="296"/>
    </row>
    <row r="35" spans="1:23" x14ac:dyDescent="0.25">
      <c r="A35" s="567"/>
      <c r="B35" s="1521"/>
      <c r="C35" s="1519"/>
      <c r="D35" s="1350"/>
      <c r="E35" s="1351"/>
      <c r="F35" s="1665"/>
      <c r="G35" s="1666"/>
      <c r="H35" s="1667"/>
      <c r="I35" s="1521"/>
      <c r="J35" s="379"/>
      <c r="K35" s="380"/>
      <c r="L35" s="380"/>
      <c r="M35" s="380"/>
      <c r="N35" s="380"/>
      <c r="O35" s="380"/>
      <c r="P35" s="376"/>
      <c r="Q35" s="376"/>
      <c r="R35" s="376"/>
      <c r="S35" s="376"/>
      <c r="T35" s="376"/>
      <c r="U35" s="376"/>
    </row>
    <row r="36" spans="1:23" x14ac:dyDescent="0.25">
      <c r="A36" s="567"/>
      <c r="B36" s="585"/>
      <c r="C36" s="648"/>
      <c r="D36" s="743"/>
      <c r="E36" s="1355"/>
      <c r="F36" s="1355"/>
      <c r="G36" s="1355"/>
      <c r="H36" s="585"/>
      <c r="I36" s="585"/>
      <c r="J36" s="567"/>
      <c r="K36" s="567"/>
      <c r="L36" s="567"/>
      <c r="M36" s="567"/>
      <c r="N36" s="567"/>
      <c r="O36" s="567"/>
      <c r="P36" s="396"/>
      <c r="Q36" s="378"/>
      <c r="R36" s="378"/>
      <c r="S36" s="376"/>
      <c r="T36" s="376"/>
      <c r="U36" s="376"/>
      <c r="V36" s="376"/>
      <c r="W36" s="376"/>
    </row>
    <row r="37" spans="1:23" x14ac:dyDescent="0.25">
      <c r="A37" s="567"/>
      <c r="B37" s="1324"/>
      <c r="C37" s="1324" t="s">
        <v>634</v>
      </c>
      <c r="D37" s="1324" t="s">
        <v>512</v>
      </c>
      <c r="E37" s="1324" t="s">
        <v>735</v>
      </c>
      <c r="F37" s="1324"/>
      <c r="G37" s="1355" t="s">
        <v>159</v>
      </c>
      <c r="H37" s="1355" t="s">
        <v>737</v>
      </c>
      <c r="I37" s="585" t="s">
        <v>160</v>
      </c>
      <c r="J37" s="585" t="s">
        <v>859</v>
      </c>
      <c r="K37" s="567"/>
      <c r="L37" s="567"/>
      <c r="M37" s="567"/>
      <c r="N37" s="567"/>
      <c r="O37" s="567"/>
      <c r="P37" s="567"/>
      <c r="Q37" s="378"/>
      <c r="R37" s="378"/>
      <c r="S37" s="378"/>
      <c r="T37" s="376"/>
      <c r="U37" s="376"/>
      <c r="V37" s="376"/>
      <c r="W37" s="376"/>
    </row>
    <row r="38" spans="1:23" x14ac:dyDescent="0.25">
      <c r="A38" s="567"/>
      <c r="B38" s="809" t="s">
        <v>68</v>
      </c>
      <c r="C38" s="809" t="s">
        <v>464</v>
      </c>
      <c r="D38" s="809" t="s">
        <v>464</v>
      </c>
      <c r="E38" s="809" t="s">
        <v>464</v>
      </c>
      <c r="F38" s="809"/>
      <c r="G38" s="1324"/>
      <c r="H38" s="809"/>
      <c r="I38" s="809"/>
      <c r="J38" s="1324"/>
      <c r="K38" s="1325"/>
      <c r="L38" s="1325"/>
      <c r="M38" s="1325"/>
      <c r="N38" s="1325"/>
      <c r="O38" s="1325"/>
      <c r="P38" s="1325"/>
      <c r="Q38" s="1352"/>
      <c r="R38" s="1352"/>
      <c r="S38" s="1352"/>
      <c r="T38" s="375"/>
      <c r="U38" s="376"/>
      <c r="V38" s="376"/>
      <c r="W38" s="376"/>
    </row>
    <row r="39" spans="1:23" x14ac:dyDescent="0.25">
      <c r="A39" s="567"/>
      <c r="B39" s="809" t="s">
        <v>69</v>
      </c>
      <c r="C39" s="809" t="s">
        <v>464</v>
      </c>
      <c r="D39" s="809" t="s">
        <v>464</v>
      </c>
      <c r="E39" s="809" t="s">
        <v>464</v>
      </c>
      <c r="F39" s="809" t="s">
        <v>719</v>
      </c>
      <c r="G39" s="809" t="s">
        <v>464</v>
      </c>
      <c r="H39" s="809" t="s">
        <v>464</v>
      </c>
      <c r="I39" s="809">
        <v>1</v>
      </c>
      <c r="J39" s="809">
        <v>1</v>
      </c>
      <c r="K39" s="809"/>
      <c r="L39" s="809"/>
      <c r="M39" s="809"/>
      <c r="N39" s="809"/>
      <c r="O39" s="809"/>
      <c r="P39" s="809"/>
      <c r="Q39" s="1018"/>
      <c r="R39" s="375"/>
      <c r="S39" s="375"/>
      <c r="T39" s="375"/>
      <c r="U39" s="376"/>
      <c r="V39" s="376"/>
      <c r="W39" s="376"/>
    </row>
    <row r="40" spans="1:23" x14ac:dyDescent="0.25">
      <c r="A40" s="567"/>
      <c r="B40" s="809" t="s">
        <v>70</v>
      </c>
      <c r="C40" s="809" t="s">
        <v>464</v>
      </c>
      <c r="D40" s="809" t="s">
        <v>464</v>
      </c>
      <c r="E40" s="809" t="s">
        <v>464</v>
      </c>
      <c r="F40" s="809" t="s">
        <v>598</v>
      </c>
      <c r="G40" s="1805">
        <v>4.4351077834433816E-2</v>
      </c>
      <c r="H40" s="1288">
        <v>4.4358496770696254E-2</v>
      </c>
      <c r="I40" s="809">
        <f>I39*(G40+1)</f>
        <v>1.0443510778344338</v>
      </c>
      <c r="J40" s="809">
        <f>J39*(H40+1)</f>
        <v>1.0443584967706963</v>
      </c>
      <c r="K40" s="1526"/>
      <c r="L40" s="809"/>
      <c r="M40" s="809"/>
      <c r="N40" s="809"/>
      <c r="O40" s="809"/>
      <c r="P40" s="809"/>
      <c r="Q40" s="1018"/>
      <c r="R40" s="375"/>
      <c r="S40" s="375"/>
      <c r="T40" s="375"/>
      <c r="U40" s="376"/>
      <c r="V40" s="376"/>
      <c r="W40" s="376"/>
    </row>
    <row r="41" spans="1:23" x14ac:dyDescent="0.25">
      <c r="A41" s="567"/>
      <c r="B41" s="567" t="s">
        <v>71</v>
      </c>
      <c r="C41" s="809" t="s">
        <v>464</v>
      </c>
      <c r="D41" s="809" t="s">
        <v>464</v>
      </c>
      <c r="E41" s="809" t="s">
        <v>464</v>
      </c>
      <c r="F41" s="809" t="s">
        <v>720</v>
      </c>
      <c r="G41" s="1805">
        <v>3.3493659153591704E-2</v>
      </c>
      <c r="H41" s="1288">
        <v>3.348752506549002E-2</v>
      </c>
      <c r="I41" s="809">
        <f t="shared" ref="I41:J51" si="25">I40*(G41+1)</f>
        <v>1.0793302168721064</v>
      </c>
      <c r="J41" s="809">
        <f t="shared" si="25"/>
        <v>1.0793314781086625</v>
      </c>
      <c r="K41" s="1526"/>
      <c r="L41" s="809"/>
      <c r="M41" s="809"/>
      <c r="N41" s="809"/>
      <c r="O41" s="809"/>
      <c r="P41" s="809"/>
      <c r="Q41" s="1018"/>
      <c r="R41" s="375"/>
      <c r="S41" s="375"/>
      <c r="T41" s="375"/>
      <c r="U41" s="376"/>
      <c r="V41" s="376"/>
      <c r="W41" s="376"/>
    </row>
    <row r="42" spans="1:23" ht="23.25" customHeight="1" x14ac:dyDescent="0.25">
      <c r="A42" s="567"/>
      <c r="B42" s="809" t="s">
        <v>72</v>
      </c>
      <c r="C42" s="809" t="s">
        <v>464</v>
      </c>
      <c r="D42" s="809" t="s">
        <v>464</v>
      </c>
      <c r="E42" s="809" t="s">
        <v>464</v>
      </c>
      <c r="F42" s="809" t="s">
        <v>721</v>
      </c>
      <c r="G42" s="1288">
        <v>4.6780000000000002E-2</v>
      </c>
      <c r="H42" s="1288">
        <v>4.6292192056288872E-2</v>
      </c>
      <c r="I42" s="809">
        <f t="shared" si="25"/>
        <v>1.1298212844173836</v>
      </c>
      <c r="J42" s="809">
        <f t="shared" si="25"/>
        <v>1.1292960981856668</v>
      </c>
      <c r="K42" s="567"/>
      <c r="L42" s="567"/>
      <c r="M42" s="567"/>
      <c r="N42" s="567"/>
      <c r="O42" s="567"/>
      <c r="P42" s="567"/>
      <c r="Q42" s="379"/>
      <c r="R42" s="378"/>
      <c r="S42" s="378"/>
      <c r="T42" s="378"/>
      <c r="U42" s="376"/>
      <c r="V42" s="376"/>
      <c r="W42" s="376"/>
    </row>
    <row r="43" spans="1:23" ht="23.25" customHeight="1" x14ac:dyDescent="0.25">
      <c r="A43" s="567"/>
      <c r="B43" s="809" t="s">
        <v>73</v>
      </c>
      <c r="C43" s="809" t="s">
        <v>464</v>
      </c>
      <c r="D43" s="809" t="s">
        <v>464</v>
      </c>
      <c r="E43" s="809" t="s">
        <v>464</v>
      </c>
      <c r="F43" s="809" t="s">
        <v>601</v>
      </c>
      <c r="G43" s="1288">
        <v>5.4829999999999997E-2</v>
      </c>
      <c r="H43" s="1288">
        <v>5.4855078069479202E-2</v>
      </c>
      <c r="I43" s="809">
        <f t="shared" si="25"/>
        <v>1.1917693854419886</v>
      </c>
      <c r="J43" s="809">
        <f t="shared" si="25"/>
        <v>1.1912437238151998</v>
      </c>
      <c r="K43" s="567"/>
      <c r="L43" s="567"/>
      <c r="M43" s="567"/>
      <c r="N43" s="567"/>
      <c r="O43" s="567"/>
      <c r="P43" s="567"/>
      <c r="Q43" s="379"/>
      <c r="R43" s="378"/>
      <c r="S43" s="378"/>
      <c r="T43" s="378"/>
      <c r="U43" s="376"/>
      <c r="V43" s="376"/>
      <c r="W43" s="376"/>
    </row>
    <row r="44" spans="1:23" x14ac:dyDescent="0.25">
      <c r="A44" s="567"/>
      <c r="B44" s="1324" t="s">
        <v>74</v>
      </c>
      <c r="C44" s="809">
        <v>52724302</v>
      </c>
      <c r="D44" s="809">
        <v>106</v>
      </c>
      <c r="E44" s="809">
        <v>7.4</v>
      </c>
      <c r="F44" s="809" t="s">
        <v>606</v>
      </c>
      <c r="G44" s="1288">
        <v>0.1014</v>
      </c>
      <c r="H44" s="809">
        <v>0.10228616433299975</v>
      </c>
      <c r="I44" s="809">
        <f t="shared" si="25"/>
        <v>1.3126148011258061</v>
      </c>
      <c r="J44" s="809">
        <f t="shared" si="25"/>
        <v>1.313091475110016</v>
      </c>
      <c r="K44" s="567"/>
      <c r="L44" s="567"/>
      <c r="M44" s="567"/>
      <c r="N44" s="567"/>
      <c r="O44" s="567"/>
      <c r="P44" s="567"/>
      <c r="Q44" s="379"/>
      <c r="R44" s="378"/>
      <c r="S44" s="378"/>
      <c r="T44" s="378"/>
      <c r="U44" s="376"/>
      <c r="V44" s="376"/>
      <c r="W44" s="376"/>
    </row>
    <row r="45" spans="1:23" x14ac:dyDescent="0.25">
      <c r="A45" s="567"/>
      <c r="B45" s="1324" t="s">
        <v>75</v>
      </c>
      <c r="C45" s="809">
        <v>60541477</v>
      </c>
      <c r="D45" s="809">
        <v>103</v>
      </c>
      <c r="E45" s="809">
        <v>6.5</v>
      </c>
      <c r="F45" s="809" t="s">
        <v>722</v>
      </c>
      <c r="G45" s="809">
        <v>9.8719895811427483E-2</v>
      </c>
      <c r="H45" s="809">
        <v>9.955852290494005E-2</v>
      </c>
      <c r="I45" s="809">
        <f t="shared" si="25"/>
        <v>1.4421959975334833</v>
      </c>
      <c r="J45" s="809">
        <f t="shared" si="25"/>
        <v>1.4438209228110381</v>
      </c>
      <c r="K45" s="567"/>
      <c r="L45" s="567"/>
      <c r="M45" s="567"/>
      <c r="N45" s="567"/>
      <c r="O45" s="567"/>
      <c r="P45" s="567"/>
      <c r="Q45" s="379"/>
      <c r="R45" s="378"/>
      <c r="S45" s="378"/>
      <c r="T45" s="378"/>
      <c r="U45" s="376"/>
      <c r="V45" s="376"/>
      <c r="W45" s="376"/>
    </row>
    <row r="46" spans="1:23" x14ac:dyDescent="0.25">
      <c r="A46" s="949"/>
      <c r="B46" s="1324" t="s">
        <v>76</v>
      </c>
      <c r="C46" s="809">
        <v>63453507</v>
      </c>
      <c r="D46" s="809">
        <v>93</v>
      </c>
      <c r="E46" s="809">
        <v>5.9</v>
      </c>
      <c r="F46" s="809" t="s">
        <v>723</v>
      </c>
      <c r="G46" s="809">
        <v>-6.8552823741646063E-2</v>
      </c>
      <c r="H46" s="809">
        <v>-6.8132104071234045E-2</v>
      </c>
      <c r="I46" s="809">
        <f t="shared" si="25"/>
        <v>1.3433293895136629</v>
      </c>
      <c r="J46" s="809">
        <f t="shared" si="25"/>
        <v>1.3454503654378513</v>
      </c>
      <c r="K46" s="567"/>
      <c r="L46" s="567"/>
      <c r="M46" s="567"/>
      <c r="N46" s="567"/>
      <c r="O46" s="567"/>
      <c r="P46" s="567"/>
      <c r="Q46" s="379"/>
      <c r="R46" s="378"/>
      <c r="S46" s="378"/>
      <c r="T46" s="378"/>
      <c r="U46" s="376"/>
      <c r="V46" s="376"/>
      <c r="W46" s="376"/>
    </row>
    <row r="47" spans="1:23" x14ac:dyDescent="0.25">
      <c r="A47" s="809"/>
      <c r="B47" s="1324" t="s">
        <v>4</v>
      </c>
      <c r="C47" s="809">
        <v>69678564</v>
      </c>
      <c r="D47" s="809">
        <v>94</v>
      </c>
      <c r="E47" s="809">
        <v>5.3</v>
      </c>
      <c r="F47" s="809" t="s">
        <v>724</v>
      </c>
      <c r="G47" s="809">
        <v>8.1592493501527752E-2</v>
      </c>
      <c r="H47" s="809">
        <v>8.4054458452162528E-2</v>
      </c>
      <c r="I47" s="809">
        <f t="shared" si="25"/>
        <v>1.4529349839979677</v>
      </c>
      <c r="J47" s="809">
        <f t="shared" si="25"/>
        <v>1.458541467278994</v>
      </c>
      <c r="K47" s="567"/>
      <c r="L47" s="567"/>
      <c r="M47" s="567"/>
      <c r="N47" s="567"/>
      <c r="O47" s="567"/>
      <c r="P47" s="567"/>
      <c r="Q47" s="379"/>
      <c r="R47" s="378"/>
      <c r="S47" s="378"/>
      <c r="T47" s="378"/>
      <c r="U47" s="376"/>
      <c r="V47" s="376"/>
      <c r="W47" s="376"/>
    </row>
    <row r="48" spans="1:23" x14ac:dyDescent="0.25">
      <c r="A48" s="809"/>
      <c r="B48" s="1325" t="s">
        <v>5</v>
      </c>
      <c r="C48" s="809">
        <v>74421017</v>
      </c>
      <c r="D48" s="809">
        <v>98</v>
      </c>
      <c r="E48" s="809">
        <v>4.8</v>
      </c>
      <c r="F48" s="809" t="s">
        <v>610</v>
      </c>
      <c r="G48" s="809">
        <v>7.2870800000000013E-2</v>
      </c>
      <c r="H48" s="809">
        <v>7.2870800000000013E-2</v>
      </c>
      <c r="I48" s="809">
        <f t="shared" si="25"/>
        <v>1.5588115186298868</v>
      </c>
      <c r="J48" s="809">
        <f t="shared" si="25"/>
        <v>1.5648265508327881</v>
      </c>
      <c r="K48" s="567"/>
      <c r="L48" s="567"/>
      <c r="M48" s="567"/>
      <c r="N48" s="567"/>
      <c r="O48" s="567"/>
      <c r="P48" s="567"/>
      <c r="Q48" s="379"/>
      <c r="R48" s="378"/>
      <c r="S48" s="378"/>
      <c r="T48" s="378"/>
      <c r="U48" s="376"/>
      <c r="V48" s="376"/>
      <c r="W48" s="376"/>
    </row>
    <row r="49" spans="1:23" x14ac:dyDescent="0.25">
      <c r="A49" s="809"/>
      <c r="B49" s="1325" t="s">
        <v>6</v>
      </c>
      <c r="C49" s="809">
        <v>76761100</v>
      </c>
      <c r="D49" s="809">
        <v>99</v>
      </c>
      <c r="E49" s="809">
        <v>5.0999999999999996</v>
      </c>
      <c r="F49" s="809" t="s">
        <v>725</v>
      </c>
      <c r="G49" s="809">
        <v>9.7930199999999967E-2</v>
      </c>
      <c r="H49" s="809">
        <v>9.7830200000000006E-2</v>
      </c>
      <c r="I49" s="809">
        <f t="shared" si="25"/>
        <v>1.7114662424116152</v>
      </c>
      <c r="J49" s="809">
        <f t="shared" si="25"/>
        <v>1.7179138452660698</v>
      </c>
      <c r="K49" s="567"/>
      <c r="L49" s="567"/>
      <c r="M49" s="567"/>
      <c r="N49" s="567"/>
      <c r="O49" s="567"/>
      <c r="P49" s="567"/>
      <c r="Q49" s="379"/>
      <c r="R49" s="378"/>
      <c r="S49" s="378"/>
      <c r="T49" s="378"/>
      <c r="U49" s="376"/>
      <c r="V49" s="376"/>
      <c r="W49" s="376"/>
    </row>
    <row r="50" spans="1:23" x14ac:dyDescent="0.25">
      <c r="A50" s="809"/>
      <c r="B50" s="1325" t="s">
        <v>7</v>
      </c>
      <c r="C50" s="809">
        <v>80404193</v>
      </c>
      <c r="D50" s="809">
        <v>105</v>
      </c>
      <c r="E50" s="809">
        <v>5.3</v>
      </c>
      <c r="F50" s="809" t="s">
        <v>612</v>
      </c>
      <c r="G50" s="809">
        <v>2.2731999999999974E-2</v>
      </c>
      <c r="H50" s="809">
        <v>2.2631999999999999E-2</v>
      </c>
      <c r="I50" s="809">
        <f t="shared" si="25"/>
        <v>1.750371293034116</v>
      </c>
      <c r="J50" s="809">
        <f t="shared" si="25"/>
        <v>1.7567936714121315</v>
      </c>
      <c r="K50" s="567"/>
      <c r="L50" s="567"/>
      <c r="M50" s="567"/>
      <c r="N50" s="567"/>
      <c r="O50" s="567"/>
      <c r="P50" s="567"/>
      <c r="Q50" s="379"/>
      <c r="R50" s="378"/>
      <c r="S50" s="378"/>
      <c r="T50" s="378"/>
      <c r="U50" s="376"/>
      <c r="V50" s="376"/>
      <c r="W50" s="376"/>
    </row>
    <row r="51" spans="1:23" x14ac:dyDescent="0.25">
      <c r="A51" s="809"/>
      <c r="B51" s="1325" t="s">
        <v>489</v>
      </c>
      <c r="C51" s="678">
        <v>82197237</v>
      </c>
      <c r="D51" s="809">
        <v>108</v>
      </c>
      <c r="E51" s="809">
        <v>5.3</v>
      </c>
      <c r="F51" s="809" t="s">
        <v>726</v>
      </c>
      <c r="G51" s="809">
        <v>2.23E-2</v>
      </c>
      <c r="H51" s="809">
        <v>2.2100000000000002E-2</v>
      </c>
      <c r="I51" s="809">
        <f t="shared" si="25"/>
        <v>1.7894045728687769</v>
      </c>
      <c r="J51" s="809">
        <f t="shared" si="25"/>
        <v>1.7956188115503395</v>
      </c>
      <c r="K51" s="567"/>
      <c r="L51" s="567"/>
      <c r="M51" s="567"/>
      <c r="N51" s="567"/>
      <c r="O51" s="567"/>
      <c r="P51" s="567"/>
      <c r="Q51" s="379"/>
      <c r="R51" s="378"/>
      <c r="S51" s="378"/>
      <c r="T51" s="378"/>
      <c r="U51" s="376"/>
      <c r="V51" s="376"/>
      <c r="W51" s="376"/>
    </row>
    <row r="52" spans="1:23" x14ac:dyDescent="0.25">
      <c r="A52" s="809"/>
      <c r="B52" s="1325"/>
      <c r="C52" s="567"/>
      <c r="D52" s="567"/>
      <c r="E52" s="567"/>
      <c r="F52" s="809"/>
      <c r="G52" s="809"/>
      <c r="H52" s="809"/>
      <c r="I52" s="809"/>
      <c r="J52" s="567"/>
      <c r="K52" s="567"/>
      <c r="L52" s="567"/>
      <c r="M52" s="567"/>
      <c r="N52" s="567"/>
      <c r="O52" s="567"/>
      <c r="P52" s="567"/>
      <c r="Q52" s="379"/>
      <c r="R52" s="378"/>
      <c r="S52" s="378"/>
      <c r="T52" s="378"/>
      <c r="U52" s="376"/>
      <c r="V52" s="376"/>
      <c r="W52" s="376"/>
    </row>
    <row r="53" spans="1:23" ht="23.25" customHeight="1" x14ac:dyDescent="0.25">
      <c r="A53" s="809"/>
      <c r="B53" s="1805"/>
      <c r="C53" s="1805">
        <v>4.4351077834433816E-2</v>
      </c>
      <c r="D53" s="1404">
        <v>4.4358496770696254E-2</v>
      </c>
      <c r="E53" s="1805">
        <v>3.3493659153591704E-2</v>
      </c>
      <c r="F53" s="1404">
        <v>3.348752506549002E-2</v>
      </c>
      <c r="G53" s="1805">
        <v>4.6775334439247862E-2</v>
      </c>
      <c r="H53" s="1404">
        <v>4.6292192056288872E-2</v>
      </c>
      <c r="I53" s="1805">
        <v>5.4831226813270906E-2</v>
      </c>
      <c r="J53" s="1404">
        <v>5.4855078069479202E-2</v>
      </c>
      <c r="K53" s="567"/>
      <c r="L53" s="567"/>
      <c r="M53" s="567"/>
      <c r="N53" s="567"/>
      <c r="O53" s="567"/>
      <c r="P53" s="567"/>
      <c r="Q53" s="378"/>
      <c r="R53" s="378"/>
      <c r="S53" s="378"/>
      <c r="T53" s="376"/>
      <c r="U53" s="376"/>
      <c r="V53" s="376"/>
      <c r="W53" s="376"/>
    </row>
    <row r="54" spans="1:23" x14ac:dyDescent="0.25">
      <c r="A54" s="809"/>
      <c r="B54" s="1325"/>
      <c r="C54" s="1386"/>
      <c r="D54" s="1386"/>
      <c r="E54" s="1326"/>
      <c r="F54" s="1326"/>
      <c r="G54" s="1326"/>
      <c r="H54" s="567"/>
      <c r="I54" s="567"/>
      <c r="J54" s="567"/>
      <c r="K54" s="567"/>
      <c r="L54" s="567"/>
      <c r="M54" s="567"/>
      <c r="N54" s="396"/>
      <c r="O54" s="396"/>
      <c r="P54" s="396"/>
      <c r="Q54" s="378"/>
      <c r="R54" s="378"/>
      <c r="S54" s="376"/>
      <c r="T54" s="376"/>
      <c r="U54" s="376"/>
      <c r="V54" s="376"/>
      <c r="W54" s="376"/>
    </row>
    <row r="55" spans="1:23" x14ac:dyDescent="0.25">
      <c r="A55" s="809"/>
      <c r="B55" s="1325"/>
      <c r="C55" s="567"/>
      <c r="D55" s="396"/>
      <c r="E55" s="1386"/>
      <c r="F55" s="1326"/>
      <c r="G55" s="1326"/>
      <c r="H55" s="567"/>
      <c r="I55" s="567"/>
      <c r="J55" s="567"/>
      <c r="K55" s="567"/>
      <c r="L55" s="567"/>
      <c r="M55" s="567"/>
      <c r="N55" s="396"/>
      <c r="O55" s="396"/>
      <c r="P55" s="396"/>
      <c r="Q55" s="378"/>
      <c r="R55" s="378"/>
      <c r="S55" s="376"/>
      <c r="T55" s="376"/>
      <c r="U55" s="376"/>
      <c r="V55" s="376"/>
      <c r="W55" s="376"/>
    </row>
    <row r="56" spans="1:23" x14ac:dyDescent="0.25">
      <c r="A56" s="809"/>
      <c r="B56" s="1325"/>
      <c r="C56" s="396"/>
      <c r="D56" s="396" t="s">
        <v>736</v>
      </c>
      <c r="E56" s="1326"/>
      <c r="F56" s="1386"/>
      <c r="G56" s="1386"/>
      <c r="H56" s="1386"/>
      <c r="I56" s="1386"/>
      <c r="J56" s="567"/>
      <c r="K56" s="567"/>
      <c r="L56" s="567"/>
      <c r="M56" s="567"/>
      <c r="N56" s="396"/>
      <c r="O56" s="396"/>
      <c r="P56" s="396"/>
      <c r="Q56" s="378"/>
      <c r="R56" s="378"/>
      <c r="S56" s="376"/>
      <c r="T56" s="376"/>
      <c r="U56" s="376"/>
      <c r="V56" s="376"/>
      <c r="W56" s="376"/>
    </row>
    <row r="57" spans="1:23" x14ac:dyDescent="0.25">
      <c r="A57" s="567"/>
      <c r="B57" s="882">
        <v>52724302</v>
      </c>
      <c r="C57" s="882">
        <v>60541477</v>
      </c>
      <c r="D57" s="882">
        <v>63453507</v>
      </c>
      <c r="E57" s="1326">
        <v>69678564</v>
      </c>
      <c r="F57" s="882">
        <v>74421017</v>
      </c>
      <c r="G57" s="882">
        <v>76761100</v>
      </c>
      <c r="H57" s="882">
        <v>80404193</v>
      </c>
      <c r="I57" s="882">
        <v>82197237</v>
      </c>
      <c r="J57" s="567"/>
      <c r="K57" s="567"/>
      <c r="L57" s="567"/>
      <c r="M57" s="567"/>
      <c r="N57" s="396"/>
      <c r="O57" s="396"/>
      <c r="P57" s="396"/>
      <c r="Q57" s="378"/>
      <c r="R57" s="378"/>
      <c r="S57" s="376"/>
      <c r="T57" s="376"/>
      <c r="U57" s="376"/>
      <c r="V57" s="376"/>
      <c r="W57" s="376"/>
    </row>
    <row r="58" spans="1:23" x14ac:dyDescent="0.25">
      <c r="A58" s="567"/>
      <c r="B58" s="567"/>
      <c r="C58" s="567"/>
      <c r="D58" s="567"/>
      <c r="E58" s="1326"/>
      <c r="F58" s="567"/>
      <c r="G58" s="567"/>
      <c r="H58" s="567"/>
      <c r="I58" s="567"/>
      <c r="J58" s="567"/>
      <c r="K58" s="567"/>
      <c r="L58" s="567"/>
      <c r="M58" s="567"/>
      <c r="N58" s="396"/>
      <c r="O58" s="396"/>
      <c r="P58" s="396"/>
      <c r="Q58" s="378"/>
      <c r="R58" s="378"/>
      <c r="S58" s="376"/>
      <c r="T58" s="376"/>
      <c r="U58" s="376"/>
      <c r="V58" s="376"/>
      <c r="W58" s="376"/>
    </row>
    <row r="59" spans="1:23" x14ac:dyDescent="0.25">
      <c r="A59" s="567"/>
      <c r="B59" s="567"/>
      <c r="C59" s="567"/>
      <c r="D59" s="567"/>
      <c r="E59" s="1326"/>
      <c r="F59" s="567"/>
      <c r="G59" s="567"/>
      <c r="H59" s="567"/>
      <c r="I59" s="567"/>
      <c r="J59" s="567"/>
      <c r="K59" s="567"/>
      <c r="L59" s="567"/>
      <c r="M59" s="567"/>
      <c r="N59" s="396"/>
      <c r="O59" s="396"/>
      <c r="P59" s="396"/>
      <c r="Q59" s="378"/>
      <c r="R59" s="378"/>
      <c r="S59" s="376"/>
      <c r="T59" s="376"/>
      <c r="U59" s="376"/>
      <c r="V59" s="376"/>
      <c r="W59" s="376"/>
    </row>
    <row r="60" spans="1:23" x14ac:dyDescent="0.25">
      <c r="A60" s="567"/>
      <c r="B60" s="567" t="s">
        <v>732</v>
      </c>
      <c r="C60" s="567" t="s">
        <v>733</v>
      </c>
      <c r="D60" s="567"/>
      <c r="E60" s="1326"/>
      <c r="F60" s="567"/>
      <c r="G60" s="567"/>
      <c r="H60" s="567"/>
      <c r="I60" s="567"/>
      <c r="J60" s="567"/>
      <c r="K60" s="567"/>
      <c r="L60" s="567"/>
      <c r="M60" s="567"/>
      <c r="N60" s="396"/>
      <c r="O60" s="396"/>
      <c r="P60" s="396"/>
      <c r="Q60" s="378"/>
      <c r="R60" s="378"/>
      <c r="S60" s="376"/>
      <c r="T60" s="376"/>
      <c r="U60" s="376"/>
      <c r="V60" s="376"/>
      <c r="W60" s="376"/>
    </row>
    <row r="61" spans="1:23" x14ac:dyDescent="0.25">
      <c r="A61" s="567"/>
      <c r="B61" s="567" t="s">
        <v>346</v>
      </c>
      <c r="C61" s="567"/>
      <c r="D61" s="567"/>
      <c r="E61" s="1326"/>
      <c r="F61" s="567"/>
      <c r="G61" s="567"/>
      <c r="H61" s="567"/>
      <c r="I61" s="567"/>
      <c r="J61" s="567"/>
      <c r="K61" s="567"/>
      <c r="L61" s="567"/>
      <c r="M61" s="567"/>
      <c r="N61" s="396"/>
      <c r="O61" s="396"/>
      <c r="P61" s="396"/>
      <c r="Q61" s="378"/>
      <c r="R61" s="378"/>
      <c r="S61" s="376"/>
      <c r="T61" s="376"/>
      <c r="U61" s="376"/>
      <c r="V61" s="376"/>
      <c r="W61" s="376"/>
    </row>
    <row r="62" spans="1:23" x14ac:dyDescent="0.25">
      <c r="A62" s="567"/>
      <c r="B62" s="882">
        <v>52724302</v>
      </c>
      <c r="C62" s="882">
        <v>60541477</v>
      </c>
      <c r="D62" s="882">
        <v>63453507</v>
      </c>
      <c r="E62" s="1326">
        <v>69678564</v>
      </c>
      <c r="F62" s="882">
        <v>74421017</v>
      </c>
      <c r="G62" s="882">
        <v>76761100</v>
      </c>
      <c r="H62" s="882">
        <v>81263904</v>
      </c>
      <c r="I62" s="882">
        <v>75863819</v>
      </c>
      <c r="J62" s="567"/>
      <c r="K62" s="567"/>
      <c r="L62" s="567"/>
      <c r="M62" s="567"/>
      <c r="N62" s="396"/>
      <c r="O62" s="396"/>
      <c r="P62" s="396"/>
      <c r="Q62" s="378"/>
      <c r="R62" s="378"/>
      <c r="S62" s="376"/>
      <c r="T62" s="376"/>
      <c r="U62" s="376"/>
      <c r="V62" s="376"/>
      <c r="W62" s="376"/>
    </row>
    <row r="63" spans="1:23" x14ac:dyDescent="0.25">
      <c r="A63" s="396"/>
      <c r="B63" s="567" t="s">
        <v>732</v>
      </c>
      <c r="C63" s="567" t="s">
        <v>733</v>
      </c>
      <c r="D63" s="567"/>
      <c r="E63" s="567"/>
      <c r="F63" s="567"/>
      <c r="G63" s="567"/>
      <c r="H63" s="567"/>
      <c r="I63" s="567"/>
      <c r="J63" s="567"/>
      <c r="K63" s="567"/>
      <c r="L63" s="567"/>
      <c r="M63" s="567"/>
      <c r="N63" s="396"/>
      <c r="O63" s="396"/>
      <c r="P63" s="396"/>
      <c r="Q63" s="378"/>
      <c r="R63" s="378"/>
      <c r="S63" s="376"/>
      <c r="T63" s="376"/>
      <c r="U63" s="376"/>
      <c r="V63" s="376"/>
      <c r="W63" s="376"/>
    </row>
    <row r="64" spans="1:23" ht="23.25" customHeight="1" x14ac:dyDescent="0.25">
      <c r="A64" s="396"/>
      <c r="B64" s="567" t="s">
        <v>346</v>
      </c>
      <c r="C64" s="567" t="s">
        <v>734</v>
      </c>
      <c r="D64" s="567"/>
      <c r="E64" s="567"/>
      <c r="F64" s="567"/>
      <c r="G64" s="567"/>
      <c r="H64" s="567"/>
      <c r="I64" s="567"/>
      <c r="J64" s="567"/>
      <c r="K64" s="567"/>
      <c r="L64" s="567"/>
      <c r="M64" s="567"/>
      <c r="N64" s="396"/>
      <c r="O64" s="396"/>
      <c r="P64" s="396"/>
      <c r="Q64" s="378"/>
      <c r="R64" s="378"/>
      <c r="S64" s="376"/>
      <c r="T64" s="376"/>
      <c r="U64" s="376"/>
      <c r="V64" s="376"/>
      <c r="W64" s="376"/>
    </row>
    <row r="65" spans="1:23" x14ac:dyDescent="0.25">
      <c r="A65" s="396"/>
      <c r="B65" s="882">
        <v>80404193</v>
      </c>
      <c r="C65" s="882">
        <v>82197237</v>
      </c>
      <c r="D65" s="567"/>
      <c r="E65" s="567"/>
      <c r="F65" s="567"/>
      <c r="G65" s="567"/>
      <c r="H65" s="567"/>
      <c r="I65" s="567"/>
      <c r="J65" s="567"/>
      <c r="K65" s="567"/>
      <c r="L65" s="567"/>
      <c r="M65" s="567"/>
      <c r="N65" s="396"/>
      <c r="O65" s="396"/>
      <c r="P65" s="396"/>
      <c r="Q65" s="378"/>
      <c r="R65" s="378"/>
      <c r="S65" s="376"/>
      <c r="T65" s="376"/>
      <c r="U65" s="376"/>
      <c r="V65" s="376"/>
      <c r="W65" s="376"/>
    </row>
    <row r="66" spans="1:23" x14ac:dyDescent="0.25">
      <c r="A66" s="396"/>
      <c r="B66" s="567"/>
      <c r="C66" s="567"/>
      <c r="D66" s="567"/>
      <c r="E66" s="567"/>
      <c r="F66" s="567"/>
      <c r="G66" s="567"/>
      <c r="H66" s="567"/>
      <c r="I66" s="396"/>
      <c r="J66" s="396"/>
      <c r="K66" s="396"/>
      <c r="L66" s="396"/>
      <c r="M66" s="396"/>
      <c r="N66" s="396"/>
      <c r="O66" s="396"/>
      <c r="P66" s="396"/>
      <c r="Q66" s="378"/>
      <c r="R66" s="378"/>
      <c r="S66" s="376"/>
      <c r="T66" s="376"/>
      <c r="U66" s="376"/>
      <c r="V66" s="376"/>
      <c r="W66" s="376"/>
    </row>
    <row r="67" spans="1:23" x14ac:dyDescent="0.25">
      <c r="A67" s="396"/>
      <c r="B67" s="567">
        <v>106</v>
      </c>
      <c r="C67" s="567">
        <v>103</v>
      </c>
      <c r="D67" s="567">
        <v>93</v>
      </c>
      <c r="E67" s="567">
        <v>94</v>
      </c>
      <c r="F67" s="567">
        <v>98</v>
      </c>
      <c r="G67" s="567">
        <v>99</v>
      </c>
      <c r="H67" s="567">
        <v>105</v>
      </c>
      <c r="I67" s="396">
        <v>108</v>
      </c>
      <c r="J67" s="396"/>
      <c r="K67" s="396"/>
      <c r="L67" s="396"/>
      <c r="M67" s="396"/>
      <c r="N67" s="396"/>
      <c r="O67" s="396"/>
      <c r="P67" s="396"/>
      <c r="Q67" s="378"/>
      <c r="R67" s="378"/>
      <c r="S67" s="376"/>
      <c r="T67" s="376"/>
      <c r="U67" s="376"/>
      <c r="V67" s="376"/>
      <c r="W67" s="376"/>
    </row>
    <row r="68" spans="1:23" x14ac:dyDescent="0.25">
      <c r="A68" s="396"/>
      <c r="B68" s="1413">
        <v>0.34405834405834401</v>
      </c>
      <c r="C68" s="1413">
        <v>4.0935368387547966E-2</v>
      </c>
      <c r="D68" s="1417">
        <v>3.2835420218831679E-2</v>
      </c>
      <c r="E68" s="1413">
        <v>5.1046557468587217E-2</v>
      </c>
      <c r="F68" s="1413">
        <v>5.2455408262192416E-2</v>
      </c>
      <c r="G68" s="1417">
        <v>0.10142546919528872</v>
      </c>
      <c r="H68" s="1413">
        <v>9.8719895811427483E-2</v>
      </c>
      <c r="I68" s="1417">
        <v>-6.8552823741646063E-2</v>
      </c>
      <c r="J68" s="1413">
        <v>8.1592493501527752E-2</v>
      </c>
      <c r="K68" s="1413">
        <v>7.2870800000000013E-2</v>
      </c>
      <c r="L68" s="1413">
        <v>9.7930199999999967E-2</v>
      </c>
      <c r="M68" s="1413">
        <v>2.2731999999999974E-2</v>
      </c>
      <c r="N68" s="1413">
        <v>2.23E-2</v>
      </c>
      <c r="O68" s="396"/>
      <c r="P68" s="396"/>
      <c r="Q68" s="378"/>
      <c r="R68" s="378"/>
      <c r="S68" s="376"/>
      <c r="T68" s="376"/>
      <c r="U68" s="376"/>
      <c r="V68" s="376"/>
      <c r="W68" s="376"/>
    </row>
    <row r="69" spans="1:23" x14ac:dyDescent="0.25">
      <c r="A69" s="396"/>
      <c r="B69" s="567">
        <v>7.4</v>
      </c>
      <c r="C69" s="567">
        <v>6.5</v>
      </c>
      <c r="D69" s="567">
        <v>5.9</v>
      </c>
      <c r="E69" s="567">
        <v>3.4</v>
      </c>
      <c r="F69" s="567">
        <v>3.1</v>
      </c>
      <c r="G69" s="567">
        <v>3.4</v>
      </c>
      <c r="H69" s="567"/>
      <c r="I69" s="396"/>
      <c r="J69" s="396"/>
      <c r="K69" s="396"/>
      <c r="L69" s="396"/>
      <c r="M69" s="396"/>
      <c r="N69" s="396"/>
      <c r="O69" s="396"/>
      <c r="P69" s="396"/>
      <c r="Q69" s="378"/>
      <c r="R69" s="378"/>
      <c r="S69" s="376"/>
      <c r="T69" s="376"/>
      <c r="U69" s="376"/>
      <c r="V69" s="376"/>
      <c r="W69" s="376"/>
    </row>
    <row r="70" spans="1:23" x14ac:dyDescent="0.25">
      <c r="A70" s="396"/>
      <c r="B70" s="567"/>
      <c r="C70" s="567"/>
      <c r="D70" s="567"/>
      <c r="E70" s="567"/>
      <c r="F70" s="567"/>
      <c r="G70" s="567"/>
      <c r="H70" s="567"/>
      <c r="I70" s="396"/>
      <c r="J70" s="396"/>
      <c r="K70" s="396"/>
      <c r="L70" s="396"/>
      <c r="M70" s="396"/>
      <c r="N70" s="396"/>
      <c r="O70" s="396"/>
      <c r="P70" s="396"/>
      <c r="Q70" s="378"/>
      <c r="R70" s="378"/>
      <c r="S70" s="376"/>
      <c r="T70" s="376"/>
      <c r="U70" s="376"/>
      <c r="V70" s="376"/>
      <c r="W70" s="376"/>
    </row>
    <row r="71" spans="1:23" x14ac:dyDescent="0.25">
      <c r="A71" s="396"/>
      <c r="B71" s="567"/>
      <c r="C71" s="567"/>
      <c r="D71" s="567"/>
      <c r="E71" s="567"/>
      <c r="F71" s="567"/>
      <c r="G71" s="567"/>
      <c r="H71" s="567"/>
      <c r="I71" s="396"/>
      <c r="J71" s="396"/>
      <c r="K71" s="396"/>
      <c r="L71" s="396"/>
      <c r="M71" s="396"/>
      <c r="N71" s="396"/>
      <c r="O71" s="396"/>
      <c r="P71" s="396"/>
      <c r="Q71" s="378"/>
      <c r="R71" s="378"/>
      <c r="S71" s="376"/>
      <c r="T71" s="376"/>
      <c r="U71" s="376"/>
      <c r="V71" s="376"/>
      <c r="W71" s="376"/>
    </row>
    <row r="72" spans="1:23" x14ac:dyDescent="0.25">
      <c r="A72" s="396"/>
      <c r="B72" s="567"/>
      <c r="C72" s="567"/>
      <c r="D72" s="567"/>
      <c r="E72" s="567"/>
      <c r="F72" s="567"/>
      <c r="G72" s="567"/>
      <c r="H72" s="567"/>
      <c r="I72" s="396"/>
      <c r="J72" s="396"/>
      <c r="K72" s="396"/>
      <c r="L72" s="396"/>
      <c r="M72" s="396"/>
      <c r="N72" s="396"/>
      <c r="O72" s="396"/>
      <c r="P72" s="396"/>
      <c r="Q72" s="378"/>
      <c r="R72" s="378"/>
      <c r="S72" s="376"/>
      <c r="T72" s="376"/>
      <c r="U72" s="376"/>
      <c r="V72" s="376"/>
      <c r="W72" s="376"/>
    </row>
    <row r="73" spans="1:23" x14ac:dyDescent="0.25">
      <c r="A73" s="396"/>
      <c r="B73" s="567"/>
      <c r="C73" s="567"/>
      <c r="D73" s="567"/>
      <c r="E73" s="567"/>
      <c r="F73" s="567"/>
      <c r="G73" s="567"/>
      <c r="H73" s="567"/>
      <c r="I73" s="396"/>
      <c r="J73" s="396"/>
      <c r="K73" s="396"/>
      <c r="L73" s="396"/>
      <c r="M73" s="396"/>
      <c r="N73" s="396"/>
      <c r="O73" s="396"/>
      <c r="P73" s="396"/>
      <c r="Q73" s="378"/>
      <c r="R73" s="378"/>
      <c r="S73" s="376"/>
      <c r="T73" s="376"/>
      <c r="U73" s="376"/>
      <c r="V73" s="376"/>
      <c r="W73" s="376"/>
    </row>
    <row r="74" spans="1:23" ht="23.25" customHeight="1" x14ac:dyDescent="0.25">
      <c r="A74" s="396"/>
      <c r="B74" s="567"/>
      <c r="C74" s="567"/>
      <c r="D74" s="567"/>
      <c r="E74" s="567"/>
      <c r="F74" s="567"/>
      <c r="G74" s="567"/>
      <c r="H74" s="567"/>
      <c r="I74" s="396"/>
      <c r="J74" s="396"/>
      <c r="K74" s="396"/>
      <c r="L74" s="396"/>
      <c r="M74" s="396"/>
      <c r="N74" s="396"/>
      <c r="O74" s="396"/>
      <c r="P74" s="396"/>
      <c r="Q74" s="378"/>
      <c r="R74" s="378"/>
      <c r="S74" s="376"/>
      <c r="T74" s="376"/>
      <c r="U74" s="376"/>
      <c r="V74" s="376"/>
      <c r="W74" s="376"/>
    </row>
    <row r="75" spans="1:23" x14ac:dyDescent="0.25">
      <c r="A75" s="396"/>
      <c r="B75" s="567"/>
      <c r="C75" s="567"/>
      <c r="D75" s="567"/>
      <c r="E75" s="567"/>
      <c r="F75" s="567"/>
      <c r="G75" s="567"/>
      <c r="H75" s="567"/>
      <c r="I75" s="396"/>
      <c r="J75" s="396"/>
      <c r="K75" s="396"/>
      <c r="L75" s="396"/>
      <c r="M75" s="396"/>
      <c r="N75" s="396"/>
      <c r="O75" s="396"/>
      <c r="P75" s="396"/>
      <c r="Q75" s="378"/>
      <c r="R75" s="378"/>
      <c r="S75" s="376"/>
      <c r="T75" s="376"/>
      <c r="U75" s="376"/>
      <c r="V75" s="376"/>
      <c r="W75" s="376"/>
    </row>
    <row r="76" spans="1:23" x14ac:dyDescent="0.25">
      <c r="A76" s="396"/>
      <c r="B76" s="396"/>
      <c r="C76" s="567"/>
      <c r="D76" s="567"/>
      <c r="E76" s="567"/>
      <c r="F76" s="567"/>
      <c r="G76" s="567"/>
      <c r="H76" s="567"/>
      <c r="I76" s="396"/>
      <c r="J76" s="396"/>
      <c r="K76" s="396"/>
      <c r="L76" s="396"/>
      <c r="M76" s="396"/>
      <c r="N76" s="396"/>
      <c r="O76" s="396"/>
      <c r="P76" s="396"/>
      <c r="Q76" s="378"/>
      <c r="R76" s="378"/>
      <c r="S76" s="376"/>
      <c r="T76" s="376"/>
      <c r="U76" s="376"/>
      <c r="V76" s="376"/>
      <c r="W76" s="376"/>
    </row>
    <row r="77" spans="1:23" x14ac:dyDescent="0.25">
      <c r="A77" s="396"/>
      <c r="B77" s="396"/>
      <c r="C77" s="567"/>
      <c r="D77" s="567"/>
      <c r="E77" s="567"/>
      <c r="F77" s="567"/>
      <c r="G77" s="567"/>
      <c r="H77" s="567"/>
      <c r="I77" s="396"/>
      <c r="J77" s="396"/>
      <c r="K77" s="396"/>
      <c r="L77" s="396"/>
      <c r="M77" s="396"/>
      <c r="N77" s="396"/>
      <c r="O77" s="396"/>
      <c r="P77" s="396"/>
      <c r="Q77" s="378"/>
      <c r="R77" s="378"/>
      <c r="S77" s="376"/>
      <c r="T77" s="376"/>
      <c r="U77" s="376"/>
      <c r="V77" s="376"/>
      <c r="W77" s="376"/>
    </row>
    <row r="78" spans="1:23" x14ac:dyDescent="0.25">
      <c r="A78" s="396"/>
      <c r="B78" s="396"/>
      <c r="C78" s="567"/>
      <c r="D78" s="567"/>
      <c r="E78" s="567"/>
      <c r="F78" s="567"/>
      <c r="G78" s="567"/>
      <c r="H78" s="567"/>
      <c r="I78" s="396"/>
      <c r="J78" s="396"/>
      <c r="K78" s="396"/>
      <c r="L78" s="396"/>
      <c r="M78" s="396"/>
      <c r="N78" s="396"/>
      <c r="O78" s="396"/>
      <c r="P78" s="396"/>
      <c r="Q78" s="378"/>
      <c r="R78" s="378"/>
      <c r="S78" s="376"/>
      <c r="T78" s="376"/>
      <c r="U78" s="376"/>
      <c r="V78" s="376"/>
      <c r="W78" s="376"/>
    </row>
    <row r="79" spans="1:23" x14ac:dyDescent="0.25">
      <c r="A79" s="396"/>
      <c r="B79" s="396"/>
      <c r="C79" s="396"/>
      <c r="D79" s="396"/>
      <c r="E79" s="567"/>
      <c r="F79" s="567"/>
      <c r="G79" s="567"/>
      <c r="H79" s="567"/>
      <c r="I79" s="396"/>
      <c r="J79" s="396"/>
      <c r="K79" s="396"/>
      <c r="L79" s="396"/>
      <c r="M79" s="396"/>
      <c r="N79" s="396"/>
      <c r="O79" s="396"/>
      <c r="P79" s="396"/>
      <c r="Q79" s="378"/>
      <c r="R79" s="378"/>
      <c r="S79" s="376"/>
      <c r="T79" s="376"/>
      <c r="U79" s="376"/>
      <c r="V79" s="376"/>
      <c r="W79" s="376"/>
    </row>
    <row r="80" spans="1:23" x14ac:dyDescent="0.25">
      <c r="A80" s="396"/>
      <c r="B80" s="396"/>
      <c r="C80" s="396"/>
      <c r="D80" s="396"/>
      <c r="E80" s="567"/>
      <c r="F80" s="567"/>
      <c r="G80" s="567"/>
      <c r="H80" s="567"/>
      <c r="I80" s="396"/>
      <c r="J80" s="396"/>
      <c r="K80" s="396"/>
      <c r="L80" s="396"/>
      <c r="M80" s="396"/>
      <c r="N80" s="396"/>
      <c r="O80" s="396"/>
      <c r="P80" s="396"/>
      <c r="Q80" s="378"/>
      <c r="R80" s="378"/>
      <c r="S80" s="376"/>
      <c r="T80" s="376"/>
      <c r="U80" s="376"/>
      <c r="V80" s="376"/>
      <c r="W80" s="376"/>
    </row>
    <row r="81" spans="1:23" x14ac:dyDescent="0.25">
      <c r="A81" s="396"/>
      <c r="B81" s="396"/>
      <c r="C81" s="396"/>
      <c r="D81" s="396"/>
      <c r="E81" s="396"/>
      <c r="F81" s="567"/>
      <c r="G81" s="567"/>
      <c r="H81" s="567"/>
      <c r="I81" s="396"/>
      <c r="J81" s="396"/>
      <c r="K81" s="396"/>
      <c r="L81" s="396"/>
      <c r="M81" s="396"/>
      <c r="N81" s="396"/>
      <c r="O81" s="396"/>
      <c r="P81" s="396"/>
      <c r="Q81" s="378"/>
      <c r="R81" s="378"/>
      <c r="S81" s="376"/>
      <c r="T81" s="376"/>
      <c r="U81" s="376"/>
      <c r="V81" s="376"/>
      <c r="W81" s="376"/>
    </row>
    <row r="82" spans="1:23" x14ac:dyDescent="0.25">
      <c r="A82" s="396"/>
      <c r="B82" s="396"/>
      <c r="C82" s="396"/>
      <c r="D82" s="396"/>
      <c r="E82" s="396"/>
      <c r="F82" s="396"/>
      <c r="G82" s="396"/>
      <c r="H82" s="396"/>
      <c r="I82" s="396"/>
      <c r="J82" s="396"/>
      <c r="K82" s="396"/>
      <c r="L82" s="396"/>
      <c r="M82" s="396"/>
      <c r="N82" s="396"/>
      <c r="O82" s="396"/>
      <c r="P82" s="396"/>
      <c r="Q82" s="378"/>
      <c r="R82" s="378"/>
      <c r="S82" s="376"/>
      <c r="T82" s="376"/>
      <c r="U82" s="376"/>
      <c r="V82" s="376"/>
      <c r="W82" s="376"/>
    </row>
    <row r="83" spans="1:23" x14ac:dyDescent="0.25">
      <c r="A83" s="396"/>
      <c r="B83" s="396"/>
      <c r="C83" s="396"/>
      <c r="D83" s="396"/>
      <c r="E83" s="396"/>
      <c r="F83" s="396"/>
      <c r="G83" s="396"/>
      <c r="H83" s="396"/>
      <c r="I83" s="396"/>
      <c r="J83" s="396"/>
      <c r="K83" s="396"/>
      <c r="L83" s="396"/>
      <c r="M83" s="396"/>
      <c r="N83" s="396"/>
      <c r="O83" s="396"/>
      <c r="P83" s="396"/>
      <c r="Q83" s="378"/>
      <c r="R83" s="378"/>
      <c r="S83" s="376"/>
      <c r="T83" s="376"/>
      <c r="U83" s="376"/>
      <c r="V83" s="376"/>
      <c r="W83" s="376"/>
    </row>
    <row r="84" spans="1:23" ht="23.25" customHeight="1" x14ac:dyDescent="0.25">
      <c r="A84" s="396"/>
      <c r="B84" s="396"/>
      <c r="C84" s="396"/>
      <c r="D84" s="396"/>
      <c r="E84" s="396"/>
      <c r="F84" s="396"/>
      <c r="G84" s="396"/>
      <c r="H84" s="396"/>
      <c r="I84" s="396"/>
      <c r="J84" s="396"/>
      <c r="K84" s="396"/>
      <c r="L84" s="396"/>
      <c r="M84" s="396"/>
      <c r="N84" s="396"/>
      <c r="O84" s="396"/>
      <c r="P84" s="396"/>
      <c r="Q84" s="378"/>
      <c r="R84" s="378"/>
      <c r="S84" s="376"/>
      <c r="T84" s="376"/>
      <c r="U84" s="376"/>
      <c r="V84" s="376"/>
      <c r="W84" s="376"/>
    </row>
    <row r="85" spans="1:23" x14ac:dyDescent="0.25">
      <c r="A85" s="396"/>
      <c r="B85" s="396"/>
      <c r="C85" s="396"/>
      <c r="D85" s="396"/>
      <c r="E85" s="396"/>
      <c r="F85" s="396"/>
      <c r="G85" s="396"/>
      <c r="H85" s="396"/>
      <c r="I85" s="396"/>
      <c r="J85" s="396"/>
      <c r="K85" s="396"/>
      <c r="L85" s="396"/>
      <c r="M85" s="396"/>
      <c r="N85" s="396"/>
      <c r="O85" s="396"/>
      <c r="P85" s="396"/>
      <c r="Q85" s="378"/>
      <c r="R85" s="378"/>
      <c r="S85" s="376"/>
      <c r="T85" s="376"/>
      <c r="U85" s="376"/>
      <c r="V85" s="376"/>
      <c r="W85" s="376"/>
    </row>
    <row r="86" spans="1:23" x14ac:dyDescent="0.25">
      <c r="A86" s="396"/>
      <c r="B86" s="396"/>
      <c r="C86" s="396"/>
      <c r="D86" s="396"/>
      <c r="E86" s="396"/>
      <c r="F86" s="396"/>
      <c r="G86" s="396"/>
      <c r="H86" s="396"/>
      <c r="I86" s="396"/>
      <c r="J86" s="396"/>
      <c r="K86" s="396"/>
      <c r="L86" s="396"/>
      <c r="M86" s="396"/>
      <c r="N86" s="396"/>
      <c r="O86" s="396"/>
      <c r="P86" s="396"/>
      <c r="Q86" s="378"/>
      <c r="R86" s="378"/>
      <c r="S86" s="376"/>
      <c r="T86" s="376"/>
      <c r="U86" s="376"/>
      <c r="V86" s="376"/>
      <c r="W86" s="376"/>
    </row>
    <row r="87" spans="1:23" x14ac:dyDescent="0.25">
      <c r="A87" s="396"/>
      <c r="B87" s="396"/>
      <c r="C87" s="396"/>
      <c r="D87" s="396"/>
      <c r="E87" s="396"/>
      <c r="F87" s="396"/>
      <c r="G87" s="396"/>
      <c r="H87" s="396"/>
      <c r="I87" s="396"/>
      <c r="J87" s="396"/>
      <c r="K87" s="396"/>
      <c r="L87" s="396"/>
      <c r="M87" s="396"/>
      <c r="N87" s="396"/>
      <c r="O87" s="396"/>
      <c r="P87" s="396"/>
      <c r="Q87" s="378"/>
      <c r="R87" s="378"/>
      <c r="S87" s="376"/>
      <c r="T87" s="376"/>
      <c r="U87" s="376"/>
      <c r="V87" s="376"/>
      <c r="W87" s="376"/>
    </row>
    <row r="88" spans="1:23" x14ac:dyDescent="0.25">
      <c r="A88" s="396"/>
      <c r="B88" s="396"/>
      <c r="C88" s="396"/>
      <c r="D88" s="396"/>
      <c r="E88" s="396"/>
      <c r="F88" s="396"/>
      <c r="G88" s="396"/>
      <c r="H88" s="396"/>
      <c r="I88" s="396"/>
      <c r="J88" s="396"/>
      <c r="K88" s="396"/>
      <c r="L88" s="396"/>
      <c r="M88" s="396"/>
      <c r="N88" s="396"/>
      <c r="O88" s="396"/>
      <c r="P88" s="396"/>
      <c r="Q88" s="378"/>
      <c r="R88" s="378"/>
      <c r="S88" s="376"/>
      <c r="T88" s="376"/>
      <c r="U88" s="376"/>
      <c r="V88" s="376"/>
      <c r="W88" s="376"/>
    </row>
    <row r="89" spans="1:23" x14ac:dyDescent="0.25">
      <c r="A89" s="396"/>
      <c r="B89" s="396"/>
      <c r="C89" s="396"/>
      <c r="D89" s="396"/>
      <c r="E89" s="396"/>
      <c r="F89" s="396"/>
      <c r="G89" s="396"/>
      <c r="H89" s="396"/>
      <c r="I89" s="396"/>
      <c r="J89" s="396"/>
      <c r="K89" s="396"/>
      <c r="L89" s="396"/>
      <c r="M89" s="396"/>
      <c r="N89" s="396"/>
      <c r="O89" s="396"/>
      <c r="P89" s="396"/>
      <c r="Q89" s="378"/>
      <c r="R89" s="378"/>
      <c r="S89" s="376"/>
      <c r="T89" s="376"/>
      <c r="U89" s="376"/>
      <c r="V89" s="376"/>
      <c r="W89" s="376"/>
    </row>
    <row r="90" spans="1:23" x14ac:dyDescent="0.25">
      <c r="A90" s="396"/>
      <c r="B90" s="396" t="s">
        <v>576</v>
      </c>
      <c r="C90" s="1288">
        <v>1.8499999999999999E-2</v>
      </c>
      <c r="D90" s="1288">
        <v>1.0200000000000001E-2</v>
      </c>
      <c r="E90" s="1288">
        <v>8.9999999999999993E-3</v>
      </c>
      <c r="F90" s="1288">
        <v>1.24E-2</v>
      </c>
      <c r="G90" s="1288">
        <v>9.7000000000000003E-3</v>
      </c>
      <c r="H90" s="1288">
        <v>6.7999999999999996E-3</v>
      </c>
      <c r="I90" s="1288">
        <v>4.4299999999999999E-2</v>
      </c>
      <c r="J90" s="1288">
        <v>6.5100000000000005E-2</v>
      </c>
      <c r="K90" s="1288">
        <v>5.79E-2</v>
      </c>
      <c r="L90" s="1288">
        <v>7.2999999999999995E-2</v>
      </c>
      <c r="M90" s="396"/>
      <c r="N90" s="396"/>
      <c r="O90" s="396"/>
      <c r="P90" s="396"/>
      <c r="Q90" s="378"/>
      <c r="R90" s="378"/>
      <c r="S90" s="376"/>
      <c r="T90" s="376"/>
      <c r="U90" s="376"/>
      <c r="V90" s="376"/>
      <c r="W90" s="376"/>
    </row>
    <row r="91" spans="1:23" x14ac:dyDescent="0.25">
      <c r="A91" s="396"/>
      <c r="B91" s="396"/>
      <c r="C91" s="396"/>
      <c r="D91" s="396"/>
      <c r="E91" s="396"/>
      <c r="F91" s="396"/>
      <c r="G91" s="396"/>
      <c r="H91" s="396"/>
      <c r="I91" s="396"/>
      <c r="J91" s="396"/>
      <c r="K91" s="396"/>
      <c r="L91" s="396"/>
      <c r="M91" s="396"/>
      <c r="N91" s="396"/>
      <c r="O91" s="396"/>
      <c r="P91" s="396"/>
      <c r="Q91" s="378"/>
      <c r="R91" s="378"/>
      <c r="S91" s="376"/>
      <c r="T91" s="376"/>
      <c r="U91" s="376"/>
      <c r="V91" s="376"/>
      <c r="W91" s="376"/>
    </row>
    <row r="92" spans="1:23" x14ac:dyDescent="0.25">
      <c r="A92" s="396"/>
      <c r="B92" s="396" t="s">
        <v>149</v>
      </c>
      <c r="C92" s="396" t="s">
        <v>604</v>
      </c>
      <c r="D92" s="396" t="s">
        <v>604</v>
      </c>
      <c r="E92" s="1288">
        <v>4.4350000000000001E-2</v>
      </c>
      <c r="F92" s="1288">
        <v>4.4400000000000002E-2</v>
      </c>
      <c r="G92" s="1288">
        <v>3.3489999999999999E-2</v>
      </c>
      <c r="H92" s="1288">
        <v>3.3500000000000002E-2</v>
      </c>
      <c r="I92" s="1288">
        <v>4.6780000000000002E-2</v>
      </c>
      <c r="J92" s="1288">
        <v>4.6300000000000001E-2</v>
      </c>
      <c r="K92" s="1288">
        <v>5.4829999999999997E-2</v>
      </c>
      <c r="L92" s="1288">
        <v>5.4899999999999997E-2</v>
      </c>
      <c r="M92" s="396"/>
      <c r="N92" s="396"/>
      <c r="O92" s="396"/>
      <c r="P92" s="396"/>
      <c r="Q92" s="396"/>
      <c r="R92" s="396"/>
      <c r="S92" s="259"/>
      <c r="T92" s="259"/>
      <c r="U92" s="259"/>
      <c r="V92" s="259"/>
    </row>
    <row r="93" spans="1:23" x14ac:dyDescent="0.25">
      <c r="A93" s="396"/>
      <c r="B93" s="396"/>
      <c r="C93" s="396"/>
      <c r="D93" s="396"/>
      <c r="E93" s="396"/>
      <c r="F93" s="396"/>
      <c r="G93" s="396"/>
      <c r="H93" s="396"/>
      <c r="I93" s="396"/>
      <c r="J93" s="396"/>
      <c r="K93" s="396"/>
      <c r="L93" s="396"/>
      <c r="M93" s="396"/>
      <c r="N93" s="396"/>
      <c r="O93" s="396"/>
      <c r="P93" s="396"/>
      <c r="Q93" s="259"/>
      <c r="R93" s="259"/>
      <c r="S93" s="259"/>
      <c r="T93" s="259"/>
      <c r="U93" s="259"/>
      <c r="V93" s="259"/>
    </row>
    <row r="94" spans="1:23" ht="23.25" customHeight="1" x14ac:dyDescent="0.25">
      <c r="A94" s="396"/>
      <c r="B94" s="396" t="s">
        <v>576</v>
      </c>
      <c r="C94" s="396" t="s">
        <v>764</v>
      </c>
      <c r="D94" s="396" t="s">
        <v>853</v>
      </c>
      <c r="E94" s="396" t="s">
        <v>768</v>
      </c>
      <c r="F94" s="396"/>
      <c r="G94" s="396"/>
      <c r="H94" s="396"/>
      <c r="I94" s="396"/>
      <c r="J94" s="396"/>
      <c r="K94" s="396"/>
      <c r="L94" s="396"/>
      <c r="M94" s="396"/>
      <c r="N94" s="396"/>
      <c r="O94" s="396"/>
      <c r="P94" s="396"/>
      <c r="Q94" s="259"/>
      <c r="R94" s="259"/>
      <c r="S94" s="259"/>
      <c r="T94" s="259"/>
      <c r="U94" s="259"/>
      <c r="V94" s="259"/>
    </row>
    <row r="95" spans="1:23" x14ac:dyDescent="0.25">
      <c r="A95" s="396"/>
      <c r="B95" s="396"/>
      <c r="C95" s="396"/>
      <c r="D95" s="396"/>
      <c r="E95" s="396"/>
      <c r="F95" s="396"/>
      <c r="G95" s="396"/>
      <c r="H95" s="396"/>
      <c r="I95" s="396"/>
      <c r="J95" s="396"/>
      <c r="K95" s="396"/>
      <c r="L95" s="396"/>
      <c r="M95" s="396"/>
      <c r="N95" s="396"/>
      <c r="O95" s="396"/>
      <c r="P95" s="396"/>
      <c r="Q95" s="259"/>
      <c r="R95" s="259"/>
      <c r="S95" s="259"/>
      <c r="T95" s="259"/>
      <c r="U95" s="259"/>
      <c r="V95" s="259"/>
    </row>
    <row r="96" spans="1:23" x14ac:dyDescent="0.25">
      <c r="A96" s="396"/>
      <c r="B96" s="396" t="s">
        <v>854</v>
      </c>
      <c r="C96" s="396" t="s">
        <v>764</v>
      </c>
      <c r="D96" s="396" t="s">
        <v>853</v>
      </c>
      <c r="E96" s="1288">
        <v>8.3000000000000004E-2</v>
      </c>
      <c r="F96" s="1288">
        <v>7.1499999999999994E-2</v>
      </c>
      <c r="G96" s="1288">
        <v>3.32E-2</v>
      </c>
      <c r="H96" s="1288">
        <v>4.0099999999999997E-2</v>
      </c>
      <c r="I96" s="1288">
        <v>0.33229999999999998</v>
      </c>
      <c r="J96" s="1288">
        <v>0.33139999999999997</v>
      </c>
      <c r="K96" s="1288">
        <v>6.6600000000000006E-2</v>
      </c>
      <c r="L96" s="1288">
        <v>6.6799999999999998E-2</v>
      </c>
      <c r="M96" s="1288">
        <v>3.3500000000000002E-2</v>
      </c>
      <c r="N96" s="1288">
        <v>3.3500000000000002E-2</v>
      </c>
      <c r="O96" s="396"/>
      <c r="P96" s="396"/>
      <c r="Q96" s="259"/>
      <c r="R96" s="259"/>
      <c r="S96" s="259"/>
      <c r="T96" s="259"/>
      <c r="U96" s="259"/>
      <c r="V96" s="259"/>
    </row>
    <row r="97" spans="1:22" x14ac:dyDescent="0.25">
      <c r="A97" s="396"/>
      <c r="B97" s="396"/>
      <c r="C97" s="396"/>
      <c r="D97" s="396"/>
      <c r="E97" s="396"/>
      <c r="F97" s="396"/>
      <c r="G97" s="396"/>
      <c r="H97" s="396"/>
      <c r="I97" s="396"/>
      <c r="J97" s="396"/>
      <c r="K97" s="396"/>
      <c r="L97" s="396"/>
      <c r="M97" s="396"/>
      <c r="N97" s="396"/>
      <c r="O97" s="396"/>
      <c r="P97" s="396"/>
      <c r="Q97" s="259"/>
      <c r="R97" s="259"/>
      <c r="S97" s="259"/>
      <c r="T97" s="259"/>
      <c r="U97" s="259"/>
      <c r="V97" s="259"/>
    </row>
    <row r="98" spans="1:22" x14ac:dyDescent="0.25">
      <c r="A98" s="396"/>
      <c r="B98" s="396" t="s">
        <v>775</v>
      </c>
      <c r="C98" s="396" t="s">
        <v>855</v>
      </c>
      <c r="D98" s="396" t="s">
        <v>604</v>
      </c>
      <c r="E98" s="396" t="s">
        <v>604</v>
      </c>
      <c r="F98" s="396" t="s">
        <v>604</v>
      </c>
      <c r="G98" s="396" t="s">
        <v>604</v>
      </c>
      <c r="H98" s="1288">
        <v>4.0000000000000001E-3</v>
      </c>
      <c r="I98" s="396" t="s">
        <v>604</v>
      </c>
      <c r="J98" s="1288">
        <v>-2.8000000000000001E-2</v>
      </c>
      <c r="K98" s="396" t="s">
        <v>604</v>
      </c>
      <c r="L98" s="1288">
        <v>-7.0599999999999996E-2</v>
      </c>
      <c r="M98" s="396" t="s">
        <v>604</v>
      </c>
      <c r="N98" s="396"/>
      <c r="O98" s="396"/>
      <c r="P98" s="396"/>
    </row>
    <row r="99" spans="1:22" x14ac:dyDescent="0.25">
      <c r="A99" s="396"/>
      <c r="B99" s="396"/>
      <c r="C99" s="396"/>
      <c r="D99" s="396"/>
      <c r="E99" s="396"/>
      <c r="F99" s="396"/>
      <c r="G99" s="396"/>
      <c r="H99" s="396"/>
      <c r="I99" s="396"/>
      <c r="J99" s="396"/>
      <c r="K99" s="396"/>
      <c r="L99" s="396"/>
      <c r="M99" s="396"/>
      <c r="N99" s="396"/>
      <c r="O99" s="396"/>
      <c r="P99" s="396"/>
    </row>
    <row r="100" spans="1:22" x14ac:dyDescent="0.25">
      <c r="A100" s="396"/>
      <c r="B100" s="396" t="s">
        <v>109</v>
      </c>
      <c r="C100" s="396" t="s">
        <v>783</v>
      </c>
      <c r="D100" s="396" t="s">
        <v>346</v>
      </c>
      <c r="E100" s="1288">
        <v>3.7600000000000001E-2</v>
      </c>
      <c r="F100" s="396" t="s">
        <v>604</v>
      </c>
      <c r="G100" s="1288">
        <v>1.9300000000000001E-2</v>
      </c>
      <c r="H100" s="396" t="s">
        <v>604</v>
      </c>
      <c r="I100" s="1288">
        <v>7.1499999999999994E-2</v>
      </c>
      <c r="J100" s="396" t="s">
        <v>604</v>
      </c>
      <c r="K100" s="1288">
        <v>1.17E-2</v>
      </c>
      <c r="L100" s="396" t="s">
        <v>604</v>
      </c>
      <c r="M100" s="1288">
        <v>5.8099999999999999E-2</v>
      </c>
      <c r="N100" s="396" t="s">
        <v>604</v>
      </c>
      <c r="O100" s="396"/>
      <c r="P100" s="396"/>
    </row>
    <row r="101" spans="1:22" x14ac:dyDescent="0.25">
      <c r="A101" s="396"/>
      <c r="B101" s="396"/>
      <c r="C101" s="396"/>
      <c r="D101" s="396"/>
      <c r="E101" s="396"/>
      <c r="F101" s="396"/>
      <c r="G101" s="396"/>
      <c r="H101" s="396"/>
      <c r="I101" s="396"/>
      <c r="J101" s="396"/>
      <c r="K101" s="396"/>
      <c r="L101" s="396"/>
      <c r="M101" s="396"/>
      <c r="N101" s="396"/>
      <c r="O101" s="396"/>
      <c r="P101" s="396"/>
    </row>
    <row r="102" spans="1:22" x14ac:dyDescent="0.25">
      <c r="A102" s="396"/>
      <c r="B102" s="396" t="s">
        <v>856</v>
      </c>
      <c r="C102" s="396" t="s">
        <v>855</v>
      </c>
      <c r="D102" s="1288">
        <v>6.8999999999999999E-3</v>
      </c>
      <c r="E102" s="396" t="s">
        <v>604</v>
      </c>
      <c r="F102" s="1288">
        <v>-1.11E-2</v>
      </c>
      <c r="G102" s="396" t="s">
        <v>604</v>
      </c>
      <c r="H102" s="1288">
        <v>-2.53E-2</v>
      </c>
      <c r="I102" s="396" t="s">
        <v>604</v>
      </c>
      <c r="J102" s="1288">
        <v>0.1027</v>
      </c>
      <c r="K102" s="396" t="s">
        <v>604</v>
      </c>
      <c r="L102" s="1288">
        <v>4.9579999999999999E-2</v>
      </c>
      <c r="M102" s="396" t="s">
        <v>604</v>
      </c>
      <c r="N102" s="396"/>
      <c r="O102" s="396"/>
      <c r="P102" s="396"/>
    </row>
    <row r="103" spans="1:22" x14ac:dyDescent="0.25">
      <c r="A103" s="396"/>
      <c r="B103" s="396"/>
      <c r="C103" s="396"/>
      <c r="D103" s="396"/>
      <c r="E103" s="396"/>
      <c r="F103" s="396"/>
      <c r="G103" s="396"/>
      <c r="H103" s="396"/>
      <c r="I103" s="396"/>
      <c r="J103" s="396"/>
      <c r="K103" s="396"/>
      <c r="L103" s="396"/>
      <c r="M103" s="396"/>
      <c r="N103" s="396"/>
      <c r="O103" s="396"/>
      <c r="P103" s="396"/>
    </row>
    <row r="104" spans="1:22" x14ac:dyDescent="0.25">
      <c r="A104" s="396"/>
      <c r="B104" s="396" t="s">
        <v>136</v>
      </c>
      <c r="C104" s="1288">
        <v>5.0299999999999997E-2</v>
      </c>
      <c r="D104" s="396" t="s">
        <v>604</v>
      </c>
      <c r="E104" s="1288">
        <v>6.2799999999999995E-2</v>
      </c>
      <c r="F104" s="396" t="s">
        <v>604</v>
      </c>
      <c r="G104" s="1288">
        <v>7.5200000000000003E-2</v>
      </c>
      <c r="H104" s="396" t="s">
        <v>604</v>
      </c>
      <c r="I104" s="1288">
        <v>7.85E-2</v>
      </c>
      <c r="J104" s="396" t="s">
        <v>604</v>
      </c>
      <c r="K104" s="1288">
        <v>7.7869999999999995E-2</v>
      </c>
      <c r="L104" s="396" t="s">
        <v>604</v>
      </c>
      <c r="M104" s="396"/>
      <c r="N104" s="396"/>
      <c r="O104" s="396"/>
      <c r="P104" s="396"/>
    </row>
    <row r="105" spans="1:22" x14ac:dyDescent="0.25">
      <c r="A105" s="396"/>
      <c r="B105" s="396"/>
      <c r="C105" s="396"/>
      <c r="D105" s="396"/>
      <c r="E105" s="396"/>
      <c r="F105" s="396"/>
      <c r="G105" s="396"/>
      <c r="H105" s="396"/>
      <c r="I105" s="396"/>
      <c r="J105" s="396"/>
      <c r="K105" s="396"/>
      <c r="L105" s="396"/>
      <c r="M105" s="396"/>
      <c r="N105" s="396"/>
      <c r="O105" s="396"/>
      <c r="P105" s="396"/>
    </row>
    <row r="106" spans="1:22" x14ac:dyDescent="0.25">
      <c r="A106" s="396"/>
      <c r="B106" s="396"/>
      <c r="C106" s="396"/>
      <c r="D106" s="396"/>
      <c r="E106" s="396"/>
      <c r="F106" s="396"/>
      <c r="G106" s="396"/>
      <c r="H106" s="396"/>
      <c r="I106" s="396"/>
      <c r="J106" s="396"/>
      <c r="K106" s="396"/>
      <c r="L106" s="396"/>
      <c r="M106" s="396"/>
      <c r="N106" s="396"/>
      <c r="O106" s="396"/>
      <c r="P106" s="396"/>
    </row>
    <row r="107" spans="1:22" x14ac:dyDescent="0.25">
      <c r="A107" s="396"/>
      <c r="B107" s="396"/>
      <c r="C107" s="396"/>
      <c r="D107" s="396"/>
      <c r="E107" s="396"/>
      <c r="F107" s="396"/>
      <c r="G107" s="396"/>
      <c r="H107" s="396"/>
      <c r="I107" s="396"/>
      <c r="J107" s="396"/>
      <c r="K107" s="396"/>
      <c r="L107" s="396"/>
      <c r="M107" s="396"/>
      <c r="N107" s="396"/>
      <c r="O107" s="396"/>
      <c r="P107" s="396"/>
    </row>
    <row r="108" spans="1:22" x14ac:dyDescent="0.25">
      <c r="A108" s="396"/>
      <c r="B108" s="396"/>
      <c r="C108" s="396"/>
      <c r="D108" s="396"/>
      <c r="E108" s="396"/>
      <c r="F108" s="396"/>
      <c r="G108" s="396"/>
      <c r="H108" s="396"/>
      <c r="I108" s="396"/>
      <c r="J108" s="396"/>
      <c r="K108" s="396"/>
      <c r="L108" s="396"/>
      <c r="M108" s="396"/>
      <c r="N108" s="396"/>
      <c r="O108" s="396"/>
      <c r="P108" s="396"/>
    </row>
    <row r="109" spans="1:22" x14ac:dyDescent="0.25">
      <c r="A109" s="396"/>
      <c r="B109" s="396"/>
      <c r="C109" s="396"/>
      <c r="D109" s="396"/>
      <c r="E109" s="396"/>
      <c r="F109" s="396"/>
      <c r="G109" s="396"/>
      <c r="H109" s="396"/>
      <c r="I109" s="396"/>
      <c r="J109" s="396"/>
      <c r="K109" s="396"/>
      <c r="L109" s="396"/>
      <c r="M109" s="396"/>
      <c r="N109" s="396"/>
      <c r="O109" s="396"/>
      <c r="P109" s="396"/>
    </row>
    <row r="110" spans="1:22" x14ac:dyDescent="0.25">
      <c r="A110" s="396"/>
      <c r="B110" s="396"/>
      <c r="C110" s="396"/>
      <c r="D110" s="396"/>
      <c r="E110" s="396"/>
      <c r="F110" s="396"/>
      <c r="G110" s="396"/>
      <c r="H110" s="396"/>
      <c r="I110" s="396"/>
      <c r="J110" s="396"/>
      <c r="K110" s="396"/>
      <c r="L110" s="396"/>
      <c r="M110" s="396"/>
      <c r="N110" s="396"/>
      <c r="O110" s="396"/>
      <c r="P110" s="396"/>
    </row>
    <row r="111" spans="1:22" x14ac:dyDescent="0.25">
      <c r="A111" s="396"/>
      <c r="B111" s="396"/>
      <c r="C111" s="396"/>
      <c r="D111" s="396"/>
      <c r="E111" s="396"/>
      <c r="F111" s="396"/>
      <c r="G111" s="396"/>
      <c r="H111" s="396"/>
      <c r="I111" s="396"/>
      <c r="J111" s="396"/>
      <c r="K111" s="396"/>
      <c r="L111" s="396"/>
      <c r="M111" s="396"/>
      <c r="N111" s="396"/>
      <c r="O111" s="396"/>
      <c r="P111" s="396"/>
    </row>
    <row r="112" spans="1:22" x14ac:dyDescent="0.25">
      <c r="A112" s="396"/>
      <c r="B112" s="396"/>
      <c r="C112" s="396"/>
      <c r="D112" s="396"/>
      <c r="E112" s="396"/>
      <c r="F112" s="396"/>
      <c r="G112" s="396"/>
      <c r="H112" s="396"/>
      <c r="I112" s="396"/>
      <c r="J112" s="396"/>
      <c r="K112" s="396"/>
      <c r="L112" s="396"/>
      <c r="M112" s="396"/>
      <c r="N112" s="396"/>
      <c r="O112" s="396"/>
      <c r="P112" s="396"/>
    </row>
    <row r="113" spans="1:16" x14ac:dyDescent="0.25">
      <c r="A113" s="396"/>
      <c r="B113" s="396"/>
      <c r="C113" s="396"/>
      <c r="D113" s="396"/>
      <c r="E113" s="396"/>
      <c r="F113" s="396"/>
      <c r="G113" s="396"/>
      <c r="H113" s="396"/>
      <c r="I113" s="396"/>
      <c r="J113" s="396"/>
      <c r="K113" s="396"/>
      <c r="L113" s="396"/>
      <c r="M113" s="396"/>
      <c r="N113" s="396"/>
      <c r="O113" s="396"/>
      <c r="P113" s="396"/>
    </row>
    <row r="114" spans="1:16" x14ac:dyDescent="0.25">
      <c r="A114" s="396"/>
      <c r="B114" s="396"/>
      <c r="C114" s="396"/>
      <c r="D114" s="396"/>
      <c r="E114" s="396"/>
      <c r="F114" s="396"/>
      <c r="G114" s="396"/>
      <c r="H114" s="396"/>
      <c r="I114" s="396"/>
      <c r="J114" s="396"/>
      <c r="K114" s="396"/>
      <c r="L114" s="396"/>
      <c r="M114" s="396"/>
      <c r="N114" s="396"/>
      <c r="O114" s="396"/>
      <c r="P114" s="396"/>
    </row>
    <row r="115" spans="1:16" x14ac:dyDescent="0.25">
      <c r="A115" s="396"/>
      <c r="B115" s="396"/>
      <c r="C115" s="396"/>
      <c r="D115" s="396"/>
      <c r="E115" s="396"/>
      <c r="F115" s="396"/>
      <c r="G115" s="396"/>
      <c r="H115" s="396"/>
      <c r="I115" s="396"/>
      <c r="J115" s="396"/>
      <c r="K115" s="396"/>
      <c r="L115" s="396"/>
      <c r="M115" s="396"/>
      <c r="N115" s="396"/>
      <c r="O115" s="396"/>
      <c r="P115" s="396"/>
    </row>
    <row r="116" spans="1:16" x14ac:dyDescent="0.25">
      <c r="A116" s="396"/>
      <c r="B116" s="396"/>
      <c r="C116" s="396"/>
      <c r="D116" s="396"/>
      <c r="E116" s="396"/>
      <c r="F116" s="396"/>
      <c r="G116" s="396"/>
      <c r="H116" s="396"/>
      <c r="I116" s="396"/>
      <c r="J116" s="396"/>
      <c r="K116" s="396"/>
      <c r="L116" s="396"/>
      <c r="M116" s="396"/>
      <c r="N116" s="396"/>
      <c r="O116" s="396"/>
      <c r="P116" s="396"/>
    </row>
    <row r="117" spans="1:16" x14ac:dyDescent="0.25">
      <c r="A117" s="396"/>
      <c r="B117" s="396"/>
      <c r="C117" s="396"/>
      <c r="D117" s="396"/>
      <c r="E117" s="396"/>
      <c r="F117" s="396"/>
      <c r="G117" s="396"/>
      <c r="H117" s="396"/>
      <c r="I117" s="396"/>
      <c r="J117" s="396"/>
      <c r="K117" s="396"/>
      <c r="L117" s="396"/>
      <c r="M117" s="396"/>
      <c r="N117" s="396"/>
      <c r="O117" s="396"/>
      <c r="P117" s="396"/>
    </row>
    <row r="118" spans="1:16" x14ac:dyDescent="0.25">
      <c r="A118" s="396"/>
      <c r="B118" s="396"/>
      <c r="C118" s="396"/>
      <c r="D118" s="396"/>
      <c r="E118" s="396"/>
      <c r="F118" s="396"/>
      <c r="G118" s="396"/>
      <c r="H118" s="396"/>
      <c r="I118" s="396"/>
      <c r="J118" s="396"/>
      <c r="K118" s="396"/>
      <c r="L118" s="396"/>
      <c r="M118" s="396"/>
      <c r="N118" s="396"/>
      <c r="O118" s="396"/>
      <c r="P118" s="396"/>
    </row>
    <row r="119" spans="1:16" x14ac:dyDescent="0.25">
      <c r="A119" s="396"/>
      <c r="B119" s="396"/>
      <c r="C119" s="396"/>
      <c r="D119" s="396"/>
      <c r="E119" s="396"/>
      <c r="F119" s="396"/>
      <c r="G119" s="396"/>
      <c r="H119" s="396"/>
      <c r="I119" s="396"/>
      <c r="J119" s="396"/>
      <c r="K119" s="396"/>
      <c r="L119" s="396"/>
      <c r="M119" s="396"/>
      <c r="N119" s="396"/>
      <c r="O119" s="396"/>
      <c r="P119" s="396"/>
    </row>
    <row r="120" spans="1:16" x14ac:dyDescent="0.25">
      <c r="A120" s="396"/>
      <c r="B120" s="396"/>
      <c r="C120" s="396"/>
      <c r="D120" s="396"/>
      <c r="E120" s="396"/>
      <c r="F120" s="396"/>
      <c r="G120" s="396"/>
      <c r="H120" s="396"/>
      <c r="I120" s="396"/>
      <c r="J120" s="396"/>
      <c r="K120" s="396"/>
      <c r="L120" s="396"/>
      <c r="M120" s="396"/>
      <c r="N120" s="396"/>
      <c r="O120" s="396"/>
      <c r="P120" s="396"/>
    </row>
    <row r="121" spans="1:16" x14ac:dyDescent="0.25">
      <c r="A121" s="396"/>
      <c r="B121" s="396"/>
      <c r="C121" s="396"/>
      <c r="D121" s="396"/>
      <c r="E121" s="396"/>
      <c r="F121" s="396"/>
      <c r="G121" s="396"/>
      <c r="H121" s="396"/>
      <c r="I121" s="396"/>
      <c r="J121" s="396"/>
      <c r="K121" s="396"/>
      <c r="L121" s="396"/>
      <c r="M121" s="396"/>
      <c r="N121" s="396"/>
      <c r="O121" s="396"/>
      <c r="P121" s="396"/>
    </row>
    <row r="122" spans="1:16" x14ac:dyDescent="0.25">
      <c r="A122" s="396"/>
      <c r="B122" s="396"/>
      <c r="C122" s="396"/>
      <c r="D122" s="396"/>
      <c r="E122" s="396"/>
      <c r="F122" s="396"/>
      <c r="G122" s="396"/>
      <c r="H122" s="396"/>
      <c r="I122" s="396"/>
      <c r="J122" s="396"/>
      <c r="K122" s="396"/>
      <c r="L122" s="396"/>
      <c r="M122" s="396"/>
      <c r="N122" s="396"/>
      <c r="O122" s="396"/>
      <c r="P122" s="396"/>
    </row>
    <row r="123" spans="1:16" x14ac:dyDescent="0.25">
      <c r="A123" s="396"/>
      <c r="B123" s="396"/>
      <c r="C123" s="396"/>
      <c r="D123" s="396"/>
      <c r="E123" s="396"/>
      <c r="F123" s="396"/>
      <c r="G123" s="396"/>
      <c r="H123" s="396"/>
      <c r="I123" s="396"/>
      <c r="J123" s="396"/>
      <c r="K123" s="396"/>
      <c r="L123" s="396"/>
      <c r="M123" s="396"/>
      <c r="N123" s="396"/>
      <c r="O123" s="396"/>
      <c r="P123" s="396"/>
    </row>
    <row r="124" spans="1:16" x14ac:dyDescent="0.25">
      <c r="A124" s="396"/>
      <c r="B124" s="396"/>
      <c r="C124" s="396"/>
      <c r="D124" s="396"/>
      <c r="E124" s="396"/>
      <c r="F124" s="396"/>
      <c r="G124" s="396"/>
      <c r="H124" s="396"/>
      <c r="I124" s="396"/>
      <c r="J124" s="396"/>
      <c r="K124" s="396"/>
      <c r="L124" s="396"/>
      <c r="M124" s="396"/>
      <c r="N124" s="396"/>
      <c r="O124" s="396"/>
      <c r="P124" s="396"/>
    </row>
    <row r="125" spans="1:16" x14ac:dyDescent="0.25">
      <c r="A125" s="396"/>
      <c r="B125" s="396"/>
      <c r="C125" s="396"/>
      <c r="D125" s="396"/>
      <c r="E125" s="396"/>
      <c r="F125" s="396"/>
      <c r="G125" s="396"/>
      <c r="H125" s="396"/>
      <c r="I125" s="396"/>
      <c r="J125" s="396"/>
      <c r="K125" s="396"/>
      <c r="L125" s="396"/>
      <c r="M125" s="396"/>
      <c r="N125" s="396"/>
      <c r="O125" s="396"/>
      <c r="P125" s="396"/>
    </row>
    <row r="126" spans="1:16" x14ac:dyDescent="0.25">
      <c r="A126" s="396"/>
      <c r="B126" s="396"/>
      <c r="C126" s="396"/>
      <c r="D126" s="396"/>
      <c r="E126" s="396"/>
      <c r="F126" s="396"/>
      <c r="G126" s="396"/>
      <c r="H126" s="396"/>
      <c r="I126" s="396"/>
      <c r="J126" s="396"/>
      <c r="K126" s="396"/>
      <c r="L126" s="396"/>
      <c r="M126" s="396"/>
      <c r="N126" s="396"/>
      <c r="O126" s="396"/>
      <c r="P126" s="396"/>
    </row>
    <row r="127" spans="1:16" x14ac:dyDescent="0.25">
      <c r="A127" s="396"/>
      <c r="B127" s="396"/>
      <c r="C127" s="396"/>
      <c r="D127" s="396"/>
      <c r="E127" s="396"/>
      <c r="F127" s="396"/>
      <c r="G127" s="396"/>
      <c r="H127" s="396"/>
      <c r="I127" s="396"/>
      <c r="J127" s="396"/>
      <c r="K127" s="396"/>
      <c r="L127" s="396"/>
      <c r="M127" s="396"/>
      <c r="N127" s="396"/>
      <c r="O127" s="396"/>
      <c r="P127" s="396"/>
    </row>
    <row r="128" spans="1:16" x14ac:dyDescent="0.25">
      <c r="A128" s="396"/>
      <c r="B128" s="396"/>
      <c r="C128" s="396"/>
      <c r="D128" s="396"/>
      <c r="E128" s="396"/>
      <c r="F128" s="396"/>
      <c r="G128" s="396"/>
      <c r="H128" s="396"/>
      <c r="I128" s="396"/>
      <c r="J128" s="396"/>
      <c r="K128" s="396"/>
      <c r="L128" s="396"/>
      <c r="M128" s="396"/>
      <c r="N128" s="396"/>
      <c r="O128" s="396"/>
      <c r="P128" s="396"/>
    </row>
    <row r="129" spans="1:16" x14ac:dyDescent="0.25">
      <c r="A129" s="396"/>
      <c r="B129" s="396"/>
      <c r="C129" s="396"/>
      <c r="D129" s="396"/>
      <c r="E129" s="396"/>
      <c r="F129" s="396"/>
      <c r="G129" s="396"/>
      <c r="H129" s="396"/>
      <c r="I129" s="396"/>
      <c r="J129" s="396"/>
      <c r="K129" s="396"/>
      <c r="L129" s="396"/>
      <c r="M129" s="396"/>
      <c r="N129" s="396"/>
      <c r="O129" s="396"/>
      <c r="P129" s="396"/>
    </row>
    <row r="130" spans="1:16" x14ac:dyDescent="0.25">
      <c r="A130" s="396"/>
      <c r="B130" s="396"/>
      <c r="C130" s="396"/>
      <c r="D130" s="396"/>
      <c r="E130" s="396"/>
      <c r="F130" s="396"/>
      <c r="G130" s="396"/>
      <c r="H130" s="396"/>
      <c r="I130" s="396"/>
      <c r="J130" s="396"/>
      <c r="K130" s="396"/>
      <c r="L130" s="396"/>
      <c r="M130" s="396"/>
      <c r="N130" s="396"/>
      <c r="O130" s="396"/>
      <c r="P130" s="396"/>
    </row>
    <row r="131" spans="1:16" x14ac:dyDescent="0.25">
      <c r="A131" s="396"/>
      <c r="B131" s="396"/>
      <c r="C131" s="396"/>
      <c r="D131" s="396"/>
      <c r="E131" s="396"/>
      <c r="F131" s="396"/>
      <c r="G131" s="396"/>
      <c r="H131" s="396"/>
      <c r="I131" s="396"/>
      <c r="J131" s="396"/>
      <c r="K131" s="396"/>
      <c r="L131" s="396"/>
      <c r="M131" s="396"/>
      <c r="N131" s="396"/>
      <c r="O131" s="396"/>
      <c r="P131" s="396"/>
    </row>
    <row r="132" spans="1:16" x14ac:dyDescent="0.25">
      <c r="A132" s="396"/>
      <c r="B132" s="396"/>
      <c r="C132" s="396"/>
      <c r="D132" s="396"/>
      <c r="E132" s="396"/>
      <c r="F132" s="396"/>
      <c r="G132" s="396"/>
      <c r="H132" s="396"/>
      <c r="I132" s="396"/>
      <c r="J132" s="396"/>
      <c r="K132" s="396"/>
      <c r="L132" s="396"/>
      <c r="M132" s="396"/>
      <c r="N132" s="396"/>
      <c r="O132" s="396"/>
      <c r="P132" s="396"/>
    </row>
    <row r="133" spans="1:16" x14ac:dyDescent="0.25">
      <c r="A133" s="396"/>
      <c r="B133" s="396"/>
      <c r="C133" s="396"/>
      <c r="D133" s="396"/>
      <c r="E133" s="396"/>
      <c r="F133" s="396"/>
      <c r="G133" s="396"/>
      <c r="H133" s="396"/>
      <c r="I133" s="396"/>
      <c r="J133" s="396"/>
      <c r="K133" s="396"/>
      <c r="L133" s="396"/>
      <c r="M133" s="396"/>
      <c r="N133" s="396"/>
      <c r="O133" s="396"/>
      <c r="P133" s="396"/>
    </row>
    <row r="134" spans="1:16" x14ac:dyDescent="0.25">
      <c r="A134" s="396"/>
      <c r="B134" s="396"/>
      <c r="C134" s="396"/>
      <c r="D134" s="396"/>
      <c r="E134" s="396"/>
      <c r="F134" s="396"/>
      <c r="G134" s="396"/>
      <c r="H134" s="396"/>
      <c r="I134" s="396"/>
      <c r="J134" s="396"/>
      <c r="K134" s="396"/>
      <c r="L134" s="396"/>
      <c r="M134" s="396"/>
      <c r="N134" s="396"/>
      <c r="O134" s="396"/>
      <c r="P134" s="396"/>
    </row>
    <row r="135" spans="1:16" x14ac:dyDescent="0.25">
      <c r="A135" s="396"/>
      <c r="B135" s="396"/>
      <c r="C135" s="396"/>
      <c r="D135" s="396"/>
      <c r="E135" s="396"/>
      <c r="F135" s="396"/>
      <c r="G135" s="396"/>
      <c r="H135" s="396"/>
      <c r="I135" s="396"/>
      <c r="J135" s="396"/>
      <c r="K135" s="396"/>
      <c r="L135" s="396"/>
      <c r="M135" s="396"/>
      <c r="N135" s="396"/>
      <c r="O135" s="396"/>
      <c r="P135" s="396"/>
    </row>
    <row r="136" spans="1:16" x14ac:dyDescent="0.25">
      <c r="A136" s="396"/>
      <c r="B136" s="396"/>
      <c r="C136" s="396"/>
      <c r="D136" s="396"/>
      <c r="E136" s="396"/>
      <c r="F136" s="396"/>
      <c r="G136" s="396"/>
      <c r="H136" s="396"/>
      <c r="I136" s="396"/>
      <c r="J136" s="396"/>
      <c r="K136" s="396"/>
      <c r="L136" s="396"/>
      <c r="M136" s="396"/>
      <c r="N136" s="396"/>
      <c r="O136" s="396"/>
      <c r="P136" s="396"/>
    </row>
    <row r="137" spans="1:16" x14ac:dyDescent="0.25">
      <c r="A137" s="396"/>
      <c r="B137" s="396"/>
      <c r="C137" s="396"/>
      <c r="D137" s="396"/>
      <c r="E137" s="396"/>
      <c r="F137" s="396"/>
      <c r="G137" s="396"/>
      <c r="H137" s="396"/>
      <c r="I137" s="396"/>
      <c r="J137" s="396"/>
      <c r="K137" s="396"/>
      <c r="L137" s="396"/>
      <c r="M137" s="396"/>
      <c r="N137" s="396"/>
      <c r="O137" s="396"/>
      <c r="P137" s="396"/>
    </row>
    <row r="138" spans="1:16" x14ac:dyDescent="0.25">
      <c r="A138" s="396"/>
      <c r="B138" s="396"/>
      <c r="C138" s="396"/>
      <c r="D138" s="396"/>
      <c r="E138" s="396"/>
      <c r="F138" s="396"/>
      <c r="G138" s="396"/>
      <c r="H138" s="396"/>
      <c r="I138" s="396"/>
      <c r="J138" s="396"/>
      <c r="K138" s="396"/>
      <c r="L138" s="396"/>
      <c r="M138" s="396"/>
      <c r="N138" s="396"/>
      <c r="O138" s="396"/>
      <c r="P138" s="396"/>
    </row>
    <row r="139" spans="1:16" x14ac:dyDescent="0.25">
      <c r="A139" s="396"/>
      <c r="B139" s="396"/>
      <c r="C139" s="396"/>
      <c r="D139" s="396"/>
      <c r="E139" s="396"/>
      <c r="F139" s="396"/>
      <c r="G139" s="396"/>
      <c r="H139" s="396"/>
      <c r="I139" s="396"/>
      <c r="J139" s="396"/>
      <c r="K139" s="396"/>
      <c r="L139" s="396"/>
      <c r="M139" s="396"/>
      <c r="N139" s="396"/>
      <c r="O139" s="396"/>
      <c r="P139" s="396"/>
    </row>
    <row r="140" spans="1:16" x14ac:dyDescent="0.25">
      <c r="A140" s="396"/>
      <c r="B140" s="396"/>
      <c r="C140" s="396"/>
      <c r="D140" s="396"/>
      <c r="E140" s="396"/>
      <c r="F140" s="396"/>
      <c r="G140" s="396"/>
      <c r="H140" s="396"/>
      <c r="I140" s="396"/>
      <c r="J140" s="396"/>
      <c r="K140" s="396"/>
      <c r="L140" s="396"/>
      <c r="M140" s="396"/>
      <c r="N140" s="396"/>
      <c r="O140" s="396"/>
      <c r="P140" s="396"/>
    </row>
    <row r="141" spans="1:16" x14ac:dyDescent="0.25">
      <c r="A141" s="396"/>
      <c r="B141" s="396"/>
      <c r="C141" s="396"/>
      <c r="D141" s="396"/>
      <c r="E141" s="396"/>
      <c r="F141" s="396"/>
      <c r="G141" s="396"/>
      <c r="H141" s="396"/>
      <c r="I141" s="396"/>
      <c r="J141" s="396"/>
      <c r="K141" s="396"/>
      <c r="L141" s="396"/>
      <c r="M141" s="396"/>
      <c r="N141" s="396"/>
      <c r="O141" s="396"/>
      <c r="P141" s="396"/>
    </row>
    <row r="142" spans="1:16" x14ac:dyDescent="0.25">
      <c r="A142" s="396"/>
      <c r="B142" s="396"/>
      <c r="C142" s="396"/>
      <c r="D142" s="396"/>
      <c r="E142" s="396"/>
      <c r="F142" s="396"/>
      <c r="G142" s="396"/>
      <c r="H142" s="396"/>
      <c r="I142" s="396"/>
      <c r="J142" s="396"/>
      <c r="K142" s="396"/>
      <c r="L142" s="396"/>
      <c r="M142" s="396"/>
      <c r="N142" s="396"/>
      <c r="O142" s="396"/>
      <c r="P142" s="396"/>
    </row>
    <row r="143" spans="1:16" x14ac:dyDescent="0.25">
      <c r="A143" s="396"/>
      <c r="B143" s="396"/>
      <c r="C143" s="396"/>
      <c r="D143" s="396"/>
      <c r="E143" s="396"/>
      <c r="F143" s="396"/>
      <c r="G143" s="396"/>
      <c r="H143" s="396"/>
      <c r="I143" s="396"/>
      <c r="J143" s="396"/>
      <c r="K143" s="396"/>
      <c r="L143" s="396"/>
      <c r="M143" s="396"/>
      <c r="N143" s="396"/>
      <c r="O143" s="396"/>
      <c r="P143" s="396"/>
    </row>
    <row r="144" spans="1:16" x14ac:dyDescent="0.25">
      <c r="A144" s="396"/>
      <c r="B144" s="396"/>
      <c r="C144" s="396"/>
      <c r="D144" s="396"/>
      <c r="E144" s="396"/>
      <c r="F144" s="396"/>
      <c r="G144" s="396"/>
      <c r="H144" s="396"/>
      <c r="I144" s="396"/>
      <c r="J144" s="396"/>
      <c r="K144" s="396"/>
      <c r="L144" s="396"/>
      <c r="M144" s="396"/>
      <c r="N144" s="396"/>
      <c r="O144" s="396"/>
      <c r="P144" s="396"/>
    </row>
    <row r="145" spans="1:16" x14ac:dyDescent="0.25">
      <c r="A145" s="396"/>
      <c r="B145" s="396"/>
      <c r="C145" s="396"/>
      <c r="D145" s="396"/>
      <c r="E145" s="396"/>
      <c r="F145" s="396"/>
      <c r="G145" s="396"/>
      <c r="H145" s="396"/>
      <c r="I145" s="396"/>
      <c r="J145" s="396"/>
      <c r="K145" s="396"/>
      <c r="L145" s="396"/>
      <c r="M145" s="396"/>
      <c r="N145" s="396"/>
      <c r="O145" s="396"/>
      <c r="P145" s="396"/>
    </row>
    <row r="146" spans="1:16" x14ac:dyDescent="0.25">
      <c r="A146" s="396"/>
      <c r="B146" s="396"/>
      <c r="C146" s="396"/>
      <c r="D146" s="396"/>
      <c r="E146" s="396"/>
      <c r="F146" s="396"/>
      <c r="G146" s="396"/>
      <c r="H146" s="396"/>
      <c r="I146" s="396"/>
      <c r="J146" s="396"/>
      <c r="K146" s="396"/>
      <c r="L146" s="396"/>
      <c r="M146" s="396"/>
      <c r="N146" s="396"/>
      <c r="O146" s="396"/>
      <c r="P146" s="396"/>
    </row>
    <row r="147" spans="1:16" x14ac:dyDescent="0.25">
      <c r="A147" s="396"/>
      <c r="B147" s="396"/>
      <c r="C147" s="396"/>
      <c r="D147" s="396"/>
      <c r="E147" s="396"/>
      <c r="F147" s="396"/>
      <c r="G147" s="396"/>
      <c r="H147" s="396"/>
      <c r="I147" s="396"/>
      <c r="J147" s="396"/>
      <c r="K147" s="396"/>
      <c r="L147" s="396"/>
      <c r="M147" s="396"/>
      <c r="N147" s="396"/>
      <c r="O147" s="396"/>
      <c r="P147" s="396"/>
    </row>
    <row r="148" spans="1:16" x14ac:dyDescent="0.25">
      <c r="A148" s="396"/>
      <c r="B148" s="396"/>
      <c r="C148" s="396"/>
      <c r="D148" s="396"/>
      <c r="E148" s="396"/>
      <c r="F148" s="396"/>
      <c r="G148" s="396"/>
      <c r="H148" s="396"/>
      <c r="I148" s="396"/>
      <c r="J148" s="396"/>
      <c r="K148" s="396"/>
      <c r="L148" s="396"/>
      <c r="M148" s="396"/>
      <c r="N148" s="396"/>
      <c r="O148" s="396"/>
      <c r="P148" s="396"/>
    </row>
    <row r="149" spans="1:16" x14ac:dyDescent="0.25">
      <c r="A149" s="396"/>
      <c r="B149" s="396"/>
      <c r="C149" s="396"/>
      <c r="D149" s="396"/>
      <c r="E149" s="396"/>
      <c r="F149" s="396"/>
      <c r="G149" s="396"/>
      <c r="H149" s="396"/>
      <c r="I149" s="396"/>
      <c r="J149" s="396"/>
      <c r="K149" s="396"/>
      <c r="L149" s="396"/>
      <c r="M149" s="396"/>
      <c r="N149" s="396"/>
      <c r="O149" s="396"/>
      <c r="P149" s="396"/>
    </row>
    <row r="150" spans="1:16" x14ac:dyDescent="0.25">
      <c r="A150" s="396"/>
      <c r="B150" s="396"/>
      <c r="C150" s="396"/>
      <c r="D150" s="396"/>
      <c r="E150" s="396"/>
      <c r="F150" s="396"/>
      <c r="G150" s="396"/>
      <c r="H150" s="396"/>
      <c r="I150" s="396"/>
      <c r="J150" s="396"/>
      <c r="K150" s="396"/>
      <c r="L150" s="396"/>
      <c r="M150" s="396"/>
      <c r="N150" s="396"/>
      <c r="O150" s="396"/>
      <c r="P150" s="396"/>
    </row>
    <row r="151" spans="1:16" x14ac:dyDescent="0.25">
      <c r="A151" s="396"/>
      <c r="B151" s="396"/>
      <c r="C151" s="396"/>
      <c r="D151" s="396"/>
      <c r="E151" s="396"/>
      <c r="F151" s="396"/>
      <c r="G151" s="396"/>
      <c r="H151" s="396"/>
      <c r="I151" s="396"/>
      <c r="J151" s="396"/>
      <c r="K151" s="396"/>
      <c r="L151" s="396"/>
      <c r="M151" s="396"/>
      <c r="N151" s="396"/>
      <c r="O151" s="396"/>
      <c r="P151" s="396"/>
    </row>
    <row r="152" spans="1:16" x14ac:dyDescent="0.25">
      <c r="A152" s="396"/>
      <c r="B152" s="396"/>
      <c r="C152" s="396"/>
      <c r="D152" s="396"/>
      <c r="E152" s="396"/>
      <c r="F152" s="396"/>
      <c r="G152" s="396"/>
      <c r="H152" s="396"/>
      <c r="I152" s="396"/>
      <c r="J152" s="396"/>
      <c r="K152" s="396"/>
      <c r="L152" s="396"/>
      <c r="M152" s="396"/>
      <c r="N152" s="396"/>
      <c r="O152" s="396"/>
      <c r="P152" s="396"/>
    </row>
    <row r="153" spans="1:16" x14ac:dyDescent="0.25">
      <c r="A153" s="396"/>
      <c r="B153" s="396"/>
      <c r="C153" s="396"/>
      <c r="D153" s="396"/>
      <c r="E153" s="396"/>
      <c r="F153" s="396"/>
      <c r="G153" s="396"/>
      <c r="H153" s="396"/>
      <c r="I153" s="396"/>
      <c r="J153" s="396"/>
      <c r="K153" s="396"/>
      <c r="L153" s="396"/>
      <c r="M153" s="396"/>
      <c r="N153" s="396"/>
      <c r="O153" s="396"/>
      <c r="P153" s="396"/>
    </row>
    <row r="154" spans="1:16" x14ac:dyDescent="0.25">
      <c r="A154" s="396"/>
      <c r="B154" s="396"/>
      <c r="C154" s="396"/>
      <c r="D154" s="396"/>
      <c r="E154" s="396"/>
      <c r="F154" s="396"/>
      <c r="G154" s="396"/>
      <c r="H154" s="396"/>
      <c r="I154" s="396"/>
      <c r="J154" s="396"/>
      <c r="K154" s="396"/>
      <c r="L154" s="396"/>
      <c r="M154" s="396"/>
      <c r="N154" s="396"/>
      <c r="O154" s="396"/>
      <c r="P154" s="396"/>
    </row>
    <row r="155" spans="1:16" x14ac:dyDescent="0.25">
      <c r="A155" s="396"/>
      <c r="B155" s="396"/>
      <c r="C155" s="396"/>
      <c r="D155" s="396"/>
      <c r="E155" s="396"/>
      <c r="F155" s="396"/>
      <c r="G155" s="396"/>
      <c r="H155" s="396"/>
      <c r="I155" s="396"/>
      <c r="J155" s="396"/>
      <c r="K155" s="396"/>
      <c r="L155" s="396"/>
      <c r="M155" s="396"/>
      <c r="N155" s="396"/>
      <c r="O155" s="396"/>
      <c r="P155" s="396"/>
    </row>
    <row r="156" spans="1:16" x14ac:dyDescent="0.25">
      <c r="A156" s="396"/>
      <c r="B156" s="396"/>
      <c r="C156" s="396"/>
      <c r="D156" s="396"/>
      <c r="E156" s="396"/>
      <c r="F156" s="396"/>
      <c r="G156" s="396"/>
      <c r="H156" s="396"/>
      <c r="I156" s="396"/>
      <c r="J156" s="396"/>
      <c r="K156" s="396"/>
      <c r="L156" s="396"/>
      <c r="M156" s="396"/>
      <c r="N156" s="396"/>
      <c r="O156" s="396"/>
      <c r="P156" s="396"/>
    </row>
    <row r="157" spans="1:16" x14ac:dyDescent="0.25">
      <c r="A157" s="396"/>
      <c r="B157" s="396"/>
      <c r="C157" s="396"/>
      <c r="D157" s="396"/>
      <c r="E157" s="396"/>
      <c r="F157" s="396"/>
      <c r="G157" s="396"/>
      <c r="H157" s="396"/>
      <c r="I157" s="396"/>
      <c r="J157" s="396"/>
      <c r="K157" s="396"/>
      <c r="L157" s="396"/>
      <c r="M157" s="396"/>
      <c r="N157" s="396"/>
      <c r="O157" s="396"/>
      <c r="P157" s="396"/>
    </row>
    <row r="158" spans="1:16" x14ac:dyDescent="0.25">
      <c r="A158" s="396"/>
      <c r="B158" s="396"/>
      <c r="C158" s="396"/>
      <c r="D158" s="396"/>
      <c r="E158" s="396"/>
      <c r="F158" s="396"/>
      <c r="G158" s="396"/>
      <c r="H158" s="396"/>
      <c r="I158" s="396"/>
      <c r="J158" s="396"/>
      <c r="K158" s="396"/>
      <c r="L158" s="396"/>
      <c r="M158" s="396"/>
      <c r="N158" s="396"/>
      <c r="O158" s="396"/>
      <c r="P158" s="396"/>
    </row>
    <row r="159" spans="1:16" x14ac:dyDescent="0.25">
      <c r="A159" s="396"/>
      <c r="B159" s="396"/>
      <c r="C159" s="396"/>
      <c r="D159" s="396"/>
      <c r="E159" s="396"/>
      <c r="F159" s="396"/>
      <c r="G159" s="396"/>
      <c r="H159" s="396"/>
      <c r="I159" s="396"/>
      <c r="J159" s="396"/>
      <c r="K159" s="396"/>
      <c r="L159" s="396"/>
      <c r="M159" s="396"/>
      <c r="N159" s="396"/>
      <c r="O159" s="396"/>
      <c r="P159" s="396"/>
    </row>
    <row r="160" spans="1:16" x14ac:dyDescent="0.25">
      <c r="A160" s="396"/>
      <c r="B160" s="396"/>
      <c r="C160" s="396"/>
      <c r="D160" s="396"/>
      <c r="E160" s="396"/>
      <c r="F160" s="396"/>
      <c r="G160" s="396"/>
      <c r="H160" s="396"/>
      <c r="I160" s="396"/>
      <c r="J160" s="396"/>
      <c r="K160" s="396"/>
      <c r="L160" s="396"/>
      <c r="M160" s="396"/>
      <c r="N160" s="396"/>
      <c r="O160" s="396"/>
      <c r="P160" s="396"/>
    </row>
    <row r="161" spans="1:16" x14ac:dyDescent="0.25">
      <c r="A161" s="396"/>
      <c r="B161" s="396"/>
      <c r="C161" s="396"/>
      <c r="D161" s="396"/>
      <c r="E161" s="396"/>
      <c r="F161" s="396"/>
      <c r="G161" s="396"/>
      <c r="H161" s="396"/>
      <c r="I161" s="396"/>
      <c r="J161" s="396"/>
      <c r="K161" s="396"/>
      <c r="L161" s="396"/>
      <c r="M161" s="396"/>
      <c r="N161" s="396"/>
      <c r="O161" s="396"/>
      <c r="P161" s="396"/>
    </row>
    <row r="162" spans="1:16" x14ac:dyDescent="0.25">
      <c r="A162" s="396"/>
      <c r="B162" s="396"/>
      <c r="C162" s="396"/>
      <c r="D162" s="396"/>
      <c r="E162" s="396"/>
      <c r="F162" s="396"/>
      <c r="G162" s="396"/>
      <c r="H162" s="396"/>
      <c r="I162" s="396"/>
      <c r="J162" s="396"/>
      <c r="K162" s="396"/>
      <c r="L162" s="396"/>
      <c r="M162" s="396"/>
      <c r="N162" s="396"/>
      <c r="O162" s="396"/>
      <c r="P162" s="396"/>
    </row>
    <row r="163" spans="1:16" x14ac:dyDescent="0.25">
      <c r="A163" s="396"/>
      <c r="B163" s="396"/>
      <c r="C163" s="396"/>
      <c r="D163" s="396"/>
      <c r="E163" s="396"/>
      <c r="F163" s="396"/>
      <c r="G163" s="396"/>
      <c r="H163" s="396"/>
      <c r="I163" s="396"/>
      <c r="J163" s="396"/>
      <c r="K163" s="396"/>
      <c r="L163" s="396"/>
      <c r="M163" s="396"/>
      <c r="N163" s="396"/>
      <c r="O163" s="396"/>
      <c r="P163" s="396"/>
    </row>
    <row r="164" spans="1:16" x14ac:dyDescent="0.25">
      <c r="A164" s="396"/>
      <c r="B164" s="396"/>
      <c r="C164" s="396"/>
      <c r="D164" s="396"/>
      <c r="E164" s="396"/>
      <c r="F164" s="396"/>
      <c r="G164" s="396"/>
      <c r="H164" s="396"/>
      <c r="I164" s="396"/>
      <c r="J164" s="396"/>
      <c r="K164" s="396"/>
      <c r="L164" s="396"/>
      <c r="M164" s="396"/>
      <c r="N164" s="396"/>
      <c r="O164" s="396"/>
      <c r="P164" s="396"/>
    </row>
    <row r="165" spans="1:16" x14ac:dyDescent="0.25">
      <c r="A165" s="396"/>
      <c r="B165" s="396"/>
      <c r="C165" s="396"/>
      <c r="D165" s="396"/>
      <c r="E165" s="396"/>
      <c r="F165" s="396"/>
      <c r="G165" s="396"/>
      <c r="H165" s="396"/>
      <c r="I165" s="396"/>
      <c r="J165" s="396"/>
      <c r="K165" s="396"/>
      <c r="L165" s="396"/>
      <c r="M165" s="396"/>
      <c r="N165" s="396"/>
      <c r="O165" s="396"/>
      <c r="P165" s="396"/>
    </row>
    <row r="166" spans="1:16" x14ac:dyDescent="0.25">
      <c r="A166" s="396"/>
      <c r="B166" s="396"/>
      <c r="C166" s="396"/>
      <c r="D166" s="396"/>
      <c r="E166" s="396"/>
      <c r="F166" s="396"/>
      <c r="G166" s="396"/>
      <c r="H166" s="396"/>
      <c r="I166" s="396"/>
      <c r="J166" s="396"/>
      <c r="K166" s="396"/>
      <c r="L166" s="396"/>
      <c r="M166" s="396"/>
      <c r="N166" s="396"/>
      <c r="O166" s="396"/>
      <c r="P166" s="396"/>
    </row>
    <row r="167" spans="1:16" x14ac:dyDescent="0.25">
      <c r="A167" s="396"/>
      <c r="B167" s="396"/>
      <c r="C167" s="396"/>
      <c r="D167" s="396"/>
      <c r="E167" s="396"/>
      <c r="F167" s="396"/>
      <c r="G167" s="396"/>
      <c r="H167" s="396"/>
      <c r="I167" s="396"/>
      <c r="J167" s="396"/>
      <c r="K167" s="396"/>
      <c r="L167" s="396"/>
      <c r="M167" s="396"/>
      <c r="N167" s="396"/>
      <c r="O167" s="396"/>
      <c r="P167" s="396"/>
    </row>
    <row r="168" spans="1:16" x14ac:dyDescent="0.25">
      <c r="A168" s="396"/>
      <c r="B168" s="396"/>
      <c r="C168" s="396"/>
      <c r="D168" s="396"/>
      <c r="E168" s="396"/>
      <c r="F168" s="396"/>
      <c r="G168" s="396"/>
      <c r="H168" s="396"/>
      <c r="I168" s="396"/>
      <c r="J168" s="396"/>
      <c r="K168" s="396"/>
      <c r="L168" s="396"/>
      <c r="M168" s="396"/>
      <c r="N168" s="396"/>
      <c r="O168" s="396"/>
      <c r="P168" s="396"/>
    </row>
    <row r="169" spans="1:16" x14ac:dyDescent="0.25">
      <c r="A169" s="396"/>
      <c r="B169" s="396"/>
      <c r="C169" s="396"/>
      <c r="D169" s="396"/>
      <c r="E169" s="396"/>
      <c r="F169" s="396"/>
      <c r="G169" s="396"/>
      <c r="H169" s="396"/>
      <c r="I169" s="396"/>
      <c r="J169" s="396"/>
      <c r="K169" s="396"/>
      <c r="L169" s="396"/>
      <c r="M169" s="396"/>
      <c r="N169" s="396"/>
      <c r="O169" s="396"/>
      <c r="P169" s="396"/>
    </row>
    <row r="170" spans="1:16" x14ac:dyDescent="0.25">
      <c r="A170" s="396"/>
      <c r="B170" s="396"/>
      <c r="C170" s="396"/>
      <c r="D170" s="396"/>
      <c r="E170" s="396"/>
      <c r="F170" s="396"/>
      <c r="G170" s="396"/>
      <c r="H170" s="396"/>
      <c r="I170" s="396"/>
      <c r="J170" s="396"/>
      <c r="K170" s="396"/>
      <c r="L170" s="396"/>
      <c r="M170" s="396"/>
      <c r="N170" s="396"/>
      <c r="O170" s="396"/>
      <c r="P170" s="396"/>
    </row>
    <row r="171" spans="1:16" x14ac:dyDescent="0.25">
      <c r="A171" s="396"/>
      <c r="B171" s="396"/>
      <c r="C171" s="396"/>
      <c r="D171" s="396"/>
      <c r="E171" s="396"/>
      <c r="F171" s="396"/>
      <c r="G171" s="396"/>
      <c r="H171" s="396"/>
      <c r="I171" s="396"/>
      <c r="J171" s="396"/>
      <c r="K171" s="396"/>
      <c r="L171" s="396"/>
      <c r="M171" s="396"/>
      <c r="N171" s="396"/>
      <c r="O171" s="396"/>
      <c r="P171" s="396"/>
    </row>
    <row r="172" spans="1:16" x14ac:dyDescent="0.25">
      <c r="A172" s="396"/>
      <c r="B172" s="396"/>
      <c r="C172" s="396"/>
      <c r="D172" s="396"/>
      <c r="E172" s="396"/>
      <c r="F172" s="396"/>
      <c r="G172" s="396"/>
      <c r="H172" s="396"/>
      <c r="I172" s="396"/>
      <c r="J172" s="396"/>
      <c r="K172" s="396"/>
      <c r="L172" s="396"/>
      <c r="M172" s="396"/>
      <c r="N172" s="396"/>
      <c r="O172" s="396"/>
      <c r="P172" s="396"/>
    </row>
    <row r="173" spans="1:16" x14ac:dyDescent="0.25">
      <c r="A173" s="396"/>
      <c r="B173" s="396"/>
      <c r="C173" s="396"/>
      <c r="D173" s="396"/>
      <c r="E173" s="396"/>
      <c r="F173" s="396"/>
      <c r="G173" s="396"/>
      <c r="H173" s="396"/>
      <c r="I173" s="396"/>
      <c r="J173" s="396"/>
      <c r="K173" s="396"/>
      <c r="L173" s="396"/>
      <c r="M173" s="396"/>
      <c r="N173" s="396"/>
      <c r="O173" s="396"/>
      <c r="P173" s="396"/>
    </row>
    <row r="174" spans="1:16" x14ac:dyDescent="0.25">
      <c r="A174" s="396"/>
      <c r="B174" s="396"/>
      <c r="C174" s="396"/>
      <c r="D174" s="396"/>
      <c r="E174" s="396"/>
      <c r="F174" s="396"/>
      <c r="G174" s="396"/>
      <c r="H174" s="396"/>
      <c r="I174" s="396"/>
      <c r="J174" s="396"/>
      <c r="K174" s="396"/>
      <c r="L174" s="396"/>
      <c r="M174" s="396"/>
      <c r="N174" s="396"/>
      <c r="O174" s="396"/>
      <c r="P174" s="396"/>
    </row>
    <row r="175" spans="1:16" x14ac:dyDescent="0.25">
      <c r="A175" s="396"/>
      <c r="B175" s="396"/>
      <c r="C175" s="396"/>
      <c r="D175" s="396"/>
      <c r="E175" s="396"/>
      <c r="F175" s="396"/>
      <c r="G175" s="396"/>
      <c r="H175" s="396"/>
      <c r="I175" s="396"/>
      <c r="J175" s="396"/>
      <c r="K175" s="396"/>
      <c r="L175" s="396"/>
      <c r="M175" s="396"/>
      <c r="N175" s="396"/>
      <c r="O175" s="396"/>
      <c r="P175" s="396"/>
    </row>
    <row r="176" spans="1:16" x14ac:dyDescent="0.25">
      <c r="A176" s="396"/>
      <c r="B176" s="396"/>
      <c r="C176" s="396"/>
      <c r="D176" s="396"/>
      <c r="E176" s="396"/>
      <c r="F176" s="396"/>
      <c r="G176" s="396"/>
      <c r="H176" s="396"/>
      <c r="I176" s="396"/>
      <c r="J176" s="396"/>
      <c r="K176" s="396"/>
      <c r="L176" s="396"/>
      <c r="M176" s="396"/>
      <c r="N176" s="396"/>
      <c r="O176" s="396"/>
      <c r="P176" s="396"/>
    </row>
    <row r="177" spans="1:16" x14ac:dyDescent="0.25">
      <c r="A177" s="396"/>
      <c r="B177" s="396"/>
      <c r="C177" s="396"/>
      <c r="D177" s="396"/>
      <c r="E177" s="396"/>
      <c r="F177" s="396"/>
      <c r="G177" s="396"/>
      <c r="H177" s="396"/>
      <c r="I177" s="396"/>
      <c r="J177" s="396"/>
      <c r="K177" s="396"/>
      <c r="L177" s="396"/>
      <c r="M177" s="396"/>
      <c r="N177" s="396"/>
      <c r="O177" s="396"/>
      <c r="P177" s="396"/>
    </row>
    <row r="178" spans="1:16" x14ac:dyDescent="0.25">
      <c r="A178" s="396"/>
      <c r="B178" s="396"/>
      <c r="C178" s="396"/>
      <c r="D178" s="396"/>
      <c r="E178" s="396"/>
      <c r="F178" s="396"/>
      <c r="G178" s="396"/>
      <c r="H178" s="396"/>
      <c r="I178" s="396"/>
      <c r="J178" s="396"/>
      <c r="K178" s="396"/>
      <c r="L178" s="396"/>
      <c r="M178" s="396"/>
      <c r="N178" s="396"/>
      <c r="O178" s="396"/>
      <c r="P178" s="396"/>
    </row>
    <row r="179" spans="1:16" x14ac:dyDescent="0.25">
      <c r="A179" s="396"/>
      <c r="B179" s="396"/>
      <c r="C179" s="396"/>
      <c r="D179" s="396"/>
      <c r="E179" s="396"/>
      <c r="F179" s="396"/>
      <c r="G179" s="396"/>
      <c r="H179" s="396"/>
      <c r="I179" s="396"/>
      <c r="J179" s="396"/>
      <c r="K179" s="396"/>
      <c r="L179" s="396"/>
      <c r="M179" s="396"/>
      <c r="N179" s="396"/>
      <c r="O179" s="396"/>
      <c r="P179" s="396"/>
    </row>
    <row r="180" spans="1:16" x14ac:dyDescent="0.25">
      <c r="A180" s="396"/>
      <c r="B180" s="396"/>
      <c r="C180" s="396"/>
      <c r="D180" s="396"/>
      <c r="E180" s="396"/>
      <c r="F180" s="396"/>
      <c r="G180" s="396"/>
      <c r="H180" s="396"/>
      <c r="I180" s="396"/>
      <c r="J180" s="396"/>
      <c r="K180" s="396"/>
      <c r="L180" s="396"/>
      <c r="M180" s="396"/>
      <c r="N180" s="396"/>
      <c r="O180" s="396"/>
      <c r="P180" s="396"/>
    </row>
    <row r="181" spans="1:16" x14ac:dyDescent="0.25">
      <c r="A181" s="396"/>
      <c r="B181" s="396"/>
      <c r="C181" s="396"/>
      <c r="D181" s="396"/>
      <c r="E181" s="396"/>
      <c r="F181" s="396"/>
      <c r="G181" s="396"/>
      <c r="H181" s="396"/>
      <c r="I181" s="396"/>
      <c r="J181" s="396"/>
      <c r="K181" s="396"/>
      <c r="L181" s="396"/>
      <c r="M181" s="396"/>
      <c r="N181" s="396"/>
      <c r="O181" s="396"/>
      <c r="P181" s="396"/>
    </row>
    <row r="182" spans="1:16" x14ac:dyDescent="0.25">
      <c r="A182" s="396"/>
      <c r="B182" s="396"/>
      <c r="C182" s="396"/>
      <c r="D182" s="396"/>
      <c r="E182" s="396"/>
      <c r="F182" s="396"/>
      <c r="G182" s="396"/>
      <c r="H182" s="396"/>
      <c r="I182" s="396"/>
      <c r="J182" s="396"/>
      <c r="K182" s="396"/>
      <c r="L182" s="396"/>
      <c r="M182" s="396"/>
      <c r="N182" s="396"/>
      <c r="O182" s="396"/>
      <c r="P182" s="396"/>
    </row>
    <row r="183" spans="1:16" x14ac:dyDescent="0.25">
      <c r="A183" s="396"/>
      <c r="B183" s="396"/>
      <c r="C183" s="396"/>
      <c r="D183" s="396"/>
      <c r="E183" s="396"/>
      <c r="F183" s="396"/>
      <c r="G183" s="396"/>
      <c r="H183" s="396"/>
      <c r="I183" s="396"/>
      <c r="J183" s="396"/>
      <c r="K183" s="396"/>
      <c r="L183" s="396"/>
      <c r="M183" s="396"/>
      <c r="N183" s="396"/>
      <c r="O183" s="396"/>
      <c r="P183" s="396"/>
    </row>
    <row r="184" spans="1:16" x14ac:dyDescent="0.25">
      <c r="A184" s="396"/>
      <c r="B184" s="396"/>
      <c r="C184" s="396"/>
      <c r="D184" s="396"/>
      <c r="E184" s="396"/>
      <c r="F184" s="396"/>
      <c r="G184" s="396"/>
      <c r="H184" s="396"/>
      <c r="I184" s="396"/>
      <c r="J184" s="396"/>
      <c r="K184" s="396"/>
      <c r="L184" s="396"/>
      <c r="M184" s="396"/>
      <c r="N184" s="396"/>
      <c r="O184" s="396"/>
      <c r="P184" s="396"/>
    </row>
    <row r="185" spans="1:16" x14ac:dyDescent="0.25">
      <c r="A185" s="396"/>
      <c r="B185" s="396"/>
      <c r="C185" s="396"/>
      <c r="D185" s="396"/>
      <c r="E185" s="396"/>
      <c r="F185" s="396"/>
      <c r="G185" s="396"/>
      <c r="H185" s="396"/>
      <c r="I185" s="396"/>
      <c r="J185" s="396"/>
      <c r="K185" s="396"/>
      <c r="L185" s="396"/>
      <c r="M185" s="396"/>
      <c r="N185" s="396"/>
      <c r="O185" s="396"/>
      <c r="P185" s="396"/>
    </row>
    <row r="186" spans="1:16" x14ac:dyDescent="0.25">
      <c r="A186" s="396"/>
      <c r="B186" s="396"/>
      <c r="C186" s="396"/>
      <c r="D186" s="396"/>
      <c r="E186" s="396"/>
      <c r="F186" s="396"/>
      <c r="G186" s="396"/>
      <c r="H186" s="396"/>
      <c r="I186" s="396"/>
      <c r="J186" s="396"/>
      <c r="K186" s="396"/>
      <c r="L186" s="396"/>
      <c r="M186" s="396"/>
      <c r="N186" s="396"/>
      <c r="O186" s="396"/>
      <c r="P186" s="396"/>
    </row>
    <row r="187" spans="1:16" x14ac:dyDescent="0.25">
      <c r="A187" s="396"/>
      <c r="B187" s="396"/>
      <c r="C187" s="396"/>
      <c r="D187" s="396"/>
      <c r="E187" s="396"/>
      <c r="F187" s="396"/>
      <c r="G187" s="396"/>
      <c r="H187" s="396"/>
      <c r="I187" s="396"/>
      <c r="J187" s="396"/>
      <c r="K187" s="396"/>
      <c r="L187" s="396"/>
      <c r="M187" s="396"/>
      <c r="N187" s="396"/>
      <c r="O187" s="396"/>
      <c r="P187" s="396"/>
    </row>
    <row r="188" spans="1:16" x14ac:dyDescent="0.25">
      <c r="A188" s="396"/>
      <c r="B188" s="396"/>
      <c r="C188" s="396"/>
      <c r="D188" s="396"/>
      <c r="E188" s="396"/>
      <c r="F188" s="396"/>
      <c r="G188" s="396"/>
      <c r="H188" s="396"/>
      <c r="I188" s="396"/>
      <c r="J188" s="396"/>
      <c r="K188" s="396"/>
      <c r="L188" s="396"/>
      <c r="M188" s="396"/>
      <c r="N188" s="396"/>
      <c r="O188" s="396"/>
      <c r="P188" s="396"/>
    </row>
    <row r="189" spans="1:16" x14ac:dyDescent="0.25">
      <c r="A189" s="396"/>
      <c r="B189" s="396"/>
      <c r="C189" s="396"/>
      <c r="D189" s="396"/>
      <c r="E189" s="396"/>
      <c r="F189" s="396"/>
      <c r="G189" s="396"/>
      <c r="H189" s="396"/>
      <c r="I189" s="396"/>
      <c r="J189" s="396"/>
      <c r="K189" s="396"/>
      <c r="L189" s="396"/>
      <c r="M189" s="396"/>
      <c r="N189" s="396"/>
      <c r="O189" s="396"/>
      <c r="P189" s="396"/>
    </row>
    <row r="190" spans="1:16" x14ac:dyDescent="0.25">
      <c r="A190" s="396"/>
      <c r="B190" s="396"/>
      <c r="C190" s="396"/>
      <c r="D190" s="396"/>
      <c r="E190" s="396"/>
      <c r="F190" s="396"/>
      <c r="G190" s="396"/>
      <c r="H190" s="396"/>
      <c r="I190" s="396"/>
      <c r="J190" s="396"/>
      <c r="K190" s="396"/>
      <c r="L190" s="396"/>
      <c r="M190" s="396"/>
      <c r="N190" s="396"/>
      <c r="O190" s="396"/>
      <c r="P190" s="396"/>
    </row>
    <row r="191" spans="1:16" x14ac:dyDescent="0.25">
      <c r="A191" s="396"/>
      <c r="B191" s="396"/>
      <c r="C191" s="396"/>
      <c r="D191" s="396"/>
      <c r="E191" s="396"/>
      <c r="F191" s="396"/>
      <c r="G191" s="396"/>
      <c r="H191" s="396"/>
      <c r="I191" s="396"/>
      <c r="J191" s="396"/>
      <c r="K191" s="396"/>
      <c r="L191" s="396"/>
      <c r="M191" s="396"/>
      <c r="N191" s="396"/>
      <c r="O191" s="396"/>
      <c r="P191" s="396"/>
    </row>
    <row r="192" spans="1:16" x14ac:dyDescent="0.25">
      <c r="A192" s="396"/>
      <c r="B192" s="396"/>
      <c r="C192" s="396"/>
      <c r="D192" s="396"/>
      <c r="E192" s="396"/>
      <c r="F192" s="396"/>
      <c r="G192" s="396"/>
      <c r="H192" s="396"/>
      <c r="I192" s="396"/>
      <c r="J192" s="396"/>
      <c r="K192" s="396"/>
      <c r="L192" s="396"/>
      <c r="M192" s="396"/>
      <c r="N192" s="396"/>
      <c r="O192" s="396"/>
      <c r="P192" s="396"/>
    </row>
    <row r="193" spans="1:16" x14ac:dyDescent="0.25">
      <c r="A193" s="396"/>
      <c r="B193" s="396"/>
      <c r="C193" s="396"/>
      <c r="D193" s="396"/>
      <c r="E193" s="396"/>
      <c r="F193" s="396"/>
      <c r="G193" s="396"/>
      <c r="H193" s="396"/>
      <c r="I193" s="396"/>
      <c r="J193" s="396"/>
      <c r="K193" s="396"/>
      <c r="L193" s="396"/>
      <c r="M193" s="396"/>
      <c r="N193" s="396"/>
      <c r="O193" s="396"/>
      <c r="P193" s="396"/>
    </row>
    <row r="194" spans="1:16" x14ac:dyDescent="0.25">
      <c r="A194" s="396"/>
      <c r="B194" s="396"/>
      <c r="C194" s="396"/>
      <c r="D194" s="396"/>
      <c r="E194" s="396"/>
      <c r="F194" s="396"/>
      <c r="G194" s="396"/>
      <c r="H194" s="396"/>
      <c r="I194" s="396"/>
      <c r="J194" s="396"/>
      <c r="K194" s="396"/>
      <c r="L194" s="396"/>
      <c r="M194" s="396"/>
      <c r="N194" s="396"/>
      <c r="O194" s="396"/>
      <c r="P194" s="396"/>
    </row>
    <row r="195" spans="1:16" x14ac:dyDescent="0.25">
      <c r="A195" s="396"/>
      <c r="B195" s="396"/>
      <c r="C195" s="396"/>
      <c r="D195" s="396"/>
      <c r="E195" s="396"/>
      <c r="F195" s="396"/>
      <c r="G195" s="396"/>
      <c r="H195" s="396"/>
      <c r="I195" s="396"/>
      <c r="J195" s="396"/>
      <c r="K195" s="396"/>
      <c r="L195" s="396"/>
      <c r="M195" s="396"/>
      <c r="N195" s="396"/>
      <c r="O195" s="396"/>
      <c r="P195" s="396"/>
    </row>
    <row r="196" spans="1:16" x14ac:dyDescent="0.25">
      <c r="A196" s="396"/>
      <c r="B196" s="396"/>
      <c r="C196" s="396"/>
      <c r="D196" s="396"/>
      <c r="E196" s="396"/>
      <c r="F196" s="396"/>
      <c r="G196" s="396"/>
      <c r="H196" s="396"/>
      <c r="I196" s="396"/>
      <c r="J196" s="396"/>
      <c r="K196" s="396"/>
      <c r="L196" s="396"/>
      <c r="M196" s="396"/>
      <c r="N196" s="396"/>
      <c r="O196" s="396"/>
      <c r="P196" s="396"/>
    </row>
    <row r="197" spans="1:16" x14ac:dyDescent="0.25">
      <c r="A197" s="396"/>
      <c r="B197" s="396"/>
      <c r="C197" s="396"/>
      <c r="D197" s="396"/>
      <c r="E197" s="396"/>
      <c r="F197" s="396"/>
      <c r="G197" s="396"/>
      <c r="H197" s="396"/>
      <c r="I197" s="396"/>
      <c r="J197" s="396"/>
      <c r="K197" s="396"/>
      <c r="L197" s="396"/>
      <c r="M197" s="396"/>
      <c r="N197" s="396"/>
      <c r="O197" s="396"/>
      <c r="P197" s="396"/>
    </row>
    <row r="198" spans="1:16" x14ac:dyDescent="0.25">
      <c r="A198" s="396"/>
      <c r="B198" s="396"/>
      <c r="C198" s="396"/>
      <c r="D198" s="396"/>
      <c r="E198" s="396"/>
      <c r="F198" s="396"/>
      <c r="G198" s="396"/>
      <c r="H198" s="396"/>
      <c r="I198" s="396"/>
      <c r="J198" s="396"/>
      <c r="K198" s="396"/>
      <c r="L198" s="396"/>
      <c r="M198" s="396"/>
      <c r="N198" s="396"/>
      <c r="O198" s="396"/>
      <c r="P198" s="396"/>
    </row>
    <row r="199" spans="1:16" x14ac:dyDescent="0.25">
      <c r="A199" s="396"/>
      <c r="B199" s="396"/>
      <c r="C199" s="396"/>
      <c r="D199" s="396"/>
      <c r="E199" s="396"/>
      <c r="F199" s="396"/>
      <c r="G199" s="396"/>
      <c r="H199" s="396"/>
      <c r="I199" s="396"/>
      <c r="J199" s="396"/>
      <c r="K199" s="396"/>
      <c r="L199" s="396"/>
      <c r="M199" s="396"/>
      <c r="N199" s="396"/>
      <c r="O199" s="396"/>
      <c r="P199" s="396"/>
    </row>
    <row r="200" spans="1:16" x14ac:dyDescent="0.25">
      <c r="A200" s="396"/>
      <c r="B200" s="396"/>
      <c r="C200" s="396"/>
      <c r="D200" s="396"/>
      <c r="E200" s="396"/>
      <c r="F200" s="396"/>
      <c r="G200" s="396"/>
      <c r="H200" s="396"/>
      <c r="I200" s="396"/>
      <c r="J200" s="396"/>
      <c r="K200" s="396"/>
      <c r="L200" s="396"/>
      <c r="M200" s="396"/>
      <c r="N200" s="396"/>
      <c r="O200" s="396"/>
      <c r="P200" s="396"/>
    </row>
    <row r="201" spans="1:16" x14ac:dyDescent="0.25">
      <c r="A201" s="396"/>
      <c r="B201" s="396"/>
      <c r="C201" s="396"/>
      <c r="D201" s="396"/>
      <c r="E201" s="396"/>
      <c r="F201" s="396"/>
      <c r="G201" s="396"/>
      <c r="H201" s="396"/>
      <c r="I201" s="396"/>
      <c r="J201" s="396"/>
      <c r="K201" s="396"/>
      <c r="L201" s="396"/>
      <c r="M201" s="396"/>
      <c r="N201" s="396"/>
      <c r="O201" s="396"/>
      <c r="P201" s="396"/>
    </row>
    <row r="202" spans="1:16" x14ac:dyDescent="0.25">
      <c r="A202" s="396"/>
      <c r="B202" s="396"/>
      <c r="C202" s="396"/>
      <c r="D202" s="396"/>
      <c r="E202" s="396"/>
      <c r="F202" s="396"/>
      <c r="G202" s="396"/>
      <c r="H202" s="396"/>
      <c r="I202" s="396"/>
      <c r="J202" s="396"/>
      <c r="K202" s="396"/>
      <c r="L202" s="396"/>
      <c r="M202" s="396"/>
      <c r="N202" s="396"/>
      <c r="O202" s="396"/>
      <c r="P202" s="396"/>
    </row>
    <row r="203" spans="1:16" x14ac:dyDescent="0.25">
      <c r="A203" s="396"/>
      <c r="B203" s="396"/>
      <c r="C203" s="396"/>
      <c r="D203" s="396"/>
      <c r="E203" s="396"/>
      <c r="F203" s="396"/>
      <c r="G203" s="396"/>
      <c r="H203" s="396"/>
      <c r="I203" s="396"/>
      <c r="J203" s="396"/>
      <c r="K203" s="396"/>
      <c r="L203" s="396"/>
      <c r="M203" s="396"/>
      <c r="N203" s="396"/>
      <c r="O203" s="396"/>
      <c r="P203" s="396"/>
    </row>
    <row r="204" spans="1:16" x14ac:dyDescent="0.25">
      <c r="A204" s="396"/>
      <c r="B204" s="396"/>
      <c r="C204" s="396"/>
      <c r="D204" s="396"/>
      <c r="E204" s="396"/>
      <c r="F204" s="396"/>
      <c r="G204" s="396"/>
      <c r="H204" s="396"/>
      <c r="I204" s="396"/>
      <c r="J204" s="396"/>
      <c r="K204" s="396"/>
      <c r="L204" s="396"/>
      <c r="M204" s="396"/>
      <c r="N204" s="396"/>
      <c r="O204" s="396"/>
      <c r="P204" s="396"/>
    </row>
    <row r="205" spans="1:16" x14ac:dyDescent="0.25">
      <c r="A205" s="396"/>
      <c r="B205" s="396"/>
      <c r="C205" s="396"/>
      <c r="D205" s="396"/>
      <c r="E205" s="396"/>
      <c r="F205" s="396"/>
      <c r="G205" s="396"/>
      <c r="H205" s="396"/>
      <c r="I205" s="396"/>
      <c r="J205" s="396"/>
      <c r="K205" s="396"/>
      <c r="L205" s="396"/>
      <c r="M205" s="396"/>
      <c r="N205" s="396"/>
      <c r="O205" s="396"/>
      <c r="P205" s="396"/>
    </row>
    <row r="206" spans="1:16" x14ac:dyDescent="0.25">
      <c r="A206" s="396"/>
      <c r="B206" s="396"/>
      <c r="C206" s="396"/>
      <c r="D206" s="396"/>
      <c r="E206" s="396"/>
      <c r="F206" s="396"/>
      <c r="G206" s="396"/>
      <c r="H206" s="396"/>
      <c r="I206" s="396"/>
      <c r="J206" s="396"/>
      <c r="K206" s="396"/>
      <c r="L206" s="396"/>
      <c r="M206" s="396"/>
      <c r="N206" s="396"/>
      <c r="O206" s="396"/>
      <c r="P206" s="396"/>
    </row>
    <row r="207" spans="1:16" x14ac:dyDescent="0.25">
      <c r="A207" s="396"/>
      <c r="B207" s="396"/>
      <c r="C207" s="396"/>
      <c r="D207" s="396"/>
      <c r="E207" s="396"/>
      <c r="F207" s="396"/>
      <c r="G207" s="396"/>
      <c r="H207" s="396"/>
      <c r="I207" s="396"/>
      <c r="J207" s="396"/>
      <c r="K207" s="396"/>
      <c r="L207" s="396"/>
      <c r="M207" s="396"/>
      <c r="N207" s="396"/>
      <c r="O207" s="396"/>
      <c r="P207" s="396"/>
    </row>
    <row r="208" spans="1:16" x14ac:dyDescent="0.25">
      <c r="A208" s="396"/>
      <c r="B208" s="396"/>
      <c r="C208" s="396"/>
      <c r="D208" s="396"/>
      <c r="E208" s="396"/>
      <c r="F208" s="396"/>
      <c r="G208" s="396"/>
      <c r="H208" s="396"/>
      <c r="I208" s="396"/>
      <c r="J208" s="396"/>
      <c r="K208" s="396"/>
      <c r="L208" s="396"/>
      <c r="M208" s="396"/>
      <c r="N208" s="396"/>
      <c r="O208" s="396"/>
      <c r="P208" s="396"/>
    </row>
    <row r="209" spans="1:16" x14ac:dyDescent="0.25">
      <c r="A209" s="396"/>
      <c r="B209" s="396"/>
      <c r="C209" s="396"/>
      <c r="D209" s="396"/>
      <c r="E209" s="396"/>
      <c r="F209" s="396"/>
      <c r="G209" s="396"/>
      <c r="H209" s="396"/>
      <c r="I209" s="396"/>
      <c r="J209" s="396"/>
      <c r="K209" s="396"/>
      <c r="L209" s="396"/>
      <c r="M209" s="396"/>
      <c r="N209" s="396"/>
      <c r="O209" s="396"/>
      <c r="P209" s="396"/>
    </row>
    <row r="210" spans="1:16" x14ac:dyDescent="0.25">
      <c r="A210" s="396"/>
      <c r="B210" s="396"/>
      <c r="C210" s="396"/>
      <c r="D210" s="396"/>
      <c r="E210" s="396"/>
      <c r="F210" s="396"/>
      <c r="G210" s="396"/>
      <c r="H210" s="396"/>
      <c r="I210" s="396"/>
      <c r="J210" s="396"/>
      <c r="K210" s="396"/>
      <c r="L210" s="396"/>
      <c r="M210" s="396"/>
      <c r="N210" s="396"/>
      <c r="O210" s="396"/>
      <c r="P210" s="396"/>
    </row>
    <row r="211" spans="1:16" x14ac:dyDescent="0.25">
      <c r="A211" s="396"/>
      <c r="B211" s="396"/>
      <c r="C211" s="396"/>
      <c r="D211" s="396"/>
      <c r="E211" s="396"/>
      <c r="F211" s="396"/>
      <c r="G211" s="396"/>
      <c r="H211" s="396"/>
      <c r="I211" s="396"/>
      <c r="J211" s="396"/>
      <c r="K211" s="396"/>
      <c r="L211" s="396"/>
      <c r="M211" s="396"/>
      <c r="N211" s="396"/>
      <c r="O211" s="396"/>
      <c r="P211" s="396"/>
    </row>
    <row r="212" spans="1:16" x14ac:dyDescent="0.25">
      <c r="A212" s="396"/>
      <c r="B212" s="396"/>
      <c r="C212" s="396"/>
      <c r="D212" s="396"/>
      <c r="E212" s="396"/>
      <c r="F212" s="396"/>
      <c r="G212" s="396"/>
      <c r="H212" s="396"/>
      <c r="I212" s="396"/>
      <c r="J212" s="396"/>
      <c r="K212" s="396"/>
      <c r="L212" s="396"/>
      <c r="M212" s="396"/>
      <c r="N212" s="396"/>
      <c r="O212" s="396"/>
      <c r="P212" s="396"/>
    </row>
    <row r="213" spans="1:16" x14ac:dyDescent="0.25">
      <c r="A213" s="396"/>
      <c r="B213" s="396"/>
      <c r="C213" s="396"/>
      <c r="D213" s="396"/>
      <c r="E213" s="396"/>
      <c r="F213" s="396"/>
      <c r="G213" s="396"/>
      <c r="H213" s="396"/>
      <c r="I213" s="396"/>
      <c r="J213" s="396"/>
      <c r="K213" s="396"/>
      <c r="L213" s="396"/>
      <c r="M213" s="396"/>
      <c r="N213" s="396"/>
      <c r="O213" s="396"/>
      <c r="P213" s="396"/>
    </row>
    <row r="214" spans="1:16" x14ac:dyDescent="0.25">
      <c r="A214" s="396"/>
      <c r="B214" s="396"/>
      <c r="C214" s="396"/>
      <c r="D214" s="396"/>
      <c r="E214" s="396"/>
      <c r="F214" s="396"/>
      <c r="G214" s="396"/>
      <c r="H214" s="396"/>
      <c r="I214" s="396"/>
      <c r="J214" s="396"/>
      <c r="K214" s="396"/>
      <c r="L214" s="396"/>
      <c r="M214" s="396"/>
      <c r="N214" s="396"/>
      <c r="O214" s="396"/>
      <c r="P214" s="396"/>
    </row>
    <row r="215" spans="1:16" x14ac:dyDescent="0.25">
      <c r="A215" s="396"/>
      <c r="B215" s="396"/>
      <c r="C215" s="396"/>
      <c r="D215" s="396"/>
      <c r="E215" s="396"/>
      <c r="F215" s="396"/>
      <c r="G215" s="396"/>
      <c r="H215" s="396"/>
      <c r="I215" s="396"/>
      <c r="J215" s="396"/>
      <c r="K215" s="396"/>
      <c r="L215" s="396"/>
      <c r="M215" s="396"/>
      <c r="N215" s="396"/>
      <c r="O215" s="396"/>
      <c r="P215" s="396"/>
    </row>
    <row r="216" spans="1:16" x14ac:dyDescent="0.25">
      <c r="A216" s="396"/>
      <c r="B216" s="396"/>
      <c r="C216" s="396"/>
      <c r="D216" s="396"/>
      <c r="E216" s="396"/>
      <c r="F216" s="396"/>
      <c r="G216" s="396"/>
      <c r="H216" s="396"/>
      <c r="I216" s="396"/>
      <c r="J216" s="396"/>
      <c r="K216" s="396"/>
      <c r="L216" s="396"/>
      <c r="M216" s="396"/>
      <c r="N216" s="396"/>
      <c r="O216" s="396"/>
      <c r="P216" s="396"/>
    </row>
    <row r="217" spans="1:16" x14ac:dyDescent="0.25">
      <c r="A217" s="396"/>
      <c r="B217" s="396"/>
      <c r="C217" s="396"/>
      <c r="D217" s="396"/>
      <c r="E217" s="396"/>
      <c r="F217" s="396"/>
      <c r="G217" s="396"/>
      <c r="H217" s="396"/>
      <c r="I217" s="396"/>
      <c r="J217" s="396"/>
      <c r="K217" s="396"/>
      <c r="L217" s="396"/>
      <c r="M217" s="396"/>
      <c r="N217" s="396"/>
      <c r="O217" s="396"/>
      <c r="P217" s="396"/>
    </row>
    <row r="218" spans="1:16" x14ac:dyDescent="0.25">
      <c r="A218" s="396"/>
      <c r="B218" s="396"/>
      <c r="C218" s="396"/>
      <c r="D218" s="396"/>
      <c r="E218" s="396"/>
      <c r="F218" s="396"/>
      <c r="G218" s="396"/>
      <c r="H218" s="396"/>
      <c r="I218" s="396"/>
      <c r="J218" s="396"/>
      <c r="K218" s="396"/>
      <c r="L218" s="396"/>
      <c r="M218" s="396"/>
      <c r="N218" s="396"/>
      <c r="O218" s="396"/>
      <c r="P218" s="396"/>
    </row>
    <row r="219" spans="1:16" x14ac:dyDescent="0.25">
      <c r="A219" s="396"/>
      <c r="B219" s="396"/>
      <c r="C219" s="396"/>
      <c r="D219" s="396"/>
      <c r="E219" s="396"/>
      <c r="F219" s="396"/>
      <c r="G219" s="396"/>
      <c r="H219" s="396"/>
      <c r="I219" s="396"/>
      <c r="J219" s="396"/>
      <c r="K219" s="396"/>
      <c r="L219" s="396"/>
      <c r="M219" s="396"/>
      <c r="N219" s="396"/>
      <c r="O219" s="396"/>
      <c r="P219" s="396"/>
    </row>
    <row r="220" spans="1:16" x14ac:dyDescent="0.25">
      <c r="A220" s="396"/>
      <c r="B220" s="396"/>
      <c r="C220" s="396"/>
      <c r="D220" s="396"/>
      <c r="E220" s="396"/>
      <c r="F220" s="396"/>
      <c r="G220" s="396"/>
      <c r="H220" s="396"/>
      <c r="I220" s="396"/>
      <c r="J220" s="396"/>
      <c r="K220" s="396"/>
      <c r="L220" s="396"/>
      <c r="M220" s="396"/>
      <c r="N220" s="396"/>
      <c r="O220" s="396"/>
      <c r="P220" s="396"/>
    </row>
    <row r="221" spans="1:16" x14ac:dyDescent="0.25">
      <c r="A221" s="396"/>
      <c r="B221" s="396"/>
      <c r="C221" s="396"/>
      <c r="D221" s="396"/>
      <c r="E221" s="396"/>
      <c r="F221" s="396"/>
      <c r="G221" s="396"/>
      <c r="H221" s="396"/>
      <c r="I221" s="396"/>
      <c r="J221" s="396"/>
      <c r="K221" s="396"/>
      <c r="L221" s="396"/>
      <c r="M221" s="396"/>
      <c r="N221" s="396"/>
      <c r="O221" s="396"/>
      <c r="P221" s="396"/>
    </row>
    <row r="222" spans="1:16" x14ac:dyDescent="0.25">
      <c r="A222" s="396"/>
      <c r="B222" s="396"/>
      <c r="C222" s="396"/>
      <c r="D222" s="396"/>
      <c r="E222" s="396"/>
      <c r="F222" s="396"/>
      <c r="G222" s="396"/>
      <c r="H222" s="396"/>
      <c r="I222" s="396"/>
      <c r="J222" s="396"/>
      <c r="K222" s="396"/>
      <c r="L222" s="396"/>
      <c r="M222" s="396"/>
      <c r="N222" s="396"/>
      <c r="O222" s="396"/>
      <c r="P222" s="396"/>
    </row>
    <row r="223" spans="1:16" x14ac:dyDescent="0.25">
      <c r="A223" s="396"/>
      <c r="B223" s="396"/>
      <c r="C223" s="396"/>
      <c r="D223" s="396"/>
      <c r="E223" s="396"/>
      <c r="F223" s="396"/>
      <c r="G223" s="396"/>
      <c r="H223" s="396"/>
      <c r="I223" s="396"/>
      <c r="J223" s="396"/>
      <c r="K223" s="396"/>
      <c r="L223" s="396"/>
      <c r="M223" s="396"/>
      <c r="N223" s="396"/>
      <c r="O223" s="396"/>
      <c r="P223" s="396"/>
    </row>
    <row r="224" spans="1:16" x14ac:dyDescent="0.25">
      <c r="A224" s="396"/>
      <c r="B224" s="396"/>
      <c r="C224" s="396"/>
      <c r="D224" s="396"/>
      <c r="E224" s="396"/>
      <c r="F224" s="396"/>
      <c r="G224" s="396"/>
      <c r="H224" s="396"/>
      <c r="I224" s="396"/>
      <c r="J224" s="396"/>
      <c r="K224" s="396"/>
      <c r="L224" s="396"/>
      <c r="M224" s="396"/>
      <c r="N224" s="396"/>
      <c r="O224" s="396"/>
      <c r="P224" s="396"/>
    </row>
    <row r="225" spans="1:16" x14ac:dyDescent="0.25">
      <c r="A225" s="396"/>
      <c r="B225" s="396"/>
      <c r="C225" s="396"/>
      <c r="D225" s="396"/>
      <c r="E225" s="396"/>
      <c r="F225" s="396"/>
      <c r="G225" s="396"/>
      <c r="H225" s="396"/>
      <c r="I225" s="396"/>
      <c r="J225" s="396"/>
      <c r="K225" s="396"/>
      <c r="L225" s="396"/>
      <c r="M225" s="396"/>
      <c r="N225" s="396"/>
      <c r="O225" s="396"/>
      <c r="P225" s="396"/>
    </row>
    <row r="226" spans="1:16" x14ac:dyDescent="0.25">
      <c r="A226" s="396"/>
      <c r="B226" s="396"/>
      <c r="C226" s="396"/>
      <c r="D226" s="396"/>
      <c r="E226" s="396"/>
      <c r="F226" s="396"/>
      <c r="G226" s="396"/>
      <c r="H226" s="396"/>
      <c r="I226" s="396"/>
      <c r="J226" s="396"/>
      <c r="K226" s="396"/>
      <c r="L226" s="396"/>
      <c r="M226" s="396"/>
      <c r="N226" s="396"/>
      <c r="O226" s="396"/>
      <c r="P226" s="396"/>
    </row>
    <row r="227" spans="1:16" x14ac:dyDescent="0.25">
      <c r="A227" s="396"/>
      <c r="B227" s="396"/>
      <c r="C227" s="396"/>
      <c r="D227" s="396"/>
      <c r="E227" s="396"/>
      <c r="F227" s="396"/>
      <c r="G227" s="396"/>
      <c r="H227" s="396"/>
      <c r="I227" s="396"/>
      <c r="J227" s="396"/>
      <c r="K227" s="396"/>
      <c r="L227" s="396"/>
      <c r="M227" s="396"/>
      <c r="N227" s="396"/>
      <c r="O227" s="396"/>
      <c r="P227" s="396"/>
    </row>
    <row r="228" spans="1:16" x14ac:dyDescent="0.25">
      <c r="A228" s="396"/>
      <c r="B228" s="396"/>
      <c r="C228" s="396"/>
      <c r="D228" s="396"/>
      <c r="E228" s="396"/>
      <c r="F228" s="396"/>
      <c r="G228" s="396"/>
      <c r="H228" s="396"/>
      <c r="I228" s="396"/>
      <c r="J228" s="396"/>
      <c r="K228" s="396"/>
      <c r="L228" s="396"/>
      <c r="M228" s="396"/>
      <c r="N228" s="396"/>
      <c r="O228" s="396"/>
      <c r="P228" s="396"/>
    </row>
    <row r="229" spans="1:16" x14ac:dyDescent="0.25">
      <c r="A229" s="396"/>
      <c r="B229" s="396"/>
      <c r="C229" s="396"/>
      <c r="D229" s="396"/>
      <c r="E229" s="396"/>
      <c r="F229" s="396"/>
      <c r="G229" s="396"/>
      <c r="H229" s="396"/>
      <c r="I229" s="396"/>
      <c r="J229" s="396"/>
      <c r="K229" s="396"/>
      <c r="L229" s="396"/>
      <c r="M229" s="396"/>
      <c r="N229" s="396"/>
      <c r="O229" s="396"/>
      <c r="P229" s="396"/>
    </row>
    <row r="230" spans="1:16" x14ac:dyDescent="0.25">
      <c r="A230" s="396"/>
      <c r="B230" s="396"/>
      <c r="C230" s="396"/>
      <c r="D230" s="396"/>
      <c r="E230" s="396"/>
      <c r="F230" s="396"/>
      <c r="G230" s="396"/>
      <c r="H230" s="396"/>
      <c r="I230" s="396"/>
      <c r="J230" s="396"/>
      <c r="K230" s="396"/>
      <c r="L230" s="396"/>
      <c r="M230" s="396"/>
      <c r="N230" s="396"/>
      <c r="O230" s="396"/>
      <c r="P230" s="396"/>
    </row>
    <row r="231" spans="1:16" x14ac:dyDescent="0.25">
      <c r="A231" s="396"/>
      <c r="B231" s="396"/>
      <c r="C231" s="396"/>
      <c r="D231" s="396"/>
      <c r="E231" s="396"/>
      <c r="F231" s="396"/>
      <c r="G231" s="396"/>
      <c r="H231" s="396"/>
      <c r="I231" s="396"/>
      <c r="J231" s="396"/>
      <c r="K231" s="396"/>
      <c r="L231" s="396"/>
      <c r="M231" s="396"/>
      <c r="N231" s="396"/>
      <c r="O231" s="396"/>
      <c r="P231" s="396"/>
    </row>
    <row r="232" spans="1:16" x14ac:dyDescent="0.25">
      <c r="A232" s="396"/>
      <c r="B232" s="396"/>
      <c r="C232" s="396"/>
      <c r="D232" s="396"/>
      <c r="E232" s="396"/>
      <c r="F232" s="396"/>
      <c r="G232" s="396"/>
      <c r="H232" s="396"/>
      <c r="I232" s="396"/>
      <c r="J232" s="396"/>
      <c r="K232" s="396"/>
      <c r="L232" s="396"/>
      <c r="M232" s="396"/>
      <c r="N232" s="396"/>
      <c r="O232" s="396"/>
      <c r="P232" s="396"/>
    </row>
    <row r="233" spans="1:16" x14ac:dyDescent="0.25">
      <c r="A233" s="396"/>
      <c r="B233" s="396"/>
      <c r="C233" s="396"/>
      <c r="D233" s="396"/>
      <c r="E233" s="396"/>
      <c r="F233" s="396"/>
      <c r="G233" s="396"/>
      <c r="H233" s="396"/>
      <c r="I233" s="396"/>
      <c r="J233" s="396"/>
      <c r="K233" s="396"/>
      <c r="L233" s="396"/>
      <c r="M233" s="396"/>
      <c r="N233" s="396"/>
      <c r="O233" s="396"/>
      <c r="P233" s="396"/>
    </row>
    <row r="234" spans="1:16" x14ac:dyDescent="0.25">
      <c r="A234" s="396"/>
      <c r="B234" s="396"/>
      <c r="C234" s="396"/>
      <c r="D234" s="396"/>
      <c r="E234" s="396"/>
      <c r="F234" s="396"/>
      <c r="G234" s="396"/>
      <c r="H234" s="396"/>
      <c r="I234" s="396"/>
      <c r="J234" s="396"/>
      <c r="K234" s="396"/>
      <c r="L234" s="396"/>
      <c r="M234" s="396"/>
      <c r="N234" s="396"/>
      <c r="O234" s="396"/>
      <c r="P234" s="396"/>
    </row>
    <row r="235" spans="1:16" x14ac:dyDescent="0.25">
      <c r="A235" s="396"/>
      <c r="B235" s="396"/>
      <c r="C235" s="396"/>
      <c r="D235" s="396"/>
      <c r="E235" s="396"/>
      <c r="F235" s="396"/>
      <c r="G235" s="396"/>
      <c r="H235" s="396"/>
      <c r="I235" s="396"/>
      <c r="J235" s="396"/>
      <c r="K235" s="396"/>
      <c r="L235" s="396"/>
      <c r="M235" s="396"/>
      <c r="N235" s="396"/>
      <c r="O235" s="396"/>
      <c r="P235" s="396"/>
    </row>
    <row r="236" spans="1:16" x14ac:dyDescent="0.25">
      <c r="A236" s="396"/>
      <c r="B236" s="396"/>
      <c r="C236" s="396"/>
      <c r="D236" s="396"/>
      <c r="E236" s="396"/>
      <c r="F236" s="396"/>
      <c r="G236" s="396"/>
      <c r="H236" s="396"/>
      <c r="I236" s="396"/>
      <c r="J236" s="396"/>
      <c r="K236" s="396"/>
      <c r="L236" s="396"/>
      <c r="M236" s="396"/>
      <c r="N236" s="396"/>
      <c r="O236" s="396"/>
      <c r="P236" s="396"/>
    </row>
    <row r="237" spans="1:16" x14ac:dyDescent="0.25">
      <c r="A237" s="396"/>
      <c r="B237" s="396"/>
      <c r="C237" s="396"/>
      <c r="D237" s="396"/>
      <c r="E237" s="396"/>
      <c r="F237" s="396"/>
      <c r="G237" s="396"/>
      <c r="H237" s="396"/>
      <c r="I237" s="396"/>
      <c r="J237" s="396"/>
      <c r="K237" s="396"/>
      <c r="L237" s="396"/>
      <c r="M237" s="396"/>
      <c r="N237" s="396"/>
      <c r="O237" s="396"/>
      <c r="P237" s="396"/>
    </row>
    <row r="238" spans="1:16" x14ac:dyDescent="0.25">
      <c r="A238" s="396"/>
      <c r="B238" s="396"/>
      <c r="C238" s="396"/>
      <c r="D238" s="396"/>
      <c r="E238" s="396"/>
      <c r="F238" s="396"/>
      <c r="G238" s="396"/>
      <c r="H238" s="396"/>
      <c r="I238" s="396"/>
      <c r="J238" s="396"/>
      <c r="K238" s="396"/>
      <c r="L238" s="396"/>
      <c r="M238" s="396"/>
      <c r="N238" s="396"/>
      <c r="O238" s="396"/>
      <c r="P238" s="396"/>
    </row>
    <row r="239" spans="1:16" x14ac:dyDescent="0.25">
      <c r="A239" s="396"/>
      <c r="B239" s="396"/>
      <c r="C239" s="396"/>
      <c r="D239" s="396"/>
      <c r="E239" s="396"/>
      <c r="F239" s="396"/>
      <c r="G239" s="396"/>
      <c r="H239" s="396"/>
      <c r="I239" s="396"/>
      <c r="J239" s="396"/>
      <c r="K239" s="396"/>
      <c r="L239" s="396"/>
      <c r="M239" s="396"/>
      <c r="N239" s="396"/>
      <c r="O239" s="396"/>
      <c r="P239" s="396"/>
    </row>
    <row r="240" spans="1:16" x14ac:dyDescent="0.25">
      <c r="A240" s="396"/>
      <c r="B240" s="396"/>
      <c r="C240" s="396"/>
      <c r="D240" s="396"/>
      <c r="E240" s="396"/>
      <c r="F240" s="396"/>
      <c r="G240" s="396"/>
      <c r="H240" s="396"/>
      <c r="I240" s="396"/>
      <c r="J240" s="396"/>
      <c r="K240" s="396"/>
      <c r="L240" s="396"/>
      <c r="M240" s="396"/>
      <c r="N240" s="396"/>
      <c r="O240" s="396"/>
      <c r="P240" s="396"/>
    </row>
    <row r="241" spans="1:16" x14ac:dyDescent="0.25">
      <c r="A241" s="396"/>
      <c r="B241" s="396"/>
      <c r="C241" s="396"/>
      <c r="D241" s="396"/>
      <c r="E241" s="396"/>
      <c r="F241" s="396"/>
      <c r="G241" s="396"/>
      <c r="H241" s="396"/>
      <c r="I241" s="396"/>
      <c r="J241" s="396"/>
      <c r="K241" s="396"/>
      <c r="L241" s="396"/>
      <c r="M241" s="396"/>
      <c r="N241" s="396"/>
      <c r="O241" s="396"/>
      <c r="P241" s="396"/>
    </row>
    <row r="242" spans="1:16" x14ac:dyDescent="0.25">
      <c r="A242" s="396"/>
      <c r="B242" s="396"/>
      <c r="C242" s="396"/>
      <c r="D242" s="396"/>
      <c r="E242" s="396"/>
      <c r="F242" s="396"/>
      <c r="G242" s="396"/>
      <c r="H242" s="396"/>
      <c r="I242" s="396"/>
      <c r="J242" s="396"/>
      <c r="K242" s="396"/>
      <c r="L242" s="396"/>
      <c r="M242" s="396"/>
      <c r="N242" s="396"/>
      <c r="O242" s="396"/>
      <c r="P242" s="396"/>
    </row>
    <row r="243" spans="1:16" x14ac:dyDescent="0.25">
      <c r="A243" s="396"/>
      <c r="B243" s="396"/>
      <c r="C243" s="396"/>
      <c r="D243" s="396"/>
      <c r="E243" s="396"/>
      <c r="F243" s="396"/>
      <c r="G243" s="396"/>
      <c r="H243" s="396"/>
      <c r="I243" s="396"/>
      <c r="J243" s="396"/>
      <c r="K243" s="396"/>
      <c r="L243" s="396"/>
      <c r="M243" s="396"/>
      <c r="N243" s="396"/>
      <c r="O243" s="396"/>
      <c r="P243" s="396"/>
    </row>
    <row r="244" spans="1:16" x14ac:dyDescent="0.25">
      <c r="A244" s="396"/>
      <c r="B244" s="396"/>
      <c r="C244" s="396"/>
      <c r="D244" s="396"/>
      <c r="E244" s="396"/>
      <c r="F244" s="396"/>
      <c r="G244" s="396"/>
      <c r="H244" s="396"/>
      <c r="I244" s="396"/>
      <c r="J244" s="396"/>
      <c r="K244" s="396"/>
      <c r="L244" s="396"/>
      <c r="M244" s="396"/>
      <c r="N244" s="396"/>
      <c r="O244" s="396"/>
      <c r="P244" s="396"/>
    </row>
    <row r="245" spans="1:16" x14ac:dyDescent="0.25">
      <c r="A245" s="396"/>
      <c r="B245" s="396"/>
      <c r="C245" s="396"/>
      <c r="D245" s="396"/>
      <c r="E245" s="396"/>
      <c r="F245" s="396"/>
      <c r="G245" s="396"/>
      <c r="H245" s="396"/>
      <c r="I245" s="396"/>
      <c r="J245" s="396"/>
      <c r="K245" s="396"/>
      <c r="L245" s="396"/>
      <c r="M245" s="396"/>
      <c r="N245" s="396"/>
      <c r="O245" s="396"/>
      <c r="P245" s="396"/>
    </row>
    <row r="246" spans="1:16" x14ac:dyDescent="0.25">
      <c r="A246" s="396"/>
      <c r="B246" s="396"/>
      <c r="C246" s="396"/>
      <c r="D246" s="396"/>
      <c r="E246" s="396"/>
      <c r="F246" s="396"/>
      <c r="G246" s="396"/>
      <c r="H246" s="396"/>
      <c r="I246" s="396"/>
      <c r="J246" s="396"/>
      <c r="K246" s="396"/>
      <c r="L246" s="396"/>
      <c r="M246" s="396"/>
      <c r="N246" s="396"/>
      <c r="O246" s="396"/>
      <c r="P246" s="396"/>
    </row>
    <row r="247" spans="1:16" x14ac:dyDescent="0.25">
      <c r="A247" s="396"/>
      <c r="B247" s="396"/>
      <c r="C247" s="396"/>
      <c r="D247" s="396"/>
      <c r="E247" s="396"/>
      <c r="F247" s="396"/>
      <c r="G247" s="396"/>
      <c r="H247" s="396"/>
      <c r="I247" s="396"/>
      <c r="J247" s="396"/>
      <c r="K247" s="396"/>
      <c r="L247" s="396"/>
      <c r="M247" s="396"/>
      <c r="N247" s="396"/>
      <c r="O247" s="396"/>
      <c r="P247" s="396"/>
    </row>
    <row r="248" spans="1:16" x14ac:dyDescent="0.25">
      <c r="A248" s="396"/>
      <c r="B248" s="396"/>
      <c r="C248" s="396"/>
      <c r="D248" s="396"/>
      <c r="E248" s="396"/>
      <c r="F248" s="396"/>
      <c r="G248" s="396"/>
      <c r="H248" s="396"/>
      <c r="I248" s="396"/>
      <c r="J248" s="396"/>
      <c r="K248" s="396"/>
      <c r="L248" s="396"/>
      <c r="M248" s="396"/>
      <c r="N248" s="396"/>
      <c r="O248" s="396"/>
      <c r="P248" s="396"/>
    </row>
    <row r="249" spans="1:16" x14ac:dyDescent="0.25">
      <c r="A249" s="396"/>
      <c r="B249" s="396"/>
      <c r="C249" s="396"/>
      <c r="D249" s="396"/>
      <c r="E249" s="396"/>
      <c r="F249" s="396"/>
      <c r="G249" s="396"/>
      <c r="H249" s="396"/>
      <c r="I249" s="396"/>
      <c r="J249" s="396"/>
      <c r="K249" s="396"/>
      <c r="L249" s="396"/>
      <c r="M249" s="396"/>
      <c r="N249" s="396"/>
      <c r="O249" s="396"/>
      <c r="P249" s="396"/>
    </row>
    <row r="250" spans="1:16" x14ac:dyDescent="0.25">
      <c r="A250" s="396"/>
      <c r="B250" s="396"/>
      <c r="C250" s="396"/>
      <c r="D250" s="396"/>
      <c r="E250" s="396"/>
      <c r="F250" s="396"/>
      <c r="G250" s="396"/>
      <c r="H250" s="396"/>
      <c r="I250" s="396"/>
      <c r="J250" s="396"/>
      <c r="K250" s="396"/>
      <c r="L250" s="396"/>
      <c r="M250" s="396"/>
      <c r="N250" s="396"/>
      <c r="O250" s="396"/>
      <c r="P250" s="396"/>
    </row>
    <row r="251" spans="1:16" x14ac:dyDescent="0.25">
      <c r="A251" s="396"/>
      <c r="B251" s="396"/>
      <c r="C251" s="396"/>
      <c r="D251" s="396"/>
      <c r="E251" s="396"/>
      <c r="F251" s="396"/>
      <c r="G251" s="396"/>
      <c r="H251" s="396"/>
      <c r="I251" s="396"/>
      <c r="J251" s="396"/>
      <c r="K251" s="396"/>
      <c r="L251" s="396"/>
      <c r="M251" s="396"/>
      <c r="N251" s="396"/>
      <c r="O251" s="396"/>
      <c r="P251" s="396"/>
    </row>
    <row r="252" spans="1:16" x14ac:dyDescent="0.25">
      <c r="A252" s="396"/>
      <c r="B252" s="396"/>
      <c r="C252" s="396"/>
      <c r="D252" s="396"/>
      <c r="E252" s="396"/>
      <c r="F252" s="396"/>
      <c r="G252" s="396"/>
      <c r="H252" s="396"/>
      <c r="I252" s="396"/>
      <c r="J252" s="396"/>
      <c r="K252" s="396"/>
      <c r="L252" s="396"/>
      <c r="M252" s="396"/>
      <c r="N252" s="396"/>
      <c r="O252" s="396"/>
      <c r="P252" s="396"/>
    </row>
    <row r="253" spans="1:16" x14ac:dyDescent="0.25">
      <c r="A253" s="396"/>
      <c r="B253" s="396"/>
      <c r="C253" s="396"/>
      <c r="D253" s="396"/>
      <c r="E253" s="396"/>
      <c r="F253" s="396"/>
      <c r="G253" s="396"/>
      <c r="H253" s="396"/>
      <c r="I253" s="396"/>
      <c r="J253" s="396"/>
      <c r="K253" s="396"/>
      <c r="L253" s="396"/>
      <c r="M253" s="396"/>
      <c r="N253" s="396"/>
      <c r="O253" s="396"/>
      <c r="P253" s="396"/>
    </row>
    <row r="254" spans="1:16" x14ac:dyDescent="0.25">
      <c r="A254" s="396"/>
      <c r="B254" s="396"/>
      <c r="C254" s="396"/>
      <c r="D254" s="396"/>
      <c r="E254" s="396"/>
      <c r="F254" s="396"/>
      <c r="G254" s="396"/>
      <c r="H254" s="396"/>
      <c r="I254" s="396"/>
      <c r="J254" s="396"/>
      <c r="K254" s="396"/>
      <c r="L254" s="396"/>
      <c r="M254" s="396"/>
      <c r="N254" s="396"/>
      <c r="O254" s="396"/>
      <c r="P254" s="396"/>
    </row>
    <row r="255" spans="1:16" x14ac:dyDescent="0.25">
      <c r="A255" s="396"/>
      <c r="B255" s="396"/>
      <c r="C255" s="396"/>
      <c r="D255" s="396"/>
      <c r="E255" s="396"/>
      <c r="F255" s="396"/>
      <c r="G255" s="396"/>
      <c r="H255" s="396"/>
      <c r="I255" s="396"/>
      <c r="J255" s="396"/>
      <c r="K255" s="396"/>
      <c r="L255" s="396"/>
      <c r="M255" s="396"/>
      <c r="N255" s="396"/>
      <c r="O255" s="396"/>
      <c r="P255" s="396"/>
    </row>
    <row r="256" spans="1:16" x14ac:dyDescent="0.25">
      <c r="A256" s="396"/>
      <c r="B256" s="396"/>
      <c r="C256" s="396"/>
      <c r="D256" s="396"/>
      <c r="E256" s="396"/>
      <c r="F256" s="396"/>
      <c r="G256" s="396"/>
      <c r="H256" s="396"/>
      <c r="I256" s="396"/>
      <c r="J256" s="396"/>
      <c r="K256" s="396"/>
      <c r="L256" s="396"/>
      <c r="M256" s="396"/>
      <c r="N256" s="396"/>
      <c r="O256" s="396"/>
      <c r="P256" s="396"/>
    </row>
    <row r="257" spans="1:16" x14ac:dyDescent="0.25">
      <c r="A257" s="396"/>
      <c r="B257" s="396"/>
      <c r="C257" s="396"/>
      <c r="D257" s="396"/>
      <c r="E257" s="396"/>
      <c r="F257" s="396"/>
      <c r="G257" s="396"/>
      <c r="H257" s="396"/>
      <c r="I257" s="396"/>
      <c r="J257" s="396"/>
      <c r="K257" s="396"/>
      <c r="L257" s="396"/>
      <c r="M257" s="396"/>
      <c r="N257" s="396"/>
      <c r="O257" s="396"/>
      <c r="P257" s="396"/>
    </row>
    <row r="258" spans="1:16" x14ac:dyDescent="0.25">
      <c r="A258" s="396"/>
      <c r="B258" s="396"/>
      <c r="C258" s="396"/>
      <c r="D258" s="396"/>
      <c r="E258" s="396"/>
      <c r="F258" s="396"/>
      <c r="G258" s="396"/>
      <c r="H258" s="396"/>
      <c r="I258" s="396"/>
      <c r="J258" s="396"/>
      <c r="K258" s="396"/>
      <c r="L258" s="396"/>
      <c r="M258" s="396"/>
      <c r="N258" s="396"/>
      <c r="O258" s="396"/>
      <c r="P258" s="396"/>
    </row>
    <row r="259" spans="1:16" x14ac:dyDescent="0.25">
      <c r="A259" s="396"/>
      <c r="B259" s="396"/>
      <c r="C259" s="396"/>
      <c r="D259" s="396"/>
      <c r="E259" s="396"/>
      <c r="F259" s="396"/>
      <c r="G259" s="396"/>
      <c r="H259" s="396"/>
      <c r="I259" s="396"/>
      <c r="J259" s="396"/>
      <c r="K259" s="396"/>
      <c r="L259" s="396"/>
      <c r="M259" s="396"/>
      <c r="N259" s="396"/>
      <c r="O259" s="396"/>
      <c r="P259" s="396"/>
    </row>
    <row r="260" spans="1:16" x14ac:dyDescent="0.25">
      <c r="A260" s="396"/>
      <c r="B260" s="396"/>
      <c r="C260" s="396"/>
      <c r="D260" s="396"/>
      <c r="E260" s="396"/>
      <c r="F260" s="396"/>
      <c r="G260" s="396"/>
      <c r="H260" s="396"/>
      <c r="I260" s="396"/>
      <c r="J260" s="396"/>
      <c r="K260" s="396"/>
      <c r="L260" s="396"/>
      <c r="M260" s="396"/>
      <c r="N260" s="396"/>
      <c r="O260" s="396"/>
      <c r="P260" s="396"/>
    </row>
    <row r="261" spans="1:16" x14ac:dyDescent="0.25">
      <c r="A261" s="396"/>
      <c r="B261" s="396"/>
      <c r="C261" s="396"/>
      <c r="D261" s="396"/>
      <c r="E261" s="396"/>
      <c r="F261" s="396"/>
      <c r="G261" s="396"/>
      <c r="H261" s="396"/>
      <c r="I261" s="396"/>
      <c r="J261" s="396"/>
      <c r="K261" s="396"/>
      <c r="L261" s="396"/>
      <c r="M261" s="396"/>
      <c r="N261" s="396"/>
      <c r="O261" s="396"/>
      <c r="P261" s="396"/>
    </row>
    <row r="262" spans="1:16" x14ac:dyDescent="0.25">
      <c r="A262" s="396"/>
      <c r="B262" s="396"/>
      <c r="C262" s="396"/>
      <c r="D262" s="396"/>
      <c r="E262" s="396"/>
      <c r="F262" s="396"/>
      <c r="G262" s="396"/>
      <c r="H262" s="396"/>
      <c r="I262" s="396"/>
      <c r="J262" s="396"/>
      <c r="K262" s="396"/>
      <c r="L262" s="396"/>
      <c r="M262" s="396"/>
      <c r="N262" s="396"/>
      <c r="O262" s="396"/>
      <c r="P262" s="396"/>
    </row>
    <row r="263" spans="1:16" x14ac:dyDescent="0.25">
      <c r="A263" s="396"/>
      <c r="B263" s="396"/>
      <c r="C263" s="396"/>
      <c r="D263" s="396"/>
      <c r="E263" s="396"/>
      <c r="F263" s="396"/>
      <c r="G263" s="396"/>
      <c r="H263" s="396"/>
      <c r="I263" s="396"/>
      <c r="J263" s="396"/>
      <c r="K263" s="396"/>
      <c r="L263" s="396"/>
      <c r="M263" s="396"/>
      <c r="N263" s="396"/>
      <c r="O263" s="396"/>
      <c r="P263" s="396"/>
    </row>
    <row r="264" spans="1:16" x14ac:dyDescent="0.25">
      <c r="A264" s="396"/>
      <c r="B264" s="396"/>
      <c r="C264" s="396"/>
      <c r="D264" s="396"/>
      <c r="E264" s="396"/>
      <c r="F264" s="396"/>
      <c r="G264" s="396"/>
      <c r="H264" s="396"/>
      <c r="I264" s="396"/>
      <c r="J264" s="396"/>
      <c r="K264" s="396"/>
      <c r="L264" s="396"/>
      <c r="M264" s="396"/>
      <c r="N264" s="396"/>
      <c r="O264" s="396"/>
      <c r="P264" s="396"/>
    </row>
    <row r="265" spans="1:16" x14ac:dyDescent="0.25">
      <c r="A265" s="396"/>
      <c r="B265" s="396"/>
      <c r="C265" s="396"/>
      <c r="D265" s="396"/>
      <c r="E265" s="396"/>
      <c r="F265" s="396"/>
      <c r="G265" s="396"/>
      <c r="H265" s="396"/>
      <c r="I265" s="396"/>
      <c r="J265" s="396"/>
      <c r="K265" s="396"/>
      <c r="L265" s="396"/>
      <c r="M265" s="396"/>
      <c r="N265" s="396"/>
      <c r="O265" s="396"/>
      <c r="P265" s="396"/>
    </row>
    <row r="266" spans="1:16" x14ac:dyDescent="0.25">
      <c r="A266" s="396"/>
      <c r="B266" s="396"/>
      <c r="C266" s="396"/>
      <c r="D266" s="396"/>
      <c r="E266" s="396"/>
      <c r="F266" s="396"/>
      <c r="G266" s="396"/>
      <c r="H266" s="396"/>
      <c r="I266" s="396"/>
      <c r="J266" s="396"/>
      <c r="K266" s="396"/>
      <c r="L266" s="396"/>
      <c r="M266" s="396"/>
      <c r="N266" s="396"/>
      <c r="O266" s="396"/>
      <c r="P266" s="396"/>
    </row>
    <row r="267" spans="1:16" x14ac:dyDescent="0.25">
      <c r="A267" s="396"/>
      <c r="B267" s="396"/>
      <c r="C267" s="396"/>
      <c r="D267" s="396"/>
      <c r="E267" s="396"/>
      <c r="F267" s="396"/>
      <c r="G267" s="396"/>
      <c r="H267" s="396"/>
      <c r="I267" s="396"/>
      <c r="J267" s="396"/>
      <c r="K267" s="396"/>
      <c r="L267" s="396"/>
      <c r="M267" s="396"/>
      <c r="N267" s="396"/>
      <c r="O267" s="396"/>
      <c r="P267" s="396"/>
    </row>
    <row r="268" spans="1:16" x14ac:dyDescent="0.25">
      <c r="A268" s="396"/>
      <c r="B268" s="396"/>
      <c r="C268" s="396"/>
      <c r="D268" s="396"/>
      <c r="E268" s="396"/>
      <c r="F268" s="396"/>
      <c r="G268" s="396"/>
      <c r="H268" s="396"/>
      <c r="I268" s="396"/>
      <c r="J268" s="396"/>
      <c r="K268" s="396"/>
      <c r="L268" s="396"/>
      <c r="M268" s="396"/>
      <c r="N268" s="396"/>
      <c r="O268" s="396"/>
      <c r="P268" s="396"/>
    </row>
    <row r="269" spans="1:16" x14ac:dyDescent="0.25">
      <c r="A269" s="396"/>
      <c r="B269" s="396"/>
      <c r="C269" s="396"/>
      <c r="D269" s="396"/>
      <c r="E269" s="396"/>
      <c r="F269" s="396"/>
      <c r="G269" s="396"/>
      <c r="H269" s="396"/>
      <c r="I269" s="396"/>
      <c r="J269" s="396"/>
      <c r="K269" s="396"/>
      <c r="L269" s="396"/>
      <c r="M269" s="396"/>
      <c r="N269" s="396"/>
      <c r="O269" s="396"/>
      <c r="P269" s="396"/>
    </row>
    <row r="270" spans="1:16" x14ac:dyDescent="0.25">
      <c r="A270" s="396"/>
      <c r="B270" s="396"/>
      <c r="C270" s="396"/>
      <c r="D270" s="396"/>
      <c r="E270" s="396"/>
      <c r="F270" s="396"/>
      <c r="G270" s="396"/>
      <c r="H270" s="396"/>
      <c r="I270" s="396"/>
      <c r="J270" s="396"/>
      <c r="K270" s="396"/>
      <c r="L270" s="396"/>
      <c r="M270" s="396"/>
      <c r="N270" s="396"/>
      <c r="O270" s="396"/>
      <c r="P270" s="396"/>
    </row>
    <row r="271" spans="1:16" x14ac:dyDescent="0.25">
      <c r="A271" s="396"/>
      <c r="B271" s="396"/>
      <c r="C271" s="396"/>
      <c r="D271" s="396"/>
      <c r="E271" s="396"/>
      <c r="F271" s="396"/>
      <c r="G271" s="396"/>
      <c r="H271" s="396"/>
      <c r="I271" s="396"/>
      <c r="J271" s="396"/>
      <c r="K271" s="396"/>
      <c r="L271" s="396"/>
      <c r="M271" s="396"/>
      <c r="N271" s="396"/>
      <c r="O271" s="396"/>
      <c r="P271" s="396"/>
    </row>
    <row r="272" spans="1:16" x14ac:dyDescent="0.25">
      <c r="A272" s="396"/>
      <c r="B272" s="396"/>
      <c r="C272" s="396"/>
      <c r="D272" s="396"/>
      <c r="E272" s="396"/>
      <c r="F272" s="396"/>
      <c r="G272" s="396"/>
      <c r="H272" s="396"/>
      <c r="I272" s="396"/>
      <c r="J272" s="396"/>
      <c r="K272" s="396"/>
      <c r="L272" s="396"/>
      <c r="M272" s="396"/>
      <c r="N272" s="396"/>
      <c r="O272" s="396"/>
      <c r="P272" s="396"/>
    </row>
    <row r="273" spans="1:16" x14ac:dyDescent="0.25">
      <c r="A273" s="396"/>
      <c r="B273" s="396"/>
      <c r="C273" s="396"/>
      <c r="D273" s="396"/>
      <c r="E273" s="396"/>
      <c r="F273" s="396"/>
      <c r="G273" s="396"/>
      <c r="H273" s="396"/>
      <c r="I273" s="396"/>
      <c r="J273" s="396"/>
      <c r="K273" s="396"/>
      <c r="L273" s="396"/>
      <c r="M273" s="396"/>
      <c r="N273" s="396"/>
      <c r="O273" s="396"/>
      <c r="P273" s="396"/>
    </row>
    <row r="274" spans="1:16" x14ac:dyDescent="0.25">
      <c r="A274" s="396"/>
      <c r="B274" s="396"/>
      <c r="C274" s="396"/>
      <c r="D274" s="396"/>
      <c r="E274" s="396"/>
      <c r="F274" s="396"/>
      <c r="G274" s="396"/>
      <c r="H274" s="396"/>
      <c r="I274" s="396"/>
      <c r="J274" s="396"/>
      <c r="K274" s="396"/>
      <c r="L274" s="396"/>
      <c r="M274" s="396"/>
      <c r="N274" s="396"/>
      <c r="O274" s="396"/>
      <c r="P274" s="396"/>
    </row>
    <row r="275" spans="1:16" x14ac:dyDescent="0.25">
      <c r="A275" s="396"/>
      <c r="B275" s="396"/>
      <c r="C275" s="396"/>
      <c r="D275" s="396"/>
      <c r="E275" s="396"/>
      <c r="F275" s="396"/>
      <c r="G275" s="396"/>
      <c r="H275" s="396"/>
      <c r="I275" s="396"/>
      <c r="J275" s="396"/>
      <c r="K275" s="396"/>
      <c r="L275" s="396"/>
      <c r="M275" s="396"/>
      <c r="N275" s="396"/>
      <c r="O275" s="396"/>
      <c r="P275" s="396"/>
    </row>
    <row r="276" spans="1:16" x14ac:dyDescent="0.25">
      <c r="A276" s="396"/>
      <c r="B276" s="396"/>
      <c r="C276" s="396"/>
      <c r="D276" s="396"/>
      <c r="E276" s="396"/>
      <c r="F276" s="396"/>
      <c r="G276" s="396"/>
      <c r="H276" s="396"/>
      <c r="I276" s="396"/>
      <c r="J276" s="396"/>
      <c r="K276" s="396"/>
      <c r="L276" s="396"/>
      <c r="M276" s="396"/>
      <c r="N276" s="396"/>
      <c r="O276" s="396"/>
      <c r="P276" s="396"/>
    </row>
    <row r="277" spans="1:16" x14ac:dyDescent="0.25">
      <c r="A277" s="396"/>
      <c r="B277" s="396"/>
      <c r="C277" s="396"/>
      <c r="D277" s="396"/>
      <c r="E277" s="396"/>
      <c r="F277" s="396"/>
      <c r="G277" s="396"/>
      <c r="H277" s="396"/>
      <c r="I277" s="396"/>
      <c r="J277" s="396"/>
      <c r="K277" s="396"/>
      <c r="L277" s="396"/>
      <c r="M277" s="396"/>
      <c r="N277" s="396"/>
      <c r="O277" s="396"/>
      <c r="P277" s="396"/>
    </row>
    <row r="278" spans="1:16" x14ac:dyDescent="0.25">
      <c r="A278" s="396"/>
      <c r="B278" s="396"/>
      <c r="C278" s="396"/>
      <c r="D278" s="396"/>
      <c r="E278" s="396"/>
      <c r="F278" s="396"/>
      <c r="G278" s="396"/>
      <c r="H278" s="396"/>
      <c r="I278" s="396"/>
      <c r="J278" s="396"/>
      <c r="K278" s="396"/>
      <c r="L278" s="396"/>
      <c r="M278" s="396"/>
      <c r="N278" s="396"/>
      <c r="O278" s="396"/>
      <c r="P278" s="396"/>
    </row>
    <row r="279" spans="1:16" x14ac:dyDescent="0.25">
      <c r="A279" s="396"/>
      <c r="B279" s="396"/>
      <c r="C279" s="396"/>
      <c r="D279" s="396"/>
      <c r="E279" s="396"/>
      <c r="F279" s="396"/>
      <c r="G279" s="396"/>
      <c r="H279" s="396"/>
      <c r="I279" s="396"/>
      <c r="J279" s="396"/>
      <c r="K279" s="396"/>
      <c r="L279" s="396"/>
      <c r="M279" s="396"/>
      <c r="N279" s="396"/>
      <c r="O279" s="396"/>
      <c r="P279" s="396"/>
    </row>
    <row r="280" spans="1:16" x14ac:dyDescent="0.25">
      <c r="A280" s="396"/>
      <c r="B280" s="396"/>
      <c r="C280" s="396"/>
      <c r="D280" s="396"/>
      <c r="E280" s="396"/>
      <c r="F280" s="396"/>
      <c r="G280" s="396"/>
      <c r="H280" s="396"/>
      <c r="I280" s="396"/>
      <c r="J280" s="396"/>
      <c r="K280" s="396"/>
      <c r="L280" s="396"/>
      <c r="M280" s="396"/>
      <c r="N280" s="396"/>
      <c r="O280" s="396"/>
      <c r="P280" s="396"/>
    </row>
    <row r="281" spans="1:16" x14ac:dyDescent="0.25">
      <c r="A281" s="396"/>
      <c r="B281" s="396"/>
      <c r="C281" s="396"/>
      <c r="D281" s="396"/>
      <c r="E281" s="396"/>
      <c r="F281" s="396"/>
      <c r="G281" s="396"/>
      <c r="H281" s="396"/>
      <c r="I281" s="396"/>
      <c r="J281" s="396"/>
      <c r="K281" s="396"/>
      <c r="L281" s="396"/>
      <c r="M281" s="396"/>
      <c r="N281" s="396"/>
      <c r="O281" s="396"/>
      <c r="P281" s="396"/>
    </row>
    <row r="282" spans="1:16" x14ac:dyDescent="0.25">
      <c r="A282" s="396"/>
      <c r="B282" s="396"/>
      <c r="C282" s="396"/>
      <c r="D282" s="396"/>
      <c r="E282" s="396"/>
      <c r="F282" s="396"/>
      <c r="G282" s="396"/>
      <c r="H282" s="396"/>
      <c r="I282" s="396"/>
      <c r="J282" s="396"/>
      <c r="K282" s="396"/>
      <c r="L282" s="396"/>
      <c r="M282" s="396"/>
      <c r="N282" s="396"/>
      <c r="O282" s="396"/>
      <c r="P282" s="396"/>
    </row>
    <row r="283" spans="1:16" x14ac:dyDescent="0.25">
      <c r="A283" s="396"/>
      <c r="B283" s="396"/>
      <c r="C283" s="396"/>
      <c r="D283" s="396"/>
      <c r="E283" s="396"/>
      <c r="F283" s="396"/>
      <c r="G283" s="396"/>
      <c r="H283" s="396"/>
      <c r="I283" s="396"/>
      <c r="J283" s="396"/>
      <c r="K283" s="396"/>
      <c r="L283" s="396"/>
      <c r="M283" s="396"/>
      <c r="N283" s="396"/>
      <c r="O283" s="396"/>
      <c r="P283" s="396"/>
    </row>
    <row r="284" spans="1:16" x14ac:dyDescent="0.25">
      <c r="A284" s="396"/>
      <c r="B284" s="396"/>
      <c r="C284" s="396"/>
      <c r="D284" s="396"/>
      <c r="E284" s="396"/>
      <c r="F284" s="396"/>
      <c r="G284" s="396"/>
      <c r="H284" s="396"/>
      <c r="I284" s="396"/>
      <c r="J284" s="396"/>
      <c r="K284" s="396"/>
      <c r="L284" s="396"/>
      <c r="M284" s="396"/>
      <c r="N284" s="396"/>
      <c r="O284" s="396"/>
      <c r="P284" s="396"/>
    </row>
    <row r="285" spans="1:16" x14ac:dyDescent="0.25">
      <c r="A285" s="396"/>
      <c r="B285" s="396"/>
      <c r="C285" s="396"/>
      <c r="D285" s="396"/>
      <c r="E285" s="396"/>
      <c r="F285" s="396"/>
      <c r="G285" s="396"/>
      <c r="H285" s="396"/>
      <c r="I285" s="396"/>
      <c r="J285" s="396"/>
      <c r="K285" s="396"/>
      <c r="L285" s="396"/>
      <c r="M285" s="396"/>
      <c r="N285" s="396"/>
      <c r="O285" s="396"/>
      <c r="P285" s="396"/>
    </row>
    <row r="286" spans="1:16" x14ac:dyDescent="0.25">
      <c r="A286" s="396"/>
      <c r="B286" s="396"/>
      <c r="C286" s="396"/>
      <c r="D286" s="396"/>
      <c r="E286" s="396"/>
      <c r="F286" s="396"/>
      <c r="G286" s="396"/>
      <c r="H286" s="396"/>
      <c r="I286" s="396"/>
      <c r="J286" s="396"/>
      <c r="K286" s="396"/>
      <c r="L286" s="396"/>
      <c r="M286" s="396"/>
      <c r="N286" s="396"/>
      <c r="O286" s="396"/>
      <c r="P286" s="396"/>
    </row>
    <row r="287" spans="1:16" x14ac:dyDescent="0.25">
      <c r="A287" s="396"/>
      <c r="B287" s="396"/>
      <c r="C287" s="396"/>
      <c r="D287" s="396"/>
      <c r="E287" s="396"/>
      <c r="F287" s="396"/>
      <c r="G287" s="396"/>
      <c r="H287" s="396"/>
      <c r="I287" s="396"/>
      <c r="J287" s="396"/>
      <c r="K287" s="396"/>
      <c r="L287" s="396"/>
      <c r="M287" s="396"/>
      <c r="N287" s="396"/>
      <c r="O287" s="396"/>
      <c r="P287" s="396"/>
    </row>
    <row r="288" spans="1:16" x14ac:dyDescent="0.25">
      <c r="A288" s="396"/>
      <c r="B288" s="396"/>
      <c r="C288" s="396"/>
      <c r="D288" s="396"/>
      <c r="E288" s="396"/>
      <c r="F288" s="396"/>
      <c r="G288" s="396"/>
      <c r="H288" s="396"/>
      <c r="I288" s="396"/>
      <c r="J288" s="396"/>
      <c r="K288" s="396"/>
      <c r="L288" s="396"/>
      <c r="M288" s="396"/>
      <c r="N288" s="396"/>
      <c r="O288" s="396"/>
      <c r="P288" s="396"/>
    </row>
    <row r="289" spans="1:16" x14ac:dyDescent="0.25">
      <c r="A289" s="396"/>
      <c r="B289" s="396"/>
      <c r="C289" s="396"/>
      <c r="D289" s="396"/>
      <c r="E289" s="396"/>
      <c r="F289" s="396"/>
      <c r="G289" s="396"/>
      <c r="H289" s="396"/>
      <c r="I289" s="396"/>
      <c r="J289" s="396"/>
      <c r="K289" s="396"/>
      <c r="L289" s="396"/>
      <c r="M289" s="396"/>
      <c r="N289" s="396"/>
      <c r="O289" s="396"/>
      <c r="P289" s="396"/>
    </row>
    <row r="290" spans="1:16" x14ac:dyDescent="0.25">
      <c r="A290" s="396"/>
      <c r="B290" s="396"/>
      <c r="C290" s="396"/>
      <c r="D290" s="396"/>
      <c r="E290" s="396"/>
      <c r="F290" s="396"/>
      <c r="G290" s="396"/>
      <c r="H290" s="396"/>
      <c r="I290" s="396"/>
      <c r="J290" s="396"/>
      <c r="K290" s="396"/>
      <c r="L290" s="396"/>
      <c r="M290" s="396"/>
      <c r="N290" s="396"/>
      <c r="O290" s="396"/>
      <c r="P290" s="396"/>
    </row>
    <row r="291" spans="1:16" x14ac:dyDescent="0.25">
      <c r="A291" s="396"/>
      <c r="B291" s="396"/>
      <c r="C291" s="396"/>
      <c r="D291" s="396"/>
      <c r="E291" s="396"/>
      <c r="F291" s="396"/>
      <c r="G291" s="396"/>
      <c r="H291" s="396"/>
      <c r="I291" s="396"/>
      <c r="J291" s="396"/>
      <c r="K291" s="396"/>
      <c r="L291" s="396"/>
      <c r="M291" s="396"/>
      <c r="N291" s="396"/>
      <c r="O291" s="396"/>
      <c r="P291" s="396"/>
    </row>
    <row r="292" spans="1:16" x14ac:dyDescent="0.25">
      <c r="A292" s="396"/>
      <c r="B292" s="396"/>
      <c r="C292" s="396"/>
      <c r="D292" s="396"/>
      <c r="E292" s="396"/>
      <c r="F292" s="396"/>
      <c r="G292" s="396"/>
      <c r="H292" s="396"/>
      <c r="I292" s="396"/>
      <c r="J292" s="396"/>
      <c r="K292" s="396"/>
      <c r="L292" s="396"/>
      <c r="M292" s="396"/>
      <c r="N292" s="396"/>
      <c r="O292" s="396"/>
      <c r="P292" s="396"/>
    </row>
    <row r="293" spans="1:16" x14ac:dyDescent="0.25">
      <c r="A293" s="396"/>
      <c r="B293" s="396"/>
      <c r="C293" s="396"/>
      <c r="D293" s="396"/>
      <c r="E293" s="396"/>
      <c r="F293" s="396"/>
      <c r="G293" s="396"/>
      <c r="H293" s="396"/>
      <c r="I293" s="396"/>
      <c r="J293" s="396"/>
      <c r="K293" s="396"/>
      <c r="L293" s="396"/>
      <c r="M293" s="396"/>
      <c r="N293" s="396"/>
      <c r="O293" s="396"/>
      <c r="P293" s="396"/>
    </row>
    <row r="294" spans="1:16" x14ac:dyDescent="0.25">
      <c r="A294" s="396"/>
      <c r="B294" s="396"/>
      <c r="C294" s="396"/>
      <c r="D294" s="396"/>
      <c r="E294" s="396"/>
      <c r="F294" s="396"/>
      <c r="G294" s="396"/>
      <c r="H294" s="396"/>
      <c r="I294" s="396"/>
      <c r="J294" s="396"/>
      <c r="K294" s="396"/>
      <c r="L294" s="396"/>
      <c r="M294" s="396"/>
      <c r="N294" s="396"/>
      <c r="O294" s="396"/>
      <c r="P294" s="396"/>
    </row>
    <row r="295" spans="1:16" x14ac:dyDescent="0.25">
      <c r="A295" s="396"/>
      <c r="B295" s="396"/>
      <c r="C295" s="396"/>
      <c r="D295" s="396"/>
      <c r="E295" s="396"/>
      <c r="F295" s="396"/>
      <c r="G295" s="396"/>
      <c r="H295" s="396"/>
      <c r="I295" s="396"/>
      <c r="J295" s="396"/>
      <c r="K295" s="396"/>
      <c r="L295" s="396"/>
      <c r="M295" s="396"/>
      <c r="N295" s="396"/>
      <c r="O295" s="396"/>
      <c r="P295" s="396"/>
    </row>
    <row r="296" spans="1:16" x14ac:dyDescent="0.25">
      <c r="A296" s="396"/>
      <c r="B296" s="396"/>
      <c r="C296" s="396"/>
      <c r="D296" s="396"/>
      <c r="E296" s="396"/>
      <c r="F296" s="396"/>
      <c r="G296" s="396"/>
      <c r="H296" s="396"/>
      <c r="I296" s="396"/>
      <c r="J296" s="396"/>
      <c r="K296" s="396"/>
      <c r="L296" s="396"/>
      <c r="M296" s="396"/>
      <c r="N296" s="396"/>
      <c r="O296" s="396"/>
      <c r="P296" s="396"/>
    </row>
    <row r="297" spans="1:16" x14ac:dyDescent="0.25">
      <c r="A297" s="396"/>
      <c r="B297" s="396"/>
      <c r="C297" s="396"/>
      <c r="D297" s="396"/>
      <c r="E297" s="396"/>
      <c r="F297" s="396"/>
      <c r="G297" s="396"/>
      <c r="H297" s="396"/>
      <c r="I297" s="396"/>
      <c r="J297" s="396"/>
      <c r="K297" s="396"/>
      <c r="L297" s="396"/>
      <c r="M297" s="396"/>
      <c r="N297" s="396"/>
      <c r="O297" s="396"/>
      <c r="P297" s="396"/>
    </row>
    <row r="298" spans="1:16" x14ac:dyDescent="0.25">
      <c r="A298" s="396"/>
      <c r="B298" s="396"/>
      <c r="C298" s="396"/>
      <c r="D298" s="396"/>
      <c r="E298" s="396"/>
      <c r="F298" s="396"/>
      <c r="G298" s="396"/>
      <c r="H298" s="396"/>
      <c r="I298" s="396"/>
      <c r="J298" s="396"/>
      <c r="K298" s="396"/>
      <c r="L298" s="396"/>
      <c r="M298" s="396"/>
      <c r="N298" s="396"/>
      <c r="O298" s="396"/>
      <c r="P298" s="396"/>
    </row>
    <row r="299" spans="1:16" x14ac:dyDescent="0.25">
      <c r="A299" s="396"/>
      <c r="B299" s="396"/>
      <c r="C299" s="396"/>
      <c r="D299" s="396"/>
      <c r="E299" s="396"/>
      <c r="F299" s="396"/>
      <c r="G299" s="396"/>
      <c r="H299" s="396"/>
      <c r="I299" s="396"/>
      <c r="J299" s="396"/>
      <c r="K299" s="396"/>
      <c r="L299" s="396"/>
      <c r="M299" s="396"/>
      <c r="N299" s="396"/>
      <c r="O299" s="396"/>
      <c r="P299" s="396"/>
    </row>
    <row r="300" spans="1:16" x14ac:dyDescent="0.25">
      <c r="A300" s="396"/>
      <c r="B300" s="396"/>
      <c r="C300" s="396"/>
      <c r="D300" s="396"/>
      <c r="E300" s="396"/>
      <c r="F300" s="396"/>
      <c r="G300" s="396"/>
      <c r="H300" s="396"/>
      <c r="I300" s="396"/>
      <c r="J300" s="396"/>
      <c r="K300" s="396"/>
      <c r="L300" s="396"/>
      <c r="M300" s="396"/>
      <c r="N300" s="396"/>
      <c r="O300" s="396"/>
      <c r="P300" s="396"/>
    </row>
    <row r="301" spans="1:16" x14ac:dyDescent="0.25">
      <c r="A301" s="396"/>
      <c r="B301" s="396"/>
      <c r="C301" s="396"/>
      <c r="D301" s="396"/>
      <c r="E301" s="396"/>
      <c r="F301" s="396"/>
      <c r="G301" s="396"/>
      <c r="H301" s="396"/>
      <c r="I301" s="396"/>
      <c r="J301" s="396"/>
      <c r="K301" s="396"/>
      <c r="L301" s="396"/>
      <c r="M301" s="396"/>
      <c r="N301" s="396"/>
      <c r="O301" s="396"/>
      <c r="P301" s="396"/>
    </row>
    <row r="302" spans="1:16" x14ac:dyDescent="0.25">
      <c r="A302" s="396"/>
      <c r="B302" s="396"/>
      <c r="C302" s="396"/>
      <c r="D302" s="396"/>
      <c r="E302" s="396"/>
      <c r="F302" s="396"/>
      <c r="G302" s="396"/>
      <c r="H302" s="396"/>
      <c r="I302" s="396"/>
      <c r="J302" s="396"/>
      <c r="K302" s="396"/>
      <c r="L302" s="396"/>
      <c r="M302" s="396"/>
      <c r="N302" s="396"/>
      <c r="O302" s="396"/>
      <c r="P302" s="396"/>
    </row>
    <row r="303" spans="1:16" x14ac:dyDescent="0.25">
      <c r="A303" s="396"/>
      <c r="B303" s="396"/>
      <c r="C303" s="396"/>
      <c r="D303" s="396"/>
      <c r="E303" s="396"/>
      <c r="F303" s="396"/>
      <c r="G303" s="396"/>
      <c r="H303" s="396"/>
      <c r="I303" s="396"/>
      <c r="J303" s="396"/>
      <c r="K303" s="396"/>
      <c r="L303" s="396"/>
      <c r="M303" s="396"/>
      <c r="N303" s="396"/>
      <c r="O303" s="396"/>
      <c r="P303" s="396"/>
    </row>
    <row r="304" spans="1:16" x14ac:dyDescent="0.25">
      <c r="A304" s="396"/>
      <c r="B304" s="396"/>
      <c r="C304" s="396"/>
      <c r="D304" s="396"/>
      <c r="E304" s="396"/>
      <c r="F304" s="396"/>
      <c r="G304" s="396"/>
      <c r="H304" s="396"/>
      <c r="I304" s="396"/>
      <c r="J304" s="396"/>
      <c r="K304" s="396"/>
      <c r="L304" s="396"/>
      <c r="M304" s="396"/>
      <c r="N304" s="396"/>
      <c r="O304" s="396"/>
      <c r="P304" s="396"/>
    </row>
    <row r="305" spans="1:16" x14ac:dyDescent="0.25">
      <c r="A305" s="396"/>
      <c r="B305" s="396"/>
      <c r="C305" s="396"/>
      <c r="D305" s="396"/>
      <c r="E305" s="396"/>
      <c r="F305" s="396"/>
      <c r="G305" s="396"/>
      <c r="H305" s="396"/>
      <c r="I305" s="396"/>
      <c r="J305" s="396"/>
      <c r="K305" s="396"/>
      <c r="L305" s="396"/>
      <c r="M305" s="396"/>
      <c r="N305" s="396"/>
      <c r="O305" s="396"/>
      <c r="P305" s="396"/>
    </row>
    <row r="306" spans="1:16" x14ac:dyDescent="0.25">
      <c r="A306" s="396"/>
      <c r="B306" s="396"/>
      <c r="C306" s="396"/>
      <c r="D306" s="396"/>
      <c r="E306" s="396"/>
      <c r="F306" s="396"/>
      <c r="G306" s="396"/>
      <c r="H306" s="396"/>
      <c r="I306" s="396"/>
      <c r="J306" s="396"/>
      <c r="K306" s="396"/>
      <c r="L306" s="396"/>
      <c r="M306" s="396"/>
      <c r="N306" s="396"/>
      <c r="O306" s="396"/>
      <c r="P306" s="396"/>
    </row>
    <row r="307" spans="1:16" x14ac:dyDescent="0.25">
      <c r="A307" s="396"/>
      <c r="B307" s="396"/>
      <c r="C307" s="396"/>
      <c r="D307" s="396"/>
      <c r="E307" s="396"/>
      <c r="F307" s="396"/>
      <c r="G307" s="396"/>
      <c r="H307" s="396"/>
      <c r="I307" s="396"/>
      <c r="J307" s="396"/>
      <c r="K307" s="396"/>
      <c r="L307" s="396"/>
      <c r="M307" s="396"/>
      <c r="N307" s="396"/>
      <c r="O307" s="396"/>
      <c r="P307" s="396"/>
    </row>
    <row r="308" spans="1:16" x14ac:dyDescent="0.25">
      <c r="A308" s="396"/>
      <c r="B308" s="396"/>
      <c r="C308" s="396"/>
      <c r="D308" s="396"/>
      <c r="E308" s="396"/>
      <c r="F308" s="396"/>
      <c r="G308" s="396"/>
      <c r="H308" s="396"/>
      <c r="I308" s="396"/>
      <c r="J308" s="396"/>
      <c r="K308" s="396"/>
      <c r="L308" s="396"/>
      <c r="M308" s="396"/>
      <c r="N308" s="396"/>
      <c r="O308" s="396"/>
      <c r="P308" s="396"/>
    </row>
    <row r="309" spans="1:16" x14ac:dyDescent="0.25">
      <c r="A309" s="396"/>
      <c r="B309" s="396"/>
      <c r="C309" s="396"/>
      <c r="D309" s="396"/>
      <c r="E309" s="396"/>
      <c r="F309" s="396"/>
      <c r="G309" s="396"/>
      <c r="H309" s="396"/>
      <c r="I309" s="396"/>
      <c r="J309" s="396"/>
      <c r="K309" s="396"/>
      <c r="L309" s="396"/>
      <c r="M309" s="396"/>
      <c r="N309" s="396"/>
      <c r="O309" s="396"/>
      <c r="P309" s="396"/>
    </row>
    <row r="310" spans="1:16" x14ac:dyDescent="0.25">
      <c r="A310" s="396"/>
      <c r="B310" s="396"/>
      <c r="C310" s="396"/>
      <c r="D310" s="396"/>
      <c r="E310" s="396"/>
      <c r="F310" s="396"/>
      <c r="G310" s="396"/>
      <c r="H310" s="396"/>
      <c r="I310" s="396"/>
      <c r="J310" s="396"/>
      <c r="K310" s="396"/>
      <c r="L310" s="396"/>
      <c r="M310" s="396"/>
      <c r="N310" s="396"/>
      <c r="O310" s="396"/>
      <c r="P310" s="396"/>
    </row>
    <row r="311" spans="1:16" x14ac:dyDescent="0.25">
      <c r="A311" s="396"/>
      <c r="B311" s="396"/>
      <c r="C311" s="396"/>
      <c r="D311" s="396"/>
      <c r="E311" s="396"/>
      <c r="F311" s="396"/>
      <c r="G311" s="396"/>
      <c r="H311" s="396"/>
      <c r="I311" s="396"/>
      <c r="J311" s="396"/>
      <c r="K311" s="396"/>
      <c r="L311" s="396"/>
      <c r="M311" s="396"/>
      <c r="N311" s="396"/>
      <c r="O311" s="396"/>
      <c r="P311" s="396"/>
    </row>
    <row r="312" spans="1:16" x14ac:dyDescent="0.25">
      <c r="A312" s="396"/>
      <c r="B312" s="396"/>
      <c r="C312" s="396"/>
      <c r="D312" s="396"/>
      <c r="E312" s="396"/>
      <c r="F312" s="396"/>
      <c r="G312" s="396"/>
      <c r="H312" s="396"/>
      <c r="I312" s="396"/>
      <c r="J312" s="396"/>
      <c r="K312" s="396"/>
      <c r="L312" s="396"/>
      <c r="M312" s="396"/>
      <c r="N312" s="396"/>
      <c r="O312" s="396"/>
      <c r="P312" s="396"/>
    </row>
    <row r="313" spans="1:16" x14ac:dyDescent="0.25">
      <c r="A313" s="396"/>
      <c r="B313" s="396"/>
      <c r="C313" s="396"/>
      <c r="D313" s="396"/>
      <c r="E313" s="396"/>
      <c r="F313" s="396"/>
      <c r="G313" s="396"/>
      <c r="H313" s="396"/>
      <c r="I313" s="396"/>
      <c r="J313" s="396"/>
      <c r="K313" s="396"/>
      <c r="L313" s="396"/>
      <c r="M313" s="396"/>
      <c r="N313" s="396"/>
      <c r="O313" s="396"/>
      <c r="P313" s="396"/>
    </row>
    <row r="314" spans="1:16" x14ac:dyDescent="0.25">
      <c r="A314" s="396"/>
      <c r="B314" s="396"/>
      <c r="C314" s="396"/>
      <c r="D314" s="396"/>
      <c r="E314" s="396"/>
      <c r="F314" s="396"/>
      <c r="G314" s="396"/>
      <c r="H314" s="396"/>
      <c r="I314" s="396"/>
      <c r="J314" s="396"/>
      <c r="K314" s="396"/>
      <c r="L314" s="396"/>
      <c r="M314" s="396"/>
      <c r="N314" s="396"/>
      <c r="O314" s="396"/>
      <c r="P314" s="396"/>
    </row>
    <row r="315" spans="1:16" x14ac:dyDescent="0.25">
      <c r="A315" s="396"/>
      <c r="B315" s="396"/>
      <c r="C315" s="396"/>
      <c r="D315" s="396"/>
      <c r="E315" s="396"/>
      <c r="F315" s="396"/>
      <c r="G315" s="396"/>
      <c r="H315" s="396"/>
      <c r="I315" s="396"/>
      <c r="J315" s="396"/>
      <c r="K315" s="396"/>
      <c r="L315" s="396"/>
      <c r="M315" s="396"/>
      <c r="N315" s="396"/>
      <c r="O315" s="396"/>
      <c r="P315" s="396"/>
    </row>
    <row r="316" spans="1:16" x14ac:dyDescent="0.25">
      <c r="A316" s="396"/>
      <c r="B316" s="396"/>
      <c r="C316" s="396"/>
      <c r="D316" s="396"/>
      <c r="E316" s="396"/>
      <c r="F316" s="396"/>
      <c r="G316" s="396"/>
      <c r="H316" s="396"/>
      <c r="I316" s="396"/>
      <c r="J316" s="396"/>
      <c r="K316" s="396"/>
      <c r="L316" s="396"/>
      <c r="M316" s="396"/>
      <c r="N316" s="396"/>
      <c r="O316" s="396"/>
      <c r="P316" s="396"/>
    </row>
    <row r="317" spans="1:16" x14ac:dyDescent="0.25">
      <c r="A317" s="396"/>
      <c r="B317" s="396"/>
      <c r="C317" s="396"/>
      <c r="D317" s="396"/>
      <c r="E317" s="396"/>
      <c r="F317" s="396"/>
      <c r="G317" s="396"/>
      <c r="H317" s="396"/>
      <c r="I317" s="396"/>
      <c r="J317" s="396"/>
      <c r="K317" s="396"/>
      <c r="L317" s="396"/>
      <c r="M317" s="396"/>
      <c r="N317" s="396"/>
      <c r="O317" s="396"/>
      <c r="P317" s="396"/>
    </row>
    <row r="318" spans="1:16" x14ac:dyDescent="0.25">
      <c r="A318" s="396"/>
      <c r="B318" s="396"/>
      <c r="C318" s="396"/>
      <c r="D318" s="396"/>
      <c r="E318" s="396"/>
      <c r="F318" s="396"/>
      <c r="G318" s="396"/>
      <c r="H318" s="396"/>
      <c r="I318" s="396"/>
      <c r="J318" s="396"/>
      <c r="K318" s="396"/>
      <c r="L318" s="396"/>
      <c r="M318" s="396"/>
      <c r="N318" s="396"/>
      <c r="O318" s="396"/>
      <c r="P318" s="396"/>
    </row>
    <row r="319" spans="1:16" x14ac:dyDescent="0.25">
      <c r="A319" s="396"/>
      <c r="B319" s="396"/>
      <c r="C319" s="396"/>
      <c r="D319" s="396"/>
      <c r="E319" s="396"/>
      <c r="F319" s="396"/>
      <c r="G319" s="396"/>
      <c r="H319" s="396"/>
      <c r="I319" s="396"/>
      <c r="J319" s="396"/>
      <c r="K319" s="396"/>
      <c r="L319" s="396"/>
      <c r="M319" s="396"/>
      <c r="N319" s="396"/>
      <c r="O319" s="396"/>
      <c r="P319" s="396"/>
    </row>
    <row r="320" spans="1:16" x14ac:dyDescent="0.25">
      <c r="A320" s="396"/>
      <c r="B320" s="396"/>
      <c r="C320" s="396"/>
      <c r="D320" s="396"/>
      <c r="E320" s="396"/>
      <c r="F320" s="396"/>
      <c r="G320" s="396"/>
      <c r="H320" s="396"/>
      <c r="I320" s="396"/>
      <c r="J320" s="396"/>
      <c r="K320" s="396"/>
      <c r="L320" s="396"/>
      <c r="M320" s="396"/>
      <c r="N320" s="396"/>
      <c r="O320" s="396"/>
      <c r="P320" s="396"/>
    </row>
    <row r="321" spans="1:16" x14ac:dyDescent="0.25">
      <c r="A321" s="396"/>
      <c r="B321" s="396"/>
      <c r="C321" s="396"/>
      <c r="D321" s="396"/>
      <c r="E321" s="396"/>
      <c r="F321" s="396"/>
      <c r="G321" s="396"/>
      <c r="H321" s="396"/>
      <c r="I321" s="396"/>
      <c r="J321" s="396"/>
      <c r="K321" s="396"/>
      <c r="L321" s="396"/>
      <c r="M321" s="396"/>
      <c r="N321" s="396"/>
      <c r="O321" s="396"/>
      <c r="P321" s="396"/>
    </row>
    <row r="322" spans="1:16" x14ac:dyDescent="0.25">
      <c r="A322" s="396"/>
      <c r="B322" s="396"/>
      <c r="C322" s="396"/>
      <c r="D322" s="396"/>
      <c r="E322" s="396"/>
      <c r="F322" s="396"/>
      <c r="G322" s="396"/>
      <c r="H322" s="396"/>
      <c r="I322" s="396"/>
      <c r="J322" s="396"/>
      <c r="K322" s="396"/>
      <c r="L322" s="396"/>
      <c r="M322" s="396"/>
      <c r="N322" s="396"/>
      <c r="O322" s="396"/>
      <c r="P322" s="396"/>
    </row>
    <row r="323" spans="1:16" x14ac:dyDescent="0.25">
      <c r="A323" s="396"/>
      <c r="B323" s="396"/>
      <c r="C323" s="396"/>
      <c r="D323" s="396"/>
      <c r="E323" s="396"/>
      <c r="F323" s="396"/>
      <c r="G323" s="396"/>
      <c r="H323" s="396"/>
      <c r="I323" s="396"/>
      <c r="J323" s="396"/>
      <c r="K323" s="396"/>
      <c r="L323" s="396"/>
      <c r="M323" s="396"/>
      <c r="N323" s="396"/>
      <c r="O323" s="396"/>
      <c r="P323" s="396"/>
    </row>
    <row r="324" spans="1:16" x14ac:dyDescent="0.25">
      <c r="A324" s="396"/>
      <c r="B324" s="396"/>
      <c r="C324" s="396"/>
      <c r="D324" s="396"/>
      <c r="E324" s="396"/>
      <c r="F324" s="396"/>
      <c r="G324" s="396"/>
      <c r="H324" s="396"/>
      <c r="I324" s="396"/>
      <c r="J324" s="396"/>
      <c r="K324" s="396"/>
      <c r="L324" s="396"/>
      <c r="M324" s="396"/>
      <c r="N324" s="396"/>
      <c r="O324" s="396"/>
      <c r="P324" s="396"/>
    </row>
    <row r="325" spans="1:16" x14ac:dyDescent="0.25">
      <c r="A325" s="396"/>
      <c r="B325" s="396"/>
      <c r="C325" s="396"/>
      <c r="D325" s="396"/>
      <c r="E325" s="396"/>
      <c r="F325" s="396"/>
      <c r="G325" s="396"/>
      <c r="H325" s="396"/>
      <c r="I325" s="396"/>
      <c r="J325" s="396"/>
      <c r="K325" s="396"/>
      <c r="L325" s="396"/>
      <c r="M325" s="396"/>
      <c r="N325" s="396"/>
      <c r="O325" s="396"/>
      <c r="P325" s="396"/>
    </row>
    <row r="326" spans="1:16" x14ac:dyDescent="0.25">
      <c r="A326" s="396"/>
      <c r="B326" s="396"/>
      <c r="C326" s="396"/>
      <c r="D326" s="396"/>
      <c r="E326" s="396"/>
      <c r="F326" s="396"/>
      <c r="G326" s="396"/>
      <c r="H326" s="396"/>
      <c r="I326" s="396"/>
      <c r="J326" s="396"/>
      <c r="K326" s="396"/>
      <c r="L326" s="396"/>
      <c r="M326" s="396"/>
      <c r="N326" s="396"/>
      <c r="O326" s="396"/>
      <c r="P326" s="396"/>
    </row>
    <row r="327" spans="1:16" x14ac:dyDescent="0.25">
      <c r="A327" s="396"/>
      <c r="B327" s="396"/>
      <c r="C327" s="396"/>
      <c r="D327" s="396"/>
      <c r="E327" s="396"/>
      <c r="F327" s="396"/>
      <c r="G327" s="396"/>
      <c r="H327" s="396"/>
      <c r="I327" s="396"/>
      <c r="J327" s="396"/>
      <c r="K327" s="396"/>
      <c r="L327" s="396"/>
      <c r="M327" s="396"/>
      <c r="N327" s="396"/>
      <c r="O327" s="396"/>
      <c r="P327" s="396"/>
    </row>
    <row r="328" spans="1:16" x14ac:dyDescent="0.25">
      <c r="A328" s="396"/>
      <c r="B328" s="396"/>
      <c r="C328" s="396"/>
      <c r="D328" s="396"/>
      <c r="E328" s="396"/>
      <c r="F328" s="396"/>
      <c r="G328" s="396"/>
      <c r="H328" s="396"/>
      <c r="I328" s="396"/>
      <c r="J328" s="396"/>
      <c r="K328" s="396"/>
      <c r="L328" s="396"/>
      <c r="M328" s="396"/>
      <c r="N328" s="396"/>
      <c r="O328" s="396"/>
      <c r="P328" s="396"/>
    </row>
    <row r="329" spans="1:16" x14ac:dyDescent="0.25">
      <c r="A329" s="396"/>
      <c r="B329" s="396"/>
      <c r="C329" s="396"/>
      <c r="D329" s="396"/>
      <c r="E329" s="396"/>
      <c r="F329" s="396"/>
      <c r="G329" s="396"/>
      <c r="H329" s="396"/>
      <c r="I329" s="396"/>
      <c r="J329" s="396"/>
      <c r="K329" s="396"/>
      <c r="L329" s="396"/>
      <c r="M329" s="396"/>
      <c r="N329" s="396"/>
      <c r="O329" s="396"/>
      <c r="P329" s="396"/>
    </row>
    <row r="330" spans="1:16" x14ac:dyDescent="0.25">
      <c r="A330" s="396"/>
      <c r="B330" s="396"/>
      <c r="C330" s="396"/>
      <c r="D330" s="396"/>
      <c r="E330" s="396"/>
      <c r="F330" s="396"/>
      <c r="G330" s="396"/>
      <c r="H330" s="396"/>
      <c r="I330" s="396"/>
      <c r="J330" s="396"/>
      <c r="K330" s="396"/>
      <c r="L330" s="396"/>
      <c r="M330" s="396"/>
      <c r="N330" s="396"/>
      <c r="O330" s="396"/>
      <c r="P330" s="396"/>
    </row>
    <row r="331" spans="1:16" x14ac:dyDescent="0.25">
      <c r="A331" s="396"/>
      <c r="B331" s="396"/>
      <c r="C331" s="396"/>
      <c r="D331" s="396"/>
      <c r="E331" s="396"/>
      <c r="F331" s="396"/>
      <c r="G331" s="396"/>
      <c r="H331" s="396"/>
      <c r="I331" s="396"/>
      <c r="J331" s="396"/>
      <c r="K331" s="396"/>
      <c r="L331" s="396"/>
      <c r="M331" s="396"/>
      <c r="N331" s="396"/>
      <c r="O331" s="396"/>
      <c r="P331" s="396"/>
    </row>
  </sheetData>
  <sheetProtection formatCells="0"/>
  <mergeCells count="1">
    <mergeCell ref="A1:B1"/>
  </mergeCells>
  <conditionalFormatting sqref="E10:E13 E15:E16">
    <cfRule type="iconSet" priority="2">
      <iconSet iconSet="3Arrows" showValue="0">
        <cfvo type="percent" val="0"/>
        <cfvo type="num" val="0"/>
        <cfvo type="num" val="0" gte="0"/>
      </iconSet>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39617" r:id="rId4" name="Check Box 1">
              <controlPr defaultSize="0" autoFill="0" autoLine="0" autoPict="0">
                <anchor moveWithCells="1">
                  <from>
                    <xdr:col>0</xdr:col>
                    <xdr:colOff>590550</xdr:colOff>
                    <xdr:row>17</xdr:row>
                    <xdr:rowOff>0</xdr:rowOff>
                  </from>
                  <to>
                    <xdr:col>2</xdr:col>
                    <xdr:colOff>171450</xdr:colOff>
                    <xdr:row>17</xdr:row>
                    <xdr:rowOff>304800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1" id="{9958E542-28A7-4AB2-B58F-CA14691402D1}">
            <x14:iconSet iconSet="3Triangles" showValue="0">
              <x14:cfvo type="percent">
                <xm:f>0</xm:f>
              </x14:cfvo>
              <x14:cfvo type="num">
                <xm:f>0</xm:f>
              </x14:cfvo>
              <x14:cfvo type="num" gte="0">
                <xm:f>0</xm:f>
              </x14:cfvo>
            </x14:iconSet>
          </x14:cfRule>
          <xm:sqref>E12</xm:sqref>
        </x14:conditionalFormatting>
      </x14:conditionalFormattings>
    </ext>
    <ext xmlns:x14="http://schemas.microsoft.com/office/spreadsheetml/2009/9/main" uri="{05C60535-1F16-4fd2-B633-F4F36F0B64E0}">
      <x14:sparklineGroups xmlns:xm="http://schemas.microsoft.com/office/excel/2006/main">
        <x14:sparklineGroup displayEmptyCellsAs="gap" markers="1" high="1">
          <x14:colorSeries theme="8"/>
          <x14:colorNegative theme="9"/>
          <x14:colorAxis rgb="FF000000"/>
          <x14:colorMarkers theme="8" tint="-0.249977111117893"/>
          <x14:colorFirst theme="8" tint="-0.249977111117893"/>
          <x14:colorLast theme="8" tint="-0.249977111117893"/>
          <x14:colorHigh rgb="FFFF0000"/>
          <x14:colorLow theme="8" tint="-0.249977111117893"/>
          <x14:sparklines>
            <x14:sparkline>
              <xm:f>Outpatient!G40:G51</xm:f>
              <xm:sqref>I15</xm:sqref>
            </x14:sparkline>
          </x14:sparklines>
        </x14:sparklineGroup>
        <x14:sparklineGroup displayEmptyCellsAs="gap" markers="1" high="1">
          <x14:colorSeries theme="8"/>
          <x14:colorNegative theme="9"/>
          <x14:colorAxis rgb="FF000000"/>
          <x14:colorMarkers theme="8" tint="-0.249977111117893"/>
          <x14:colorFirst theme="8" tint="-0.249977111117893"/>
          <x14:colorLast theme="8" tint="-0.249977111117893"/>
          <x14:colorHigh theme="5"/>
          <x14:colorLow theme="8" tint="-0.249977111117893"/>
          <x14:sparklines>
            <x14:sparkline>
              <xm:f>Outpatient!D44:D51</xm:f>
              <xm:sqref>I11</xm:sqref>
            </x14:sparkline>
          </x14:sparklines>
        </x14:sparklineGroup>
        <x14:sparklineGroup displayEmptyCellsAs="gap" markers="1" high="1">
          <x14:colorSeries theme="8"/>
          <x14:colorNegative theme="9"/>
          <x14:colorAxis rgb="FF000000"/>
          <x14:colorMarkers theme="8" tint="-0.249977111117893"/>
          <x14:colorFirst theme="8" tint="-0.249977111117893"/>
          <x14:colorLast theme="8" tint="-0.249977111117893"/>
          <x14:colorHigh theme="5"/>
          <x14:colorLow theme="8" tint="-0.249977111117893"/>
          <x14:sparklines>
            <x14:sparkline>
              <xm:f>Outpatient!C44:C51</xm:f>
              <xm:sqref>I10</xm:sqref>
            </x14:sparkline>
          </x14:sparklines>
        </x14:sparklineGroup>
        <x14:sparklineGroup displayEmptyCellsAs="gap" markers="1" high="1">
          <x14:colorSeries theme="8"/>
          <x14:colorNegative theme="9"/>
          <x14:colorAxis rgb="FF000000"/>
          <x14:colorMarkers theme="8" tint="-0.249977111117893"/>
          <x14:colorFirst theme="8" tint="-0.249977111117893"/>
          <x14:colorLast theme="8" tint="-0.249977111117893"/>
          <x14:colorHigh rgb="FFFF0000"/>
          <x14:colorLow theme="8" tint="-0.249977111117893"/>
          <x14:sparklines>
            <x14:sparkline>
              <xm:f>Outpatient!E44:E51</xm:f>
              <xm:sqref>I12</xm:sqref>
            </x14:sparkline>
          </x14:sparklines>
        </x14:sparklineGroup>
        <x14:sparklineGroup displayEmptyCellsAs="gap" markers="1" high="1">
          <x14:colorSeries theme="8"/>
          <x14:colorNegative theme="9"/>
          <x14:colorAxis rgb="FF000000"/>
          <x14:colorMarkers theme="8" tint="-0.249977111117893"/>
          <x14:colorFirst theme="8" tint="-0.249977111117893"/>
          <x14:colorLast theme="8" tint="-0.249977111117893"/>
          <x14:colorHigh rgb="FFFF0000"/>
          <x14:colorLow theme="8" tint="-0.249977111117893"/>
          <x14:sparklines>
            <x14:sparkline>
              <xm:f>Outpatient!H40:H51</xm:f>
              <xm:sqref>I16</xm:sqref>
            </x14:sparkline>
          </x14:sparklines>
        </x14:sparklineGroup>
      </x14:sparklineGroup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AS520"/>
  <sheetViews>
    <sheetView showGridLines="0" showRowColHeaders="0" zoomScaleNormal="100" workbookViewId="0">
      <selection sqref="A1:B1"/>
    </sheetView>
  </sheetViews>
  <sheetFormatPr defaultRowHeight="15" x14ac:dyDescent="0.25"/>
  <cols>
    <col min="1" max="1" width="9.140625" style="1576"/>
    <col min="2" max="2" width="17.7109375" style="1576" customWidth="1"/>
    <col min="3" max="3" width="11.7109375" style="1576" customWidth="1"/>
    <col min="4" max="4" width="18.7109375" style="1576" customWidth="1"/>
    <col min="5" max="5" width="15.85546875" style="1576" customWidth="1"/>
    <col min="6" max="6" width="16.28515625" style="1576" customWidth="1"/>
    <col min="7" max="7" width="23.140625" style="1576" customWidth="1"/>
    <col min="8" max="8" width="13.140625" style="1576" customWidth="1"/>
    <col min="9" max="9" width="30.7109375" style="1576" customWidth="1"/>
    <col min="10" max="10" width="13.140625" style="1576" customWidth="1"/>
    <col min="11" max="11" width="26.28515625" style="1576" bestFit="1" customWidth="1"/>
    <col min="12" max="12" width="16.28515625" style="1576" bestFit="1" customWidth="1"/>
    <col min="13" max="13" width="22.5703125" style="1576" bestFit="1" customWidth="1"/>
    <col min="14" max="14" width="21.28515625" style="1576" bestFit="1" customWidth="1"/>
    <col min="15" max="15" width="22.28515625" style="1576" bestFit="1" customWidth="1"/>
    <col min="16" max="16384" width="9.140625" style="1576"/>
  </cols>
  <sheetData>
    <row r="1" spans="1:15" x14ac:dyDescent="0.25">
      <c r="A1" s="1898"/>
      <c r="B1" s="1898"/>
      <c r="D1" s="231"/>
      <c r="E1" s="231"/>
    </row>
    <row r="2" spans="1:15" x14ac:dyDescent="0.25">
      <c r="D2" s="231"/>
      <c r="E2" s="231"/>
    </row>
    <row r="3" spans="1:15" x14ac:dyDescent="0.25">
      <c r="D3" s="231"/>
      <c r="E3" s="231"/>
    </row>
    <row r="4" spans="1:15" ht="31.5" x14ac:dyDescent="0.5">
      <c r="A4" s="233"/>
      <c r="B4" s="1224" t="s">
        <v>741</v>
      </c>
      <c r="C4" s="658"/>
      <c r="D4" s="658"/>
      <c r="E4" s="658"/>
      <c r="F4" s="658"/>
      <c r="G4" s="658"/>
      <c r="H4" s="231"/>
    </row>
    <row r="5" spans="1:15" ht="23.25" customHeight="1" x14ac:dyDescent="0.25">
      <c r="A5" s="276"/>
      <c r="B5" s="627" t="s">
        <v>742</v>
      </c>
      <c r="C5" s="276"/>
      <c r="D5" s="276"/>
      <c r="E5" s="276"/>
      <c r="F5" s="276"/>
      <c r="G5" s="276"/>
      <c r="H5" s="276"/>
      <c r="I5" s="276"/>
      <c r="J5" s="276"/>
      <c r="K5" s="276"/>
      <c r="L5" s="276"/>
      <c r="M5" s="276"/>
      <c r="N5" s="276"/>
      <c r="O5" s="276"/>
    </row>
    <row r="6" spans="1:15" x14ac:dyDescent="0.25">
      <c r="A6" s="279"/>
      <c r="B6" s="723"/>
      <c r="C6" s="279"/>
      <c r="D6" s="279"/>
      <c r="E6" s="279"/>
      <c r="F6" s="1436"/>
      <c r="G6" s="276"/>
      <c r="H6" s="276"/>
      <c r="I6" s="276"/>
      <c r="J6" s="276"/>
      <c r="K6" s="276"/>
      <c r="L6" s="276"/>
      <c r="M6" s="276"/>
      <c r="N6" s="276"/>
      <c r="O6" s="276"/>
    </row>
    <row r="7" spans="1:15" x14ac:dyDescent="0.25">
      <c r="A7" s="276"/>
      <c r="B7" s="382" t="s">
        <v>238</v>
      </c>
      <c r="C7" s="382"/>
      <c r="D7" s="382"/>
      <c r="E7" s="276"/>
      <c r="F7" s="276"/>
      <c r="G7" s="276"/>
      <c r="H7" s="276"/>
      <c r="I7" s="276"/>
      <c r="J7" s="276"/>
      <c r="K7" s="276"/>
      <c r="L7" s="276"/>
      <c r="M7" s="276"/>
      <c r="N7" s="276"/>
      <c r="O7" s="276"/>
    </row>
    <row r="8" spans="1:15" x14ac:dyDescent="0.25">
      <c r="A8" s="276"/>
      <c r="B8" s="1919" t="s">
        <v>743</v>
      </c>
      <c r="C8" s="1919"/>
      <c r="D8" s="276"/>
      <c r="E8" s="276"/>
      <c r="F8" s="276"/>
      <c r="G8" s="276"/>
      <c r="H8" s="276"/>
      <c r="I8" s="276"/>
      <c r="J8" s="276"/>
      <c r="K8" s="276"/>
      <c r="L8" s="276"/>
      <c r="M8" s="276"/>
      <c r="N8" s="276"/>
      <c r="O8" s="276"/>
    </row>
    <row r="9" spans="1:15" x14ac:dyDescent="0.25">
      <c r="A9" s="276"/>
      <c r="B9" s="735"/>
      <c r="C9" s="276"/>
      <c r="D9" s="276"/>
      <c r="E9" s="276"/>
      <c r="F9" s="276"/>
      <c r="G9" s="276"/>
      <c r="H9" s="276"/>
      <c r="I9" s="276"/>
      <c r="J9" s="276"/>
      <c r="K9" s="276"/>
      <c r="L9" s="276"/>
      <c r="M9" s="276"/>
      <c r="N9" s="276"/>
      <c r="O9" s="276"/>
    </row>
    <row r="10" spans="1:15" ht="24.95" customHeight="1" x14ac:dyDescent="0.25">
      <c r="A10" s="276"/>
      <c r="B10" s="797"/>
      <c r="C10" s="709"/>
      <c r="D10" s="709"/>
      <c r="E10" s="709"/>
      <c r="F10" s="709"/>
      <c r="G10" s="709"/>
      <c r="H10" s="709"/>
      <c r="I10" s="709"/>
      <c r="J10" s="709"/>
      <c r="K10" s="709"/>
      <c r="L10" s="709"/>
      <c r="M10" s="276"/>
      <c r="N10" s="276"/>
      <c r="O10" s="276"/>
    </row>
    <row r="11" spans="1:15" ht="24.95" customHeight="1" x14ac:dyDescent="0.25">
      <c r="A11" s="709"/>
      <c r="B11" s="782"/>
      <c r="C11" s="1625" t="s">
        <v>595</v>
      </c>
      <c r="D11" s="708" t="s">
        <v>656</v>
      </c>
      <c r="E11" s="1625"/>
      <c r="F11" s="1522" t="s">
        <v>506</v>
      </c>
      <c r="G11" s="1522" t="s">
        <v>507</v>
      </c>
      <c r="H11" s="1474" t="s">
        <v>556</v>
      </c>
      <c r="I11" s="1522" t="s">
        <v>503</v>
      </c>
      <c r="J11" s="1636" t="s">
        <v>863</v>
      </c>
      <c r="K11" s="709"/>
      <c r="L11" s="709"/>
      <c r="M11" s="276"/>
      <c r="N11" s="276"/>
      <c r="O11" s="276"/>
    </row>
    <row r="12" spans="1:15" ht="24.95" customHeight="1" x14ac:dyDescent="0.25">
      <c r="A12" s="709"/>
      <c r="B12" s="1477" t="s">
        <v>657</v>
      </c>
      <c r="C12" s="1642">
        <f>C51</f>
        <v>130654</v>
      </c>
      <c r="D12" s="1621">
        <f>C51/C50-1</f>
        <v>3.8395205963933421E-2</v>
      </c>
      <c r="E12" s="715">
        <f>D12</f>
        <v>3.8395205963933421E-2</v>
      </c>
      <c r="F12" s="1642">
        <f>MIN(C44:C51)</f>
        <v>109636</v>
      </c>
      <c r="G12" s="1642">
        <f>MAX(C44:C51)</f>
        <v>130654</v>
      </c>
      <c r="H12" s="1650">
        <f>C44</f>
        <v>123983</v>
      </c>
      <c r="I12" s="1615"/>
      <c r="J12" s="1748">
        <f>C50</f>
        <v>125823</v>
      </c>
      <c r="K12" s="709"/>
      <c r="L12" s="709"/>
      <c r="M12" s="276"/>
      <c r="N12" s="276"/>
    </row>
    <row r="13" spans="1:15" ht="24.95" customHeight="1" x14ac:dyDescent="0.25">
      <c r="A13" s="709"/>
      <c r="B13" s="1477" t="s">
        <v>512</v>
      </c>
      <c r="C13" s="1642">
        <f>D51</f>
        <v>1489</v>
      </c>
      <c r="D13" s="1621">
        <f>D51/D50-1</f>
        <v>3.04498269896194E-2</v>
      </c>
      <c r="E13" s="731">
        <f>D13</f>
        <v>3.04498269896194E-2</v>
      </c>
      <c r="F13" s="1642">
        <f>MIN(D44:D51)</f>
        <v>1012</v>
      </c>
      <c r="G13" s="1642">
        <f>MAX(D44:D51)</f>
        <v>1489</v>
      </c>
      <c r="H13" s="1650">
        <f>D44</f>
        <v>1012</v>
      </c>
      <c r="I13" s="1615"/>
      <c r="J13" s="836">
        <f>D50</f>
        <v>1445</v>
      </c>
      <c r="K13" s="709"/>
      <c r="L13" s="709"/>
      <c r="M13" s="276"/>
      <c r="N13" s="276"/>
    </row>
    <row r="14" spans="1:15" ht="24.95" customHeight="1" x14ac:dyDescent="0.25">
      <c r="A14" s="709"/>
      <c r="B14" s="1477"/>
      <c r="C14" s="1620"/>
      <c r="D14" s="1621"/>
      <c r="E14" s="731"/>
      <c r="F14" s="1620"/>
      <c r="G14" s="1620"/>
      <c r="H14" s="1637"/>
      <c r="I14" s="1615"/>
      <c r="J14" s="1508"/>
      <c r="K14" s="709"/>
      <c r="L14" s="709"/>
      <c r="M14" s="276"/>
      <c r="N14" s="276"/>
    </row>
    <row r="15" spans="1:15" ht="38.25" x14ac:dyDescent="0.25">
      <c r="A15" s="709"/>
      <c r="B15" s="1477" t="s">
        <v>865</v>
      </c>
      <c r="C15" s="1522" t="s">
        <v>595</v>
      </c>
      <c r="D15" s="708" t="s">
        <v>716</v>
      </c>
      <c r="E15" s="1624"/>
      <c r="F15" s="1624"/>
      <c r="G15" s="1624"/>
      <c r="H15" s="1626" t="s">
        <v>739</v>
      </c>
      <c r="I15" s="1624" t="s">
        <v>503</v>
      </c>
      <c r="J15" s="1626" t="s">
        <v>730</v>
      </c>
      <c r="K15" s="709"/>
      <c r="L15" s="709"/>
      <c r="M15" s="276"/>
      <c r="N15" s="276"/>
    </row>
    <row r="16" spans="1:15" ht="24.95" customHeight="1" x14ac:dyDescent="0.25">
      <c r="A16" s="709"/>
      <c r="B16" s="1477" t="s">
        <v>159</v>
      </c>
      <c r="C16" s="713">
        <f>G50</f>
        <v>2.8686999999999907E-2</v>
      </c>
      <c r="D16" s="1621">
        <f>I50</f>
        <v>1.7306307179350187</v>
      </c>
      <c r="E16" s="731">
        <f>D16</f>
        <v>1.7306307179350187</v>
      </c>
      <c r="F16" s="1621"/>
      <c r="G16" s="1621"/>
      <c r="H16" s="1638">
        <f>G39</f>
        <v>8.3003164545874641E-2</v>
      </c>
      <c r="I16" s="1615"/>
      <c r="J16" s="1509">
        <f>G50</f>
        <v>2.8686999999999907E-2</v>
      </c>
      <c r="K16" s="709"/>
      <c r="L16" s="709"/>
      <c r="M16" s="276"/>
      <c r="N16" s="276"/>
    </row>
    <row r="17" spans="1:21" ht="24.95" customHeight="1" x14ac:dyDescent="0.25">
      <c r="A17" s="709"/>
      <c r="B17" s="782"/>
      <c r="C17" s="1623"/>
      <c r="D17" s="1524"/>
      <c r="E17" s="1623"/>
      <c r="F17" s="1640"/>
      <c r="G17" s="1640"/>
      <c r="H17" s="1510"/>
      <c r="I17" s="1513"/>
      <c r="J17" s="1513"/>
      <c r="K17" s="709"/>
      <c r="L17" s="709"/>
      <c r="M17" s="276"/>
      <c r="N17" s="276"/>
    </row>
    <row r="18" spans="1:21" ht="24.95" customHeight="1" x14ac:dyDescent="0.25">
      <c r="A18" s="709"/>
      <c r="B18" s="1625"/>
      <c r="C18" s="709"/>
      <c r="D18" s="709"/>
      <c r="E18" s="709"/>
      <c r="F18" s="709"/>
      <c r="G18" s="709"/>
      <c r="H18" s="709"/>
      <c r="I18" s="709"/>
      <c r="J18" s="709"/>
      <c r="K18" s="709"/>
      <c r="L18" s="709"/>
      <c r="M18" s="276"/>
      <c r="N18" s="276"/>
    </row>
    <row r="19" spans="1:21" ht="24.95" customHeight="1" x14ac:dyDescent="0.25">
      <c r="A19" s="709"/>
      <c r="B19" s="276"/>
      <c r="C19" s="276"/>
      <c r="D19" s="276"/>
      <c r="E19" s="1312"/>
      <c r="F19" s="276"/>
      <c r="G19" s="276"/>
      <c r="H19" s="276"/>
      <c r="I19" s="276"/>
      <c r="J19" s="276"/>
      <c r="K19" s="709"/>
      <c r="L19" s="709"/>
      <c r="M19" s="276"/>
      <c r="N19" s="276"/>
      <c r="O19" s="276"/>
    </row>
    <row r="20" spans="1:21" ht="24.95" customHeight="1" x14ac:dyDescent="0.25">
      <c r="A20" s="709"/>
      <c r="B20" s="1525"/>
      <c r="C20" s="1327" t="str">
        <f>IF($A$21=TRUE,C37,"")</f>
        <v xml:space="preserve">Volume of activity </v>
      </c>
      <c r="D20" s="1327" t="str">
        <f>IF($A$21=TRUE,D37,"")</f>
        <v>Average cost</v>
      </c>
      <c r="E20" s="1645"/>
      <c r="F20" s="1643" t="str">
        <f t="shared" ref="F20" si="0">IF($A$21=TRUE,G37,"")</f>
        <v>Output growth</v>
      </c>
      <c r="G20" s="1646"/>
      <c r="H20" s="627"/>
      <c r="I20" s="627"/>
      <c r="J20" s="627"/>
      <c r="K20" s="276"/>
      <c r="L20" s="709"/>
      <c r="M20" s="276"/>
      <c r="N20" s="276"/>
      <c r="O20" s="276"/>
    </row>
    <row r="21" spans="1:21" ht="24.95" customHeight="1" x14ac:dyDescent="0.25">
      <c r="A21" s="1641" t="b">
        <v>1</v>
      </c>
      <c r="B21" s="627" t="str">
        <f t="shared" ref="B21:B33" si="1">IF($A$21=TRUE,B38,"")</f>
        <v>1998/99</v>
      </c>
      <c r="C21" s="1644" t="str">
        <f t="shared" ref="C21:D33" si="2">IF($A$21=TRUE,C38,"")</f>
        <v>N/A</v>
      </c>
      <c r="D21" s="1644" t="str">
        <f t="shared" si="2"/>
        <v>N/A</v>
      </c>
      <c r="E21" s="1645"/>
      <c r="F21" s="1645"/>
      <c r="G21" s="1473"/>
      <c r="H21" s="1470"/>
      <c r="I21" s="627"/>
      <c r="J21" s="627"/>
      <c r="K21" s="276"/>
      <c r="L21" s="276"/>
      <c r="M21" s="276"/>
      <c r="N21" s="276"/>
    </row>
    <row r="22" spans="1:21" x14ac:dyDescent="0.25">
      <c r="A22" s="383"/>
      <c r="B22" s="1649" t="str">
        <f t="shared" si="1"/>
        <v>1999/00</v>
      </c>
      <c r="C22" s="1644" t="str">
        <f t="shared" si="2"/>
        <v>N/A</v>
      </c>
      <c r="D22" s="1644" t="str">
        <f t="shared" si="2"/>
        <v>N/A</v>
      </c>
      <c r="E22" s="1643" t="str">
        <f t="shared" ref="E22:E33" si="3">IF($A$21=TRUE,F39,"")</f>
        <v>1998/99 -1999/00</v>
      </c>
      <c r="F22" s="632">
        <f t="shared" ref="F22:F33" si="4">IF($A$21=TRUE,G39,"")</f>
        <v>8.3003164545874641E-2</v>
      </c>
      <c r="G22" s="1473"/>
      <c r="H22" s="1470"/>
      <c r="I22" s="627"/>
      <c r="J22" s="627"/>
      <c r="K22" s="627" t="str">
        <f>IF(J18=TRUE,M40,"")</f>
        <v/>
      </c>
      <c r="L22" s="627" t="str">
        <f>IF(K19=TRUE,N40,"")</f>
        <v/>
      </c>
      <c r="M22" s="627" t="str">
        <f>IF(L20=TRUE,O40,"")</f>
        <v/>
      </c>
      <c r="N22" s="627" t="str">
        <f>IF(M20=TRUE,P40,"")</f>
        <v/>
      </c>
      <c r="O22" s="627" t="str">
        <f>IF(N20=TRUE,Q40,"")</f>
        <v/>
      </c>
      <c r="P22" s="627" t="str">
        <f>IF(O20=TRUE,R40,"")</f>
        <v/>
      </c>
      <c r="Q22" s="627" t="str">
        <f>IF(P20=TRUE,S40,"")</f>
        <v/>
      </c>
    </row>
    <row r="23" spans="1:21" x14ac:dyDescent="0.25">
      <c r="A23" s="276"/>
      <c r="B23" s="1649" t="str">
        <f t="shared" si="1"/>
        <v>2000/01</v>
      </c>
      <c r="C23" s="1644" t="str">
        <f t="shared" si="2"/>
        <v>N/A</v>
      </c>
      <c r="D23" s="1644" t="str">
        <f t="shared" si="2"/>
        <v>N/A</v>
      </c>
      <c r="E23" s="1643" t="str">
        <f t="shared" si="3"/>
        <v>1999/00 -2000/01</v>
      </c>
      <c r="F23" s="632">
        <f t="shared" si="4"/>
        <v>3.3154770598104566E-2</v>
      </c>
      <c r="G23" s="1473"/>
      <c r="H23" s="1470"/>
      <c r="I23" s="627"/>
      <c r="J23" s="627"/>
      <c r="K23" s="627"/>
      <c r="L23" s="627"/>
      <c r="M23" s="627"/>
      <c r="N23" s="627"/>
      <c r="O23" s="627"/>
      <c r="P23" s="627"/>
      <c r="Q23" s="627"/>
    </row>
    <row r="24" spans="1:21" x14ac:dyDescent="0.25">
      <c r="A24" s="276"/>
      <c r="B24" s="1649" t="str">
        <f t="shared" si="1"/>
        <v>2001/02</v>
      </c>
      <c r="C24" s="1644" t="str">
        <f t="shared" si="2"/>
        <v>N/A</v>
      </c>
      <c r="D24" s="1644" t="str">
        <f t="shared" si="2"/>
        <v>N/A</v>
      </c>
      <c r="E24" s="1643" t="str">
        <f t="shared" si="3"/>
        <v>2000/01 - 2001/02</v>
      </c>
      <c r="F24" s="632">
        <f t="shared" si="4"/>
        <v>0.13914319809246978</v>
      </c>
      <c r="G24" s="1648"/>
      <c r="H24" s="1470"/>
      <c r="I24" s="627"/>
      <c r="J24" s="627"/>
      <c r="K24" s="627"/>
      <c r="L24" s="627"/>
      <c r="M24" s="627"/>
      <c r="N24" s="627"/>
      <c r="O24" s="627"/>
      <c r="P24" s="627"/>
      <c r="Q24" s="627"/>
    </row>
    <row r="25" spans="1:21" x14ac:dyDescent="0.25">
      <c r="A25" s="276"/>
      <c r="B25" s="1649" t="str">
        <f t="shared" si="1"/>
        <v>2002/03</v>
      </c>
      <c r="C25" s="1518" t="str">
        <f t="shared" si="2"/>
        <v>N/A</v>
      </c>
      <c r="D25" s="1518" t="str">
        <f t="shared" si="2"/>
        <v>N/A</v>
      </c>
      <c r="E25" s="1643" t="str">
        <f t="shared" si="3"/>
        <v>2001/02 - 2002/03</v>
      </c>
      <c r="F25" s="632">
        <f t="shared" si="4"/>
        <v>-2.5430695812534876E-2</v>
      </c>
      <c r="G25" s="1648"/>
      <c r="H25" s="1470"/>
      <c r="I25" s="627"/>
      <c r="J25" s="627"/>
      <c r="K25" s="627"/>
      <c r="L25" s="627"/>
      <c r="M25" s="627"/>
      <c r="N25" s="627"/>
      <c r="O25" s="627"/>
      <c r="P25" s="627"/>
      <c r="Q25" s="627"/>
    </row>
    <row r="26" spans="1:21" x14ac:dyDescent="0.25">
      <c r="A26" s="276"/>
      <c r="B26" s="1649" t="str">
        <f t="shared" si="1"/>
        <v>2003/04</v>
      </c>
      <c r="C26" s="1518" t="str">
        <f t="shared" si="2"/>
        <v>N/A</v>
      </c>
      <c r="D26" s="1518" t="str">
        <f t="shared" si="2"/>
        <v>N/A</v>
      </c>
      <c r="E26" s="1643" t="str">
        <f t="shared" si="3"/>
        <v>2002/03 -2003/04</v>
      </c>
      <c r="F26" s="632">
        <f t="shared" si="4"/>
        <v>-3.1048601628816175E-2</v>
      </c>
      <c r="G26" s="1677"/>
      <c r="H26" s="1470"/>
      <c r="I26" s="627"/>
      <c r="J26" s="627"/>
      <c r="K26" s="627"/>
      <c r="L26" s="627"/>
      <c r="M26" s="627"/>
      <c r="N26" s="627"/>
      <c r="O26" s="627"/>
      <c r="P26" s="627"/>
      <c r="Q26" s="627"/>
    </row>
    <row r="27" spans="1:21" x14ac:dyDescent="0.25">
      <c r="A27" s="276"/>
      <c r="B27" s="1651" t="str">
        <f t="shared" si="1"/>
        <v>2004/05</v>
      </c>
      <c r="C27" s="1676">
        <f t="shared" si="2"/>
        <v>123983</v>
      </c>
      <c r="D27" s="1644">
        <f t="shared" si="2"/>
        <v>1012</v>
      </c>
      <c r="E27" s="1643" t="str">
        <f t="shared" si="3"/>
        <v>2003/04 -2004/05</v>
      </c>
      <c r="F27" s="632">
        <f t="shared" si="4"/>
        <v>0.11440118978675162</v>
      </c>
      <c r="G27" s="1677"/>
      <c r="H27" s="1470"/>
      <c r="I27" s="627"/>
      <c r="J27" s="627"/>
      <c r="K27" s="627"/>
      <c r="L27" s="627"/>
      <c r="M27" s="627"/>
      <c r="N27" s="627"/>
      <c r="O27" s="627"/>
      <c r="P27" s="627"/>
      <c r="Q27" s="627"/>
    </row>
    <row r="28" spans="1:21" x14ac:dyDescent="0.25">
      <c r="A28" s="276"/>
      <c r="B28" s="1651" t="str">
        <f t="shared" si="1"/>
        <v>2005/06</v>
      </c>
      <c r="C28" s="1676">
        <f t="shared" si="2"/>
        <v>120203</v>
      </c>
      <c r="D28" s="1644">
        <f t="shared" si="2"/>
        <v>1012</v>
      </c>
      <c r="E28" s="1643" t="str">
        <f t="shared" si="3"/>
        <v>2004/05 - 2005/06</v>
      </c>
      <c r="F28" s="632">
        <f t="shared" si="4"/>
        <v>9.4964329865828034E-2</v>
      </c>
      <c r="G28" s="1677"/>
      <c r="H28" s="1629"/>
      <c r="I28" s="593"/>
      <c r="J28" s="593"/>
      <c r="K28" s="627"/>
      <c r="L28" s="627"/>
      <c r="M28" s="627"/>
      <c r="N28" s="627"/>
      <c r="O28" s="627"/>
      <c r="P28" s="627"/>
      <c r="Q28" s="627"/>
    </row>
    <row r="29" spans="1:21" x14ac:dyDescent="0.25">
      <c r="A29" s="276"/>
      <c r="B29" s="1651" t="str">
        <f t="shared" si="1"/>
        <v>2006/07</v>
      </c>
      <c r="C29" s="1676">
        <f t="shared" si="2"/>
        <v>115560</v>
      </c>
      <c r="D29" s="1644">
        <f t="shared" si="2"/>
        <v>1012</v>
      </c>
      <c r="E29" s="1643" t="str">
        <f t="shared" si="3"/>
        <v>2005/06 - 2006/07</v>
      </c>
      <c r="F29" s="632">
        <f t="shared" si="4"/>
        <v>4.8324125846418209E-2</v>
      </c>
      <c r="G29" s="1677"/>
      <c r="H29" s="1629"/>
      <c r="I29" s="593"/>
      <c r="J29" s="593"/>
      <c r="K29" s="627"/>
      <c r="L29" s="627"/>
      <c r="M29" s="627"/>
      <c r="N29" s="627"/>
      <c r="O29" s="627"/>
      <c r="P29" s="627"/>
      <c r="Q29" s="627"/>
    </row>
    <row r="30" spans="1:21" x14ac:dyDescent="0.25">
      <c r="A30" s="593"/>
      <c r="B30" s="653" t="str">
        <f t="shared" si="1"/>
        <v>2007/08</v>
      </c>
      <c r="C30" s="1676">
        <f t="shared" si="2"/>
        <v>112475</v>
      </c>
      <c r="D30" s="1644">
        <f t="shared" si="2"/>
        <v>1364</v>
      </c>
      <c r="E30" s="1643" t="str">
        <f t="shared" si="3"/>
        <v>2006/07 - 2007/08</v>
      </c>
      <c r="F30" s="632">
        <f t="shared" si="4"/>
        <v>0.21131027801563063</v>
      </c>
      <c r="G30" s="1648"/>
      <c r="H30" s="1629"/>
      <c r="I30" s="593"/>
      <c r="J30" s="593"/>
      <c r="K30" s="593"/>
      <c r="L30" s="593"/>
      <c r="M30" s="593"/>
      <c r="N30" s="593"/>
      <c r="O30" s="593"/>
      <c r="P30" s="296"/>
      <c r="Q30" s="296"/>
      <c r="R30" s="296"/>
      <c r="S30" s="296"/>
      <c r="T30" s="296"/>
      <c r="U30" s="296"/>
    </row>
    <row r="31" spans="1:21" x14ac:dyDescent="0.25">
      <c r="A31" s="593"/>
      <c r="B31" s="653" t="str">
        <f t="shared" si="1"/>
        <v>2008/09</v>
      </c>
      <c r="C31" s="1676">
        <f t="shared" si="2"/>
        <v>109636</v>
      </c>
      <c r="D31" s="1644">
        <f t="shared" si="2"/>
        <v>1319</v>
      </c>
      <c r="E31" s="1643" t="str">
        <f t="shared" si="3"/>
        <v>2007/08 - 2008/09</v>
      </c>
      <c r="F31" s="632">
        <f t="shared" si="4"/>
        <v>-0.13181359999999998</v>
      </c>
      <c r="G31" s="1648"/>
      <c r="H31" s="1629"/>
      <c r="I31" s="593"/>
      <c r="J31" s="593"/>
      <c r="K31" s="593"/>
      <c r="L31" s="593"/>
      <c r="M31" s="593"/>
      <c r="N31" s="593"/>
      <c r="O31" s="593"/>
      <c r="P31" s="296"/>
      <c r="Q31" s="296"/>
      <c r="R31" s="296"/>
      <c r="S31" s="296"/>
      <c r="T31" s="296"/>
      <c r="U31" s="296"/>
    </row>
    <row r="32" spans="1:21" x14ac:dyDescent="0.25">
      <c r="A32" s="593"/>
      <c r="B32" s="653" t="str">
        <f t="shared" si="1"/>
        <v>2009/10</v>
      </c>
      <c r="C32" s="1676">
        <f t="shared" si="2"/>
        <v>121610</v>
      </c>
      <c r="D32" s="1644">
        <f t="shared" si="2"/>
        <v>1365</v>
      </c>
      <c r="E32" s="1643" t="str">
        <f t="shared" si="3"/>
        <v>2008/09 -2009/10</v>
      </c>
      <c r="F32" s="632">
        <f t="shared" si="4"/>
        <v>3.9028599999999969E-2</v>
      </c>
      <c r="G32" s="1648"/>
      <c r="H32" s="1629"/>
      <c r="I32" s="593"/>
      <c r="J32" s="593"/>
      <c r="K32" s="593"/>
      <c r="L32" s="593"/>
      <c r="M32" s="593"/>
      <c r="N32" s="593"/>
      <c r="O32" s="593"/>
      <c r="P32" s="296"/>
      <c r="Q32" s="296"/>
      <c r="R32" s="296"/>
      <c r="S32" s="296"/>
      <c r="T32" s="296"/>
      <c r="U32" s="296"/>
    </row>
    <row r="33" spans="1:45" x14ac:dyDescent="0.25">
      <c r="A33" s="593"/>
      <c r="B33" s="653" t="str">
        <f t="shared" si="1"/>
        <v>2010/11</v>
      </c>
      <c r="C33" s="1676">
        <f t="shared" si="2"/>
        <v>125823</v>
      </c>
      <c r="D33" s="1644">
        <f t="shared" si="2"/>
        <v>1445</v>
      </c>
      <c r="E33" s="1643" t="str">
        <f t="shared" si="3"/>
        <v>2009/10 - 2010/11</v>
      </c>
      <c r="F33" s="632">
        <f t="shared" si="4"/>
        <v>2.8686999999999907E-2</v>
      </c>
      <c r="G33" s="1648"/>
      <c r="H33" s="1629"/>
      <c r="I33" s="593"/>
      <c r="J33" s="593"/>
      <c r="K33" s="593"/>
      <c r="L33" s="593"/>
      <c r="M33" s="593"/>
      <c r="N33" s="593"/>
      <c r="O33" s="593"/>
      <c r="P33" s="296"/>
      <c r="Q33" s="296"/>
      <c r="R33" s="296"/>
      <c r="S33" s="296"/>
      <c r="T33" s="296"/>
      <c r="U33" s="296"/>
    </row>
    <row r="34" spans="1:45" x14ac:dyDescent="0.25">
      <c r="A34" s="593"/>
      <c r="B34" s="653"/>
      <c r="C34" s="1676"/>
      <c r="D34" s="1644"/>
      <c r="E34" s="1643"/>
      <c r="F34" s="1678"/>
      <c r="G34" s="1648"/>
      <c r="H34" s="1630"/>
      <c r="I34" s="1631"/>
      <c r="J34" s="1632"/>
      <c r="K34" s="593"/>
      <c r="L34" s="593"/>
      <c r="M34" s="593"/>
      <c r="N34" s="593"/>
      <c r="O34" s="593"/>
      <c r="P34" s="296"/>
      <c r="Q34" s="296"/>
      <c r="R34" s="296"/>
      <c r="S34" s="296"/>
      <c r="T34" s="296"/>
      <c r="U34" s="296"/>
    </row>
    <row r="35" spans="1:45" x14ac:dyDescent="0.25">
      <c r="A35" s="593"/>
      <c r="B35" s="1659"/>
      <c r="C35" s="1660"/>
      <c r="D35" s="1661"/>
      <c r="E35" s="1662"/>
      <c r="F35" s="1673"/>
      <c r="G35" s="1674"/>
      <c r="H35" s="1675"/>
      <c r="I35" s="1659"/>
      <c r="J35" s="1658"/>
      <c r="K35" s="593"/>
      <c r="L35" s="593"/>
      <c r="M35" s="593"/>
      <c r="N35" s="593"/>
      <c r="O35" s="593"/>
      <c r="P35" s="296"/>
      <c r="Q35" s="296"/>
      <c r="R35" s="296"/>
      <c r="S35" s="296"/>
      <c r="T35" s="296"/>
      <c r="U35" s="296"/>
    </row>
    <row r="36" spans="1:45" x14ac:dyDescent="0.25">
      <c r="A36" s="383"/>
      <c r="B36" s="585"/>
      <c r="C36" s="648"/>
      <c r="D36" s="743"/>
      <c r="E36" s="1355"/>
      <c r="F36" s="1355"/>
      <c r="G36" s="1355"/>
      <c r="H36" s="585"/>
      <c r="I36" s="585"/>
      <c r="J36" s="567"/>
      <c r="K36" s="383"/>
      <c r="L36" s="383"/>
      <c r="M36" s="383"/>
      <c r="N36" s="383"/>
      <c r="O36" s="383"/>
      <c r="P36" s="383"/>
      <c r="Q36" s="259"/>
      <c r="R36" s="259"/>
      <c r="S36" s="259"/>
      <c r="T36" s="259"/>
      <c r="U36" s="259"/>
      <c r="V36" s="259"/>
      <c r="W36" s="259"/>
      <c r="X36" s="259"/>
      <c r="Y36" s="259"/>
      <c r="Z36" s="259"/>
      <c r="AA36" s="259"/>
      <c r="AB36" s="259"/>
      <c r="AC36" s="259"/>
      <c r="AD36" s="259"/>
      <c r="AE36" s="259"/>
      <c r="AF36" s="259"/>
      <c r="AG36" s="259"/>
      <c r="AH36" s="259"/>
      <c r="AI36" s="259"/>
      <c r="AJ36" s="259"/>
      <c r="AK36" s="259"/>
      <c r="AL36" s="259"/>
      <c r="AM36" s="259"/>
      <c r="AN36" s="259"/>
      <c r="AO36" s="259"/>
      <c r="AP36" s="259"/>
      <c r="AQ36" s="259"/>
      <c r="AR36" s="259"/>
      <c r="AS36" s="259"/>
    </row>
    <row r="37" spans="1:45" x14ac:dyDescent="0.25">
      <c r="A37" s="567"/>
      <c r="B37" s="1324"/>
      <c r="C37" s="1324" t="s">
        <v>634</v>
      </c>
      <c r="D37" s="1324" t="s">
        <v>512</v>
      </c>
      <c r="E37" s="1324" t="s">
        <v>735</v>
      </c>
      <c r="F37" s="1324"/>
      <c r="G37" s="1355" t="s">
        <v>159</v>
      </c>
      <c r="H37" s="1355"/>
      <c r="I37" s="585"/>
      <c r="J37" s="585"/>
      <c r="K37" s="567"/>
      <c r="L37" s="567"/>
      <c r="M37" s="567"/>
      <c r="N37" s="567"/>
      <c r="O37" s="567"/>
      <c r="P37" s="396"/>
      <c r="Q37" s="259"/>
      <c r="R37" s="259"/>
      <c r="S37" s="259"/>
      <c r="T37" s="259"/>
      <c r="U37" s="259"/>
      <c r="V37" s="259"/>
      <c r="W37" s="259"/>
      <c r="X37" s="259"/>
      <c r="Y37" s="259"/>
      <c r="Z37" s="259"/>
      <c r="AA37" s="259"/>
      <c r="AB37" s="259"/>
      <c r="AC37" s="259"/>
      <c r="AD37" s="259"/>
      <c r="AE37" s="259"/>
      <c r="AF37" s="259"/>
      <c r="AG37" s="259"/>
      <c r="AH37" s="259"/>
      <c r="AI37" s="259"/>
      <c r="AJ37" s="259"/>
      <c r="AK37" s="259"/>
      <c r="AL37" s="259"/>
      <c r="AM37" s="259"/>
      <c r="AN37" s="259"/>
      <c r="AO37" s="259"/>
      <c r="AP37" s="259"/>
      <c r="AQ37" s="259"/>
      <c r="AR37" s="259"/>
      <c r="AS37" s="259"/>
    </row>
    <row r="38" spans="1:45" x14ac:dyDescent="0.25">
      <c r="A38" s="567"/>
      <c r="B38" s="809" t="s">
        <v>68</v>
      </c>
      <c r="C38" s="809" t="s">
        <v>464</v>
      </c>
      <c r="D38" s="809" t="s">
        <v>464</v>
      </c>
      <c r="E38" s="809" t="s">
        <v>464</v>
      </c>
      <c r="F38" s="809"/>
      <c r="G38" s="1324"/>
      <c r="H38" s="809"/>
      <c r="I38" s="809"/>
      <c r="J38" s="1324"/>
      <c r="K38" s="567"/>
      <c r="L38" s="567"/>
      <c r="M38" s="567"/>
      <c r="N38" s="567"/>
      <c r="O38" s="567"/>
      <c r="P38" s="396"/>
      <c r="Q38" s="396"/>
      <c r="R38" s="396"/>
      <c r="S38" s="259"/>
      <c r="T38" s="259"/>
      <c r="U38" s="259"/>
      <c r="V38" s="259"/>
      <c r="W38" s="259"/>
      <c r="X38" s="259"/>
      <c r="Y38" s="259"/>
      <c r="Z38" s="259"/>
      <c r="AA38" s="259"/>
      <c r="AB38" s="259"/>
      <c r="AC38" s="259"/>
      <c r="AD38" s="259"/>
      <c r="AE38" s="259"/>
      <c r="AF38" s="259"/>
      <c r="AG38" s="259"/>
      <c r="AH38" s="259"/>
      <c r="AI38" s="259"/>
      <c r="AJ38" s="259"/>
      <c r="AK38" s="259"/>
      <c r="AL38" s="259"/>
      <c r="AM38" s="259"/>
      <c r="AN38" s="259"/>
      <c r="AO38" s="259"/>
      <c r="AP38" s="259"/>
      <c r="AQ38" s="259"/>
      <c r="AR38" s="259"/>
      <c r="AS38" s="259"/>
    </row>
    <row r="39" spans="1:45" x14ac:dyDescent="0.25">
      <c r="A39" s="567"/>
      <c r="B39" s="809" t="s">
        <v>69</v>
      </c>
      <c r="C39" s="809" t="s">
        <v>464</v>
      </c>
      <c r="D39" s="809" t="s">
        <v>464</v>
      </c>
      <c r="E39" s="809" t="s">
        <v>464</v>
      </c>
      <c r="F39" s="809" t="s">
        <v>719</v>
      </c>
      <c r="G39" s="809">
        <v>8.3003164545874641E-2</v>
      </c>
      <c r="H39" s="809">
        <v>0.34405834405834401</v>
      </c>
      <c r="I39" s="809">
        <f>G39+1</f>
        <v>1.0830031645458746</v>
      </c>
      <c r="J39" s="809">
        <f>H39+1</f>
        <v>1.344058344058344</v>
      </c>
      <c r="K39" s="1325"/>
      <c r="L39" s="567"/>
      <c r="M39" s="567"/>
      <c r="N39" s="567"/>
      <c r="O39" s="567"/>
      <c r="P39" s="567"/>
      <c r="Q39" s="396"/>
      <c r="R39" s="396"/>
      <c r="S39" s="396"/>
      <c r="T39" s="259"/>
      <c r="U39" s="259"/>
      <c r="V39" s="259"/>
      <c r="W39" s="259"/>
      <c r="X39" s="259"/>
      <c r="Y39" s="259"/>
      <c r="Z39" s="259"/>
      <c r="AA39" s="259"/>
      <c r="AB39" s="259"/>
      <c r="AC39" s="259"/>
      <c r="AD39" s="259"/>
      <c r="AE39" s="259"/>
      <c r="AF39" s="259"/>
      <c r="AG39" s="259"/>
      <c r="AH39" s="259"/>
      <c r="AI39" s="259"/>
      <c r="AJ39" s="259"/>
      <c r="AK39" s="259"/>
      <c r="AL39" s="259"/>
      <c r="AM39" s="259"/>
      <c r="AN39" s="259"/>
      <c r="AO39" s="259"/>
      <c r="AP39" s="259"/>
      <c r="AQ39" s="259"/>
      <c r="AR39" s="259"/>
      <c r="AS39" s="259"/>
    </row>
    <row r="40" spans="1:45" x14ac:dyDescent="0.25">
      <c r="A40" s="567"/>
      <c r="B40" s="809" t="s">
        <v>70</v>
      </c>
      <c r="C40" s="809" t="s">
        <v>464</v>
      </c>
      <c r="D40" s="809" t="s">
        <v>464</v>
      </c>
      <c r="E40" s="809" t="s">
        <v>464</v>
      </c>
      <c r="F40" s="809" t="s">
        <v>598</v>
      </c>
      <c r="G40" s="809">
        <v>3.3154770598104566E-2</v>
      </c>
      <c r="H40" s="809">
        <v>4.0935368387547966E-2</v>
      </c>
      <c r="I40" s="809">
        <f>I39*(G40+1)</f>
        <v>1.1189098860234143</v>
      </c>
      <c r="J40" s="809">
        <f>J39*(H40+1)</f>
        <v>1.3990778675067299</v>
      </c>
      <c r="K40" s="809"/>
      <c r="L40" s="1325"/>
      <c r="M40" s="1325"/>
      <c r="N40" s="1325"/>
      <c r="O40" s="1325"/>
      <c r="P40" s="1325"/>
      <c r="Q40" s="1325"/>
      <c r="R40" s="1325"/>
      <c r="S40" s="1325"/>
      <c r="T40" s="547"/>
      <c r="U40" s="259"/>
      <c r="V40" s="259"/>
      <c r="W40" s="259"/>
      <c r="X40" s="259"/>
      <c r="Y40" s="259"/>
      <c r="Z40" s="259"/>
      <c r="AA40" s="259"/>
      <c r="AB40" s="259"/>
      <c r="AC40" s="259"/>
      <c r="AD40" s="259"/>
      <c r="AE40" s="259"/>
      <c r="AF40" s="259"/>
      <c r="AG40" s="259"/>
      <c r="AH40" s="259"/>
      <c r="AI40" s="259"/>
      <c r="AJ40" s="259"/>
      <c r="AK40" s="259"/>
      <c r="AL40" s="259"/>
      <c r="AM40" s="259"/>
      <c r="AN40" s="259"/>
      <c r="AO40" s="259"/>
      <c r="AP40" s="259"/>
      <c r="AQ40" s="259"/>
      <c r="AR40" s="259"/>
      <c r="AS40" s="259"/>
    </row>
    <row r="41" spans="1:45" x14ac:dyDescent="0.25">
      <c r="A41" s="567"/>
      <c r="B41" s="567" t="s">
        <v>71</v>
      </c>
      <c r="C41" s="809" t="s">
        <v>464</v>
      </c>
      <c r="D41" s="809" t="s">
        <v>464</v>
      </c>
      <c r="E41" s="809" t="s">
        <v>464</v>
      </c>
      <c r="F41" s="809" t="s">
        <v>720</v>
      </c>
      <c r="G41" s="809">
        <v>0.13914319809246978</v>
      </c>
      <c r="H41" s="809">
        <v>3.2835420218831679E-2</v>
      </c>
      <c r="I41" s="809">
        <f t="shared" ref="I41:J51" si="5">I40*(G41+1)</f>
        <v>1.274598585941993</v>
      </c>
      <c r="J41" s="809">
        <f t="shared" si="5"/>
        <v>1.4450171772051803</v>
      </c>
      <c r="K41" s="1526"/>
      <c r="L41" s="809"/>
      <c r="M41" s="809"/>
      <c r="N41" s="809"/>
      <c r="O41" s="809"/>
      <c r="P41" s="809"/>
      <c r="Q41" s="809"/>
      <c r="R41" s="547"/>
      <c r="S41" s="547"/>
      <c r="T41" s="547"/>
      <c r="U41" s="259"/>
      <c r="V41" s="259"/>
      <c r="W41" s="259"/>
      <c r="X41" s="259"/>
      <c r="Y41" s="259"/>
      <c r="Z41" s="259"/>
      <c r="AA41" s="259"/>
      <c r="AB41" s="259"/>
      <c r="AC41" s="259"/>
      <c r="AD41" s="259"/>
      <c r="AE41" s="259"/>
      <c r="AF41" s="259"/>
      <c r="AG41" s="259"/>
      <c r="AH41" s="259"/>
      <c r="AI41" s="259"/>
      <c r="AJ41" s="259"/>
      <c r="AK41" s="259"/>
      <c r="AL41" s="259"/>
      <c r="AM41" s="259"/>
      <c r="AN41" s="259"/>
      <c r="AO41" s="259"/>
      <c r="AP41" s="259"/>
      <c r="AQ41" s="259"/>
      <c r="AR41" s="259"/>
      <c r="AS41" s="259"/>
    </row>
    <row r="42" spans="1:45" x14ac:dyDescent="0.25">
      <c r="A42" s="567"/>
      <c r="B42" s="809" t="s">
        <v>72</v>
      </c>
      <c r="C42" s="809" t="s">
        <v>464</v>
      </c>
      <c r="D42" s="809" t="s">
        <v>464</v>
      </c>
      <c r="E42" s="809" t="s">
        <v>464</v>
      </c>
      <c r="F42" s="809" t="s">
        <v>721</v>
      </c>
      <c r="G42" s="809">
        <v>-2.5430695812534876E-2</v>
      </c>
      <c r="H42" s="809">
        <v>5.1046557468587217E-2</v>
      </c>
      <c r="I42" s="809">
        <f t="shared" si="5"/>
        <v>1.2421846570198152</v>
      </c>
      <c r="J42" s="809">
        <f t="shared" si="5"/>
        <v>1.5187803295844802</v>
      </c>
      <c r="K42" s="1526"/>
      <c r="L42" s="809"/>
      <c r="M42" s="809"/>
      <c r="N42" s="809"/>
      <c r="O42" s="809"/>
      <c r="P42" s="809"/>
      <c r="Q42" s="809"/>
      <c r="R42" s="547"/>
      <c r="S42" s="547"/>
      <c r="T42" s="547"/>
      <c r="U42" s="259"/>
      <c r="V42" s="259"/>
      <c r="W42" s="259"/>
      <c r="X42" s="259"/>
      <c r="Y42" s="259"/>
      <c r="Z42" s="259"/>
      <c r="AA42" s="259"/>
      <c r="AB42" s="259"/>
      <c r="AC42" s="259"/>
      <c r="AD42" s="259"/>
      <c r="AE42" s="259"/>
      <c r="AF42" s="259"/>
      <c r="AG42" s="259"/>
      <c r="AH42" s="259"/>
      <c r="AI42" s="259"/>
      <c r="AJ42" s="259"/>
      <c r="AK42" s="259"/>
      <c r="AL42" s="259"/>
      <c r="AM42" s="259"/>
      <c r="AN42" s="259"/>
      <c r="AO42" s="259"/>
      <c r="AP42" s="259"/>
      <c r="AQ42" s="259"/>
      <c r="AR42" s="259"/>
      <c r="AS42" s="259"/>
    </row>
    <row r="43" spans="1:45" x14ac:dyDescent="0.25">
      <c r="A43" s="567"/>
      <c r="B43" s="809" t="s">
        <v>73</v>
      </c>
      <c r="C43" s="809" t="s">
        <v>464</v>
      </c>
      <c r="D43" s="809" t="s">
        <v>464</v>
      </c>
      <c r="E43" s="809" t="s">
        <v>464</v>
      </c>
      <c r="F43" s="809" t="s">
        <v>601</v>
      </c>
      <c r="G43" s="809">
        <v>-3.1048601628816175E-2</v>
      </c>
      <c r="H43" s="809">
        <v>5.2455408262192416E-2</v>
      </c>
      <c r="I43" s="809">
        <f t="shared" si="5"/>
        <v>1.2036165604545792</v>
      </c>
      <c r="J43" s="809">
        <f t="shared" si="5"/>
        <v>1.5984485718334212</v>
      </c>
      <c r="K43" s="567"/>
      <c r="L43" s="809"/>
      <c r="M43" s="809"/>
      <c r="N43" s="809"/>
      <c r="O43" s="809"/>
      <c r="P43" s="809"/>
      <c r="Q43" s="809"/>
      <c r="R43" s="547"/>
      <c r="S43" s="547"/>
      <c r="T43" s="547"/>
      <c r="U43" s="259"/>
      <c r="V43" s="259"/>
      <c r="W43" s="259"/>
      <c r="X43" s="259"/>
      <c r="Y43" s="259"/>
      <c r="Z43" s="259"/>
      <c r="AA43" s="259"/>
      <c r="AB43" s="259"/>
      <c r="AC43" s="259"/>
      <c r="AD43" s="259"/>
      <c r="AE43" s="259"/>
      <c r="AF43" s="259"/>
      <c r="AG43" s="259"/>
      <c r="AH43" s="259"/>
      <c r="AI43" s="259"/>
      <c r="AJ43" s="259"/>
      <c r="AK43" s="259"/>
      <c r="AL43" s="259"/>
      <c r="AM43" s="259"/>
      <c r="AN43" s="259"/>
      <c r="AO43" s="259"/>
      <c r="AP43" s="259"/>
      <c r="AQ43" s="259"/>
      <c r="AR43" s="259"/>
      <c r="AS43" s="259"/>
    </row>
    <row r="44" spans="1:45" ht="23.25" customHeight="1" x14ac:dyDescent="0.25">
      <c r="A44" s="567"/>
      <c r="B44" s="1324" t="s">
        <v>74</v>
      </c>
      <c r="C44" s="809">
        <f>IF($B$8="Electives",C87,IF($B$8="Non-Electives",D87,E87))</f>
        <v>123983</v>
      </c>
      <c r="D44" s="809">
        <f>IF($B$8="Electives",G87,IF($B$8="Non-Electives",H87,I87))</f>
        <v>1012</v>
      </c>
      <c r="E44" s="809">
        <v>7.4</v>
      </c>
      <c r="F44" s="809" t="s">
        <v>606</v>
      </c>
      <c r="G44" s="809">
        <v>0.11440118978675162</v>
      </c>
      <c r="H44" s="809">
        <v>0.10142546919528872</v>
      </c>
      <c r="I44" s="809">
        <f t="shared" si="5"/>
        <v>1.3413117270176207</v>
      </c>
      <c r="J44" s="809">
        <f t="shared" si="5"/>
        <v>1.7605719682161651</v>
      </c>
      <c r="K44" s="567"/>
      <c r="L44" s="567"/>
      <c r="M44" s="567"/>
      <c r="N44" s="567"/>
      <c r="O44" s="567"/>
      <c r="P44" s="567"/>
      <c r="Q44" s="567"/>
      <c r="R44" s="396"/>
      <c r="S44" s="396"/>
      <c r="T44" s="396"/>
      <c r="U44" s="259"/>
      <c r="V44" s="259"/>
      <c r="W44" s="259"/>
      <c r="X44" s="259"/>
      <c r="Y44" s="259"/>
      <c r="Z44" s="259"/>
      <c r="AA44" s="259"/>
      <c r="AB44" s="259"/>
      <c r="AC44" s="259"/>
      <c r="AD44" s="259"/>
      <c r="AE44" s="259"/>
      <c r="AF44" s="259"/>
      <c r="AG44" s="259"/>
      <c r="AH44" s="259"/>
      <c r="AI44" s="259"/>
      <c r="AJ44" s="259"/>
      <c r="AK44" s="259"/>
      <c r="AL44" s="259"/>
      <c r="AM44" s="259"/>
      <c r="AN44" s="259"/>
      <c r="AO44" s="259"/>
      <c r="AP44" s="259"/>
      <c r="AQ44" s="259"/>
      <c r="AR44" s="259"/>
      <c r="AS44" s="259"/>
    </row>
    <row r="45" spans="1:45" ht="23.25" customHeight="1" x14ac:dyDescent="0.25">
      <c r="A45" s="567"/>
      <c r="B45" s="1324" t="s">
        <v>75</v>
      </c>
      <c r="C45" s="809">
        <f t="shared" ref="C45:C51" si="6">IF($B$8="Electives",C88,IF($B$8="Non-Electives",D88,E88))</f>
        <v>120203</v>
      </c>
      <c r="D45" s="809">
        <f t="shared" ref="D45:D51" si="7">IF($B$8="Electives",G88,IF($B$8="Non-Electives",H88,I88))</f>
        <v>1012</v>
      </c>
      <c r="E45" s="809">
        <v>6.5</v>
      </c>
      <c r="F45" s="809" t="s">
        <v>722</v>
      </c>
      <c r="G45" s="809">
        <v>9.4964329865828034E-2</v>
      </c>
      <c r="H45" s="809">
        <v>9.8719895811427483E-2</v>
      </c>
      <c r="I45" s="809">
        <f t="shared" si="5"/>
        <v>1.4686884963150255</v>
      </c>
      <c r="J45" s="809">
        <f t="shared" si="5"/>
        <v>1.9343754494869847</v>
      </c>
      <c r="K45" s="567"/>
      <c r="L45" s="567"/>
      <c r="M45" s="567"/>
      <c r="N45" s="567"/>
      <c r="O45" s="567"/>
      <c r="P45" s="567"/>
      <c r="Q45" s="567"/>
      <c r="R45" s="396"/>
      <c r="S45" s="396"/>
      <c r="T45" s="396"/>
      <c r="U45" s="259"/>
      <c r="V45" s="259"/>
      <c r="W45" s="259"/>
      <c r="X45" s="259"/>
      <c r="Y45" s="259"/>
      <c r="Z45" s="259"/>
      <c r="AA45" s="259"/>
      <c r="AB45" s="259"/>
      <c r="AC45" s="259"/>
      <c r="AD45" s="259"/>
      <c r="AE45" s="259"/>
      <c r="AF45" s="259"/>
      <c r="AG45" s="259"/>
      <c r="AH45" s="259"/>
      <c r="AI45" s="259"/>
      <c r="AJ45" s="259"/>
      <c r="AK45" s="259"/>
      <c r="AL45" s="259"/>
      <c r="AM45" s="259"/>
      <c r="AN45" s="259"/>
      <c r="AO45" s="259"/>
      <c r="AP45" s="259"/>
      <c r="AQ45" s="259"/>
      <c r="AR45" s="259"/>
      <c r="AS45" s="259"/>
    </row>
    <row r="46" spans="1:45" x14ac:dyDescent="0.25">
      <c r="A46" s="567"/>
      <c r="B46" s="1324" t="s">
        <v>76</v>
      </c>
      <c r="C46" s="809">
        <f t="shared" si="6"/>
        <v>115560</v>
      </c>
      <c r="D46" s="809">
        <f t="shared" si="7"/>
        <v>1012</v>
      </c>
      <c r="E46" s="809">
        <v>5.9</v>
      </c>
      <c r="F46" s="809" t="s">
        <v>723</v>
      </c>
      <c r="G46" s="809">
        <v>4.8324125846418209E-2</v>
      </c>
      <c r="H46" s="809">
        <v>-6.8552823741646063E-2</v>
      </c>
      <c r="I46" s="809">
        <f t="shared" si="5"/>
        <v>1.5396615840401395</v>
      </c>
      <c r="J46" s="809">
        <f t="shared" si="5"/>
        <v>1.801768550248136</v>
      </c>
      <c r="K46" s="567"/>
      <c r="L46" s="567"/>
      <c r="M46" s="567"/>
      <c r="N46" s="567"/>
      <c r="O46" s="567"/>
      <c r="P46" s="567"/>
      <c r="Q46" s="567"/>
      <c r="R46" s="396"/>
      <c r="S46" s="396"/>
      <c r="T46" s="396"/>
      <c r="U46" s="259"/>
      <c r="V46" s="259"/>
      <c r="W46" s="259"/>
      <c r="X46" s="259"/>
      <c r="Y46" s="259"/>
      <c r="Z46" s="259"/>
      <c r="AA46" s="259"/>
      <c r="AB46" s="259"/>
      <c r="AC46" s="259"/>
      <c r="AD46" s="259"/>
      <c r="AE46" s="259"/>
      <c r="AF46" s="259"/>
      <c r="AG46" s="259"/>
      <c r="AH46" s="259"/>
      <c r="AI46" s="259"/>
      <c r="AJ46" s="259"/>
      <c r="AK46" s="259"/>
      <c r="AL46" s="259"/>
      <c r="AM46" s="259"/>
      <c r="AN46" s="259"/>
      <c r="AO46" s="259"/>
      <c r="AP46" s="259"/>
      <c r="AQ46" s="259"/>
      <c r="AR46" s="259"/>
      <c r="AS46" s="259"/>
    </row>
    <row r="47" spans="1:45" x14ac:dyDescent="0.25">
      <c r="A47" s="567"/>
      <c r="B47" s="1324" t="s">
        <v>4</v>
      </c>
      <c r="C47" s="809">
        <f t="shared" si="6"/>
        <v>112475</v>
      </c>
      <c r="D47" s="809">
        <f t="shared" si="7"/>
        <v>1364</v>
      </c>
      <c r="E47" s="809">
        <v>5.3</v>
      </c>
      <c r="F47" s="809" t="s">
        <v>724</v>
      </c>
      <c r="G47" s="809">
        <v>0.21131027801563063</v>
      </c>
      <c r="H47" s="809">
        <v>8.1592493501527752E-2</v>
      </c>
      <c r="I47" s="809">
        <f t="shared" si="5"/>
        <v>1.8650079014136476</v>
      </c>
      <c r="J47" s="809">
        <f t="shared" si="5"/>
        <v>1.9487793389755141</v>
      </c>
      <c r="K47" s="567"/>
      <c r="L47" s="567"/>
      <c r="M47" s="567"/>
      <c r="N47" s="567"/>
      <c r="O47" s="567"/>
      <c r="P47" s="567"/>
      <c r="Q47" s="567"/>
      <c r="R47" s="396"/>
      <c r="S47" s="396"/>
      <c r="T47" s="396"/>
      <c r="U47" s="259"/>
      <c r="V47" s="259"/>
      <c r="W47" s="259"/>
      <c r="X47" s="259"/>
      <c r="Y47" s="259"/>
      <c r="Z47" s="259"/>
      <c r="AA47" s="259"/>
      <c r="AB47" s="259"/>
      <c r="AC47" s="259"/>
      <c r="AD47" s="259"/>
      <c r="AE47" s="259"/>
      <c r="AF47" s="259"/>
      <c r="AG47" s="259"/>
      <c r="AH47" s="259"/>
      <c r="AI47" s="259"/>
      <c r="AJ47" s="259"/>
      <c r="AK47" s="259"/>
      <c r="AL47" s="259"/>
      <c r="AM47" s="259"/>
      <c r="AN47" s="259"/>
      <c r="AO47" s="259"/>
      <c r="AP47" s="259"/>
      <c r="AQ47" s="259"/>
      <c r="AR47" s="259"/>
      <c r="AS47" s="259"/>
    </row>
    <row r="48" spans="1:45" x14ac:dyDescent="0.25">
      <c r="A48" s="567"/>
      <c r="B48" s="1325" t="s">
        <v>5</v>
      </c>
      <c r="C48" s="809">
        <f t="shared" si="6"/>
        <v>109636</v>
      </c>
      <c r="D48" s="809">
        <f t="shared" si="7"/>
        <v>1319</v>
      </c>
      <c r="E48" s="809">
        <v>4.8</v>
      </c>
      <c r="F48" s="809" t="s">
        <v>610</v>
      </c>
      <c r="G48" s="809">
        <v>-0.13181359999999998</v>
      </c>
      <c r="H48" s="809">
        <v>7.2870800000000013E-2</v>
      </c>
      <c r="I48" s="809">
        <f t="shared" si="5"/>
        <v>1.6191744958998697</v>
      </c>
      <c r="J48" s="809">
        <f t="shared" si="5"/>
        <v>2.0907884484301311</v>
      </c>
      <c r="K48" s="567"/>
      <c r="L48" s="567"/>
      <c r="M48" s="567"/>
      <c r="N48" s="567"/>
      <c r="O48" s="567"/>
      <c r="P48" s="567"/>
      <c r="Q48" s="567"/>
      <c r="R48" s="396"/>
      <c r="S48" s="396"/>
      <c r="T48" s="396"/>
      <c r="U48" s="259"/>
      <c r="V48" s="259"/>
      <c r="W48" s="259"/>
      <c r="X48" s="259"/>
      <c r="Y48" s="259"/>
      <c r="Z48" s="259"/>
      <c r="AA48" s="259"/>
      <c r="AB48" s="259"/>
      <c r="AC48" s="259"/>
      <c r="AD48" s="259"/>
      <c r="AE48" s="259"/>
      <c r="AF48" s="259"/>
      <c r="AG48" s="259"/>
      <c r="AH48" s="259"/>
      <c r="AI48" s="259"/>
      <c r="AJ48" s="259"/>
      <c r="AK48" s="259"/>
      <c r="AL48" s="259"/>
      <c r="AM48" s="259"/>
      <c r="AN48" s="259"/>
      <c r="AO48" s="259"/>
      <c r="AP48" s="259"/>
      <c r="AQ48" s="259"/>
      <c r="AR48" s="259"/>
      <c r="AS48" s="259"/>
    </row>
    <row r="49" spans="1:45" x14ac:dyDescent="0.25">
      <c r="A49" s="949"/>
      <c r="B49" s="1325" t="s">
        <v>6</v>
      </c>
      <c r="C49" s="809">
        <f t="shared" si="6"/>
        <v>121610</v>
      </c>
      <c r="D49" s="809">
        <f t="shared" si="7"/>
        <v>1365</v>
      </c>
      <c r="E49" s="809">
        <v>5.0999999999999996</v>
      </c>
      <c r="F49" s="809" t="s">
        <v>725</v>
      </c>
      <c r="G49" s="809">
        <v>3.9028599999999969E-2</v>
      </c>
      <c r="H49" s="809">
        <v>9.7930199999999967E-2</v>
      </c>
      <c r="I49" s="809">
        <f t="shared" si="5"/>
        <v>1.6823686096305472</v>
      </c>
      <c r="J49" s="809">
        <f t="shared" si="5"/>
        <v>2.2955397793425836</v>
      </c>
      <c r="K49" s="567"/>
      <c r="L49" s="567"/>
      <c r="M49" s="567"/>
      <c r="N49" s="567"/>
      <c r="O49" s="567"/>
      <c r="P49" s="567"/>
      <c r="Q49" s="567"/>
      <c r="R49" s="396"/>
      <c r="S49" s="396"/>
      <c r="T49" s="396"/>
      <c r="U49" s="259"/>
      <c r="V49" s="259"/>
      <c r="W49" s="259"/>
      <c r="X49" s="259"/>
      <c r="Y49" s="259"/>
      <c r="Z49" s="259"/>
      <c r="AA49" s="259"/>
      <c r="AB49" s="259"/>
      <c r="AC49" s="259"/>
      <c r="AD49" s="259"/>
      <c r="AE49" s="259"/>
      <c r="AF49" s="259"/>
      <c r="AG49" s="259"/>
      <c r="AH49" s="259"/>
      <c r="AI49" s="259"/>
      <c r="AJ49" s="259"/>
      <c r="AK49" s="259"/>
      <c r="AL49" s="259"/>
      <c r="AM49" s="259"/>
      <c r="AN49" s="259"/>
      <c r="AO49" s="259"/>
      <c r="AP49" s="259"/>
      <c r="AQ49" s="259"/>
      <c r="AR49" s="259"/>
      <c r="AS49" s="259"/>
    </row>
    <row r="50" spans="1:45" x14ac:dyDescent="0.25">
      <c r="A50" s="809"/>
      <c r="B50" s="1325" t="s">
        <v>7</v>
      </c>
      <c r="C50" s="809">
        <f t="shared" si="6"/>
        <v>125823</v>
      </c>
      <c r="D50" s="809">
        <f t="shared" si="7"/>
        <v>1445</v>
      </c>
      <c r="E50" s="809">
        <v>5.3</v>
      </c>
      <c r="F50" s="809" t="s">
        <v>612</v>
      </c>
      <c r="G50" s="809">
        <v>2.8686999999999907E-2</v>
      </c>
      <c r="H50" s="809">
        <v>2.2731999999999974E-2</v>
      </c>
      <c r="I50" s="809">
        <f t="shared" si="5"/>
        <v>1.7306307179350187</v>
      </c>
      <c r="J50" s="809">
        <f t="shared" si="5"/>
        <v>2.3477219896065993</v>
      </c>
      <c r="K50" s="567"/>
      <c r="L50" s="567"/>
      <c r="M50" s="567"/>
      <c r="N50" s="567"/>
      <c r="O50" s="567"/>
      <c r="P50" s="567"/>
      <c r="Q50" s="567"/>
      <c r="R50" s="396"/>
      <c r="S50" s="396"/>
      <c r="T50" s="396"/>
      <c r="U50" s="259"/>
      <c r="V50" s="259"/>
      <c r="W50" s="259"/>
      <c r="X50" s="259"/>
      <c r="Y50" s="259"/>
      <c r="Z50" s="259"/>
      <c r="AA50" s="259"/>
      <c r="AB50" s="259"/>
      <c r="AC50" s="259"/>
      <c r="AD50" s="259"/>
      <c r="AE50" s="259"/>
      <c r="AF50" s="259"/>
      <c r="AG50" s="259"/>
      <c r="AH50" s="259"/>
      <c r="AI50" s="259"/>
      <c r="AJ50" s="259"/>
      <c r="AK50" s="259"/>
      <c r="AL50" s="259"/>
      <c r="AM50" s="259"/>
      <c r="AN50" s="259"/>
      <c r="AO50" s="259"/>
      <c r="AP50" s="259"/>
      <c r="AQ50" s="259"/>
      <c r="AR50" s="259"/>
      <c r="AS50" s="259"/>
    </row>
    <row r="51" spans="1:45" x14ac:dyDescent="0.25">
      <c r="A51" s="809"/>
      <c r="B51" s="1325" t="s">
        <v>489</v>
      </c>
      <c r="C51" s="809">
        <f t="shared" si="6"/>
        <v>130654</v>
      </c>
      <c r="D51" s="809">
        <f t="shared" si="7"/>
        <v>1489</v>
      </c>
      <c r="E51" s="809">
        <v>5.3</v>
      </c>
      <c r="F51" s="809" t="s">
        <v>726</v>
      </c>
      <c r="G51" s="809">
        <v>0.54285910000000004</v>
      </c>
      <c r="H51" s="809">
        <v>2.23E-2</v>
      </c>
      <c r="I51" s="809">
        <f t="shared" si="5"/>
        <v>2.6701193519055768</v>
      </c>
      <c r="J51" s="809">
        <f t="shared" si="5"/>
        <v>2.4000761899748264</v>
      </c>
      <c r="K51" s="567"/>
      <c r="L51" s="567"/>
      <c r="M51" s="567"/>
      <c r="N51" s="567"/>
      <c r="O51" s="567"/>
      <c r="P51" s="567"/>
      <c r="Q51" s="567"/>
      <c r="R51" s="396"/>
      <c r="S51" s="396"/>
      <c r="T51" s="396"/>
      <c r="U51" s="259"/>
      <c r="V51" s="259"/>
      <c r="W51" s="259"/>
      <c r="X51" s="259"/>
      <c r="Y51" s="259"/>
      <c r="Z51" s="259"/>
      <c r="AA51" s="259"/>
      <c r="AB51" s="259"/>
      <c r="AC51" s="259"/>
      <c r="AD51" s="259"/>
      <c r="AE51" s="259"/>
      <c r="AF51" s="259"/>
      <c r="AG51" s="259"/>
      <c r="AH51" s="259"/>
      <c r="AI51" s="259"/>
      <c r="AJ51" s="259"/>
      <c r="AK51" s="259"/>
      <c r="AL51" s="259"/>
      <c r="AM51" s="259"/>
      <c r="AN51" s="259"/>
      <c r="AO51" s="259"/>
      <c r="AP51" s="259"/>
      <c r="AQ51" s="259"/>
      <c r="AR51" s="259"/>
      <c r="AS51" s="259"/>
    </row>
    <row r="52" spans="1:45" x14ac:dyDescent="0.25">
      <c r="A52" s="809"/>
      <c r="B52" s="1325"/>
      <c r="C52" s="567"/>
      <c r="D52" s="567"/>
      <c r="E52" s="567"/>
      <c r="F52" s="809"/>
      <c r="G52" s="809"/>
      <c r="H52" s="809"/>
      <c r="I52" s="809"/>
      <c r="J52" s="567"/>
      <c r="K52" s="567"/>
      <c r="L52" s="567"/>
      <c r="M52" s="567"/>
      <c r="N52" s="567"/>
      <c r="O52" s="567"/>
      <c r="P52" s="567"/>
      <c r="Q52" s="567"/>
      <c r="R52" s="396"/>
      <c r="S52" s="396"/>
      <c r="T52" s="396"/>
      <c r="U52" s="259"/>
      <c r="V52" s="259"/>
      <c r="W52" s="259"/>
      <c r="X52" s="259"/>
      <c r="Y52" s="259"/>
      <c r="Z52" s="259"/>
      <c r="AA52" s="259"/>
      <c r="AB52" s="259"/>
      <c r="AC52" s="259"/>
      <c r="AD52" s="259"/>
      <c r="AE52" s="259"/>
      <c r="AF52" s="259"/>
      <c r="AG52" s="259"/>
      <c r="AH52" s="259"/>
      <c r="AI52" s="259"/>
      <c r="AJ52" s="259"/>
      <c r="AK52" s="259"/>
      <c r="AL52" s="259"/>
      <c r="AM52" s="259"/>
      <c r="AN52" s="259"/>
      <c r="AO52" s="259"/>
      <c r="AP52" s="259"/>
      <c r="AQ52" s="259"/>
      <c r="AR52" s="259"/>
      <c r="AS52" s="259"/>
    </row>
    <row r="53" spans="1:45" x14ac:dyDescent="0.25">
      <c r="A53" s="809"/>
      <c r="B53" s="1325"/>
      <c r="C53" s="567"/>
      <c r="D53" s="567"/>
      <c r="E53" s="1326"/>
      <c r="F53" s="809"/>
      <c r="G53" s="809"/>
      <c r="H53" s="809"/>
      <c r="I53" s="567"/>
      <c r="J53" s="567"/>
      <c r="K53" s="567"/>
      <c r="L53" s="567"/>
      <c r="M53" s="567"/>
      <c r="N53" s="567"/>
      <c r="O53" s="567"/>
      <c r="P53" s="567"/>
      <c r="Q53" s="567"/>
      <c r="R53" s="396"/>
      <c r="S53" s="396"/>
      <c r="T53" s="396"/>
      <c r="U53" s="259"/>
      <c r="V53" s="259"/>
      <c r="W53" s="259"/>
      <c r="X53" s="259"/>
      <c r="Y53" s="259"/>
      <c r="Z53" s="259"/>
      <c r="AA53" s="259"/>
      <c r="AB53" s="259"/>
      <c r="AC53" s="259"/>
      <c r="AD53" s="259"/>
      <c r="AE53" s="259"/>
      <c r="AF53" s="259"/>
      <c r="AG53" s="259"/>
      <c r="AH53" s="259"/>
      <c r="AI53" s="259"/>
      <c r="AJ53" s="259"/>
      <c r="AK53" s="259"/>
      <c r="AL53" s="259"/>
      <c r="AM53" s="259"/>
      <c r="AN53" s="259"/>
      <c r="AO53" s="259"/>
      <c r="AP53" s="259"/>
      <c r="AQ53" s="259"/>
      <c r="AR53" s="259"/>
      <c r="AS53" s="259"/>
    </row>
    <row r="54" spans="1:45" x14ac:dyDescent="0.25">
      <c r="A54" s="809"/>
      <c r="B54" s="1325"/>
      <c r="C54" s="1386"/>
      <c r="D54" s="1386"/>
      <c r="E54" s="1326"/>
      <c r="F54" s="1326"/>
      <c r="G54" s="1326"/>
      <c r="H54" s="567"/>
      <c r="I54" s="567"/>
      <c r="J54" s="567"/>
      <c r="K54" s="567"/>
      <c r="L54" s="567"/>
      <c r="M54" s="567"/>
      <c r="N54" s="567"/>
      <c r="O54" s="567"/>
      <c r="P54" s="567"/>
      <c r="Q54" s="567"/>
      <c r="R54" s="396"/>
      <c r="S54" s="396"/>
      <c r="T54" s="396"/>
      <c r="U54" s="259"/>
      <c r="V54" s="259"/>
      <c r="W54" s="259"/>
      <c r="X54" s="259"/>
      <c r="Y54" s="259"/>
      <c r="Z54" s="259"/>
      <c r="AA54" s="259"/>
      <c r="AB54" s="259"/>
      <c r="AC54" s="259"/>
      <c r="AD54" s="259"/>
      <c r="AE54" s="259"/>
      <c r="AF54" s="259"/>
      <c r="AG54" s="259"/>
      <c r="AH54" s="259"/>
      <c r="AI54" s="259"/>
      <c r="AJ54" s="259"/>
      <c r="AK54" s="259"/>
      <c r="AL54" s="259"/>
      <c r="AM54" s="259"/>
      <c r="AN54" s="259"/>
      <c r="AO54" s="259"/>
      <c r="AP54" s="259"/>
      <c r="AQ54" s="259"/>
      <c r="AR54" s="259"/>
      <c r="AS54" s="259"/>
    </row>
    <row r="55" spans="1:45" ht="23.25" customHeight="1" x14ac:dyDescent="0.25">
      <c r="A55" s="809"/>
      <c r="B55" s="1325" t="s">
        <v>632</v>
      </c>
      <c r="C55" s="567"/>
      <c r="D55" s="396"/>
      <c r="E55" s="1386"/>
      <c r="F55" s="1326"/>
      <c r="G55" s="1326"/>
      <c r="H55" s="567"/>
      <c r="I55" s="567"/>
      <c r="J55" s="567"/>
      <c r="K55" s="567"/>
      <c r="L55" s="567"/>
      <c r="M55" s="567"/>
      <c r="N55" s="567"/>
      <c r="O55" s="567"/>
      <c r="P55" s="567"/>
      <c r="Q55" s="396"/>
      <c r="R55" s="396"/>
      <c r="S55" s="396"/>
      <c r="T55" s="259"/>
      <c r="U55" s="259"/>
      <c r="V55" s="259"/>
      <c r="W55" s="259"/>
      <c r="X55" s="259"/>
      <c r="Y55" s="259"/>
      <c r="Z55" s="259"/>
      <c r="AA55" s="259"/>
      <c r="AB55" s="259"/>
      <c r="AC55" s="259"/>
      <c r="AD55" s="259"/>
      <c r="AE55" s="259"/>
      <c r="AF55" s="259"/>
      <c r="AG55" s="259"/>
      <c r="AH55" s="259"/>
      <c r="AI55" s="259"/>
      <c r="AJ55" s="259"/>
      <c r="AK55" s="259"/>
      <c r="AL55" s="259"/>
      <c r="AM55" s="259"/>
      <c r="AN55" s="259"/>
      <c r="AO55" s="259"/>
      <c r="AP55" s="259"/>
      <c r="AQ55" s="259"/>
      <c r="AR55" s="259"/>
      <c r="AS55" s="259"/>
    </row>
    <row r="56" spans="1:45" x14ac:dyDescent="0.25">
      <c r="A56" s="809"/>
      <c r="B56" s="1325" t="s">
        <v>743</v>
      </c>
      <c r="C56" s="396"/>
      <c r="D56" s="396"/>
      <c r="E56" s="1326"/>
      <c r="F56" s="1386"/>
      <c r="G56" s="1386"/>
      <c r="H56" s="1386"/>
      <c r="I56" s="1386"/>
      <c r="J56" s="567"/>
      <c r="K56" s="567"/>
      <c r="L56" s="567"/>
      <c r="M56" s="567"/>
      <c r="N56" s="396"/>
      <c r="O56" s="396"/>
      <c r="P56" s="396"/>
      <c r="Q56" s="396"/>
      <c r="R56" s="396"/>
      <c r="S56" s="259"/>
      <c r="T56" s="259"/>
      <c r="U56" s="259"/>
      <c r="V56" s="259"/>
      <c r="W56" s="259"/>
      <c r="X56" s="259"/>
      <c r="Y56" s="259"/>
      <c r="Z56" s="259"/>
      <c r="AA56" s="259"/>
      <c r="AB56" s="259"/>
      <c r="AC56" s="259"/>
      <c r="AD56" s="259"/>
      <c r="AE56" s="259"/>
      <c r="AF56" s="259"/>
      <c r="AG56" s="259"/>
      <c r="AH56" s="259"/>
      <c r="AI56" s="259"/>
      <c r="AJ56" s="259"/>
      <c r="AK56" s="259"/>
      <c r="AL56" s="259"/>
      <c r="AM56" s="259"/>
      <c r="AN56" s="259"/>
      <c r="AO56" s="259"/>
      <c r="AP56" s="259"/>
      <c r="AQ56" s="259"/>
      <c r="AR56" s="259"/>
      <c r="AS56" s="259"/>
    </row>
    <row r="57" spans="1:45" x14ac:dyDescent="0.25">
      <c r="A57" s="809"/>
      <c r="B57" s="882" t="s">
        <v>792</v>
      </c>
      <c r="C57" s="882"/>
      <c r="D57" s="882"/>
      <c r="E57" s="1326"/>
      <c r="F57" s="882"/>
      <c r="G57" s="882"/>
      <c r="H57" s="882"/>
      <c r="I57" s="882"/>
      <c r="J57" s="567"/>
      <c r="K57" s="567"/>
      <c r="L57" s="567"/>
      <c r="M57" s="567"/>
      <c r="N57" s="396"/>
      <c r="O57" s="396"/>
      <c r="P57" s="396"/>
      <c r="Q57" s="396"/>
      <c r="R57" s="396"/>
      <c r="S57" s="259"/>
      <c r="T57" s="259"/>
      <c r="U57" s="259"/>
      <c r="V57" s="259"/>
      <c r="W57" s="259"/>
      <c r="X57" s="259"/>
      <c r="Y57" s="259"/>
      <c r="Z57" s="259"/>
      <c r="AA57" s="259"/>
      <c r="AB57" s="259"/>
      <c r="AC57" s="259"/>
      <c r="AD57" s="259"/>
      <c r="AE57" s="259"/>
      <c r="AF57" s="259"/>
      <c r="AG57" s="259"/>
      <c r="AH57" s="259"/>
      <c r="AI57" s="259"/>
      <c r="AJ57" s="259"/>
      <c r="AK57" s="259"/>
      <c r="AL57" s="259"/>
      <c r="AM57" s="259"/>
      <c r="AN57" s="259"/>
      <c r="AO57" s="259"/>
      <c r="AP57" s="259"/>
      <c r="AQ57" s="259"/>
      <c r="AR57" s="259"/>
      <c r="AS57" s="259"/>
    </row>
    <row r="58" spans="1:45" x14ac:dyDescent="0.25">
      <c r="A58" s="809"/>
      <c r="B58" s="567"/>
      <c r="C58" s="567"/>
      <c r="D58" s="567"/>
      <c r="E58" s="1326"/>
      <c r="F58" s="567"/>
      <c r="G58" s="567"/>
      <c r="H58" s="567"/>
      <c r="I58" s="567"/>
      <c r="J58" s="567"/>
      <c r="K58" s="567"/>
      <c r="L58" s="567"/>
      <c r="M58" s="567"/>
      <c r="N58" s="396"/>
      <c r="O58" s="396"/>
      <c r="P58" s="396"/>
      <c r="Q58" s="396"/>
      <c r="R58" s="396"/>
      <c r="S58" s="259"/>
      <c r="T58" s="259"/>
      <c r="U58" s="259"/>
      <c r="V58" s="259"/>
      <c r="W58" s="259"/>
      <c r="X58" s="259"/>
      <c r="Y58" s="259"/>
      <c r="Z58" s="259"/>
      <c r="AA58" s="259"/>
      <c r="AB58" s="259"/>
      <c r="AC58" s="259"/>
      <c r="AD58" s="259"/>
      <c r="AE58" s="259"/>
      <c r="AF58" s="259"/>
      <c r="AG58" s="259"/>
      <c r="AH58" s="259"/>
      <c r="AI58" s="259"/>
      <c r="AJ58" s="259"/>
      <c r="AK58" s="259"/>
      <c r="AL58" s="259"/>
      <c r="AM58" s="259"/>
      <c r="AN58" s="259"/>
      <c r="AO58" s="259"/>
      <c r="AP58" s="259"/>
      <c r="AQ58" s="259"/>
      <c r="AR58" s="259"/>
      <c r="AS58" s="259"/>
    </row>
    <row r="59" spans="1:45" x14ac:dyDescent="0.25">
      <c r="A59" s="809"/>
      <c r="B59" s="567"/>
      <c r="C59" s="567"/>
      <c r="D59" s="567"/>
      <c r="E59" s="1326"/>
      <c r="F59" s="567"/>
      <c r="G59" s="567"/>
      <c r="H59" s="567"/>
      <c r="I59" s="567"/>
      <c r="J59" s="567"/>
      <c r="K59" s="567"/>
      <c r="L59" s="567"/>
      <c r="M59" s="567"/>
      <c r="N59" s="396"/>
      <c r="O59" s="396"/>
      <c r="P59" s="396"/>
      <c r="Q59" s="396"/>
      <c r="R59" s="396"/>
      <c r="S59" s="259"/>
      <c r="T59" s="259"/>
      <c r="U59" s="259"/>
      <c r="V59" s="259"/>
      <c r="W59" s="259"/>
      <c r="X59" s="259"/>
      <c r="Y59" s="259"/>
      <c r="Z59" s="259"/>
      <c r="AA59" s="259"/>
      <c r="AB59" s="259"/>
      <c r="AC59" s="259"/>
      <c r="AD59" s="259"/>
      <c r="AE59" s="259"/>
      <c r="AF59" s="259"/>
      <c r="AG59" s="259"/>
      <c r="AH59" s="259"/>
      <c r="AI59" s="259"/>
      <c r="AJ59" s="259"/>
      <c r="AK59" s="259"/>
      <c r="AL59" s="259"/>
      <c r="AM59" s="259"/>
      <c r="AN59" s="259"/>
      <c r="AO59" s="259"/>
      <c r="AP59" s="259"/>
      <c r="AQ59" s="259"/>
      <c r="AR59" s="259"/>
      <c r="AS59" s="259"/>
    </row>
    <row r="60" spans="1:45" x14ac:dyDescent="0.25">
      <c r="A60" s="567"/>
      <c r="B60" s="567"/>
      <c r="C60" s="567"/>
      <c r="D60" s="567"/>
      <c r="E60" s="567"/>
      <c r="F60" s="567"/>
      <c r="G60" s="567"/>
      <c r="H60" s="396"/>
      <c r="I60" s="396"/>
      <c r="J60" s="396"/>
      <c r="K60" s="567"/>
      <c r="L60" s="567"/>
      <c r="M60" s="567"/>
      <c r="N60" s="396"/>
      <c r="O60" s="396"/>
      <c r="P60" s="396"/>
      <c r="Q60" s="396"/>
      <c r="R60" s="396"/>
      <c r="S60" s="259"/>
      <c r="T60" s="259"/>
      <c r="U60" s="259"/>
      <c r="V60" s="259"/>
      <c r="W60" s="259"/>
      <c r="X60" s="259"/>
      <c r="Y60" s="259"/>
      <c r="Z60" s="259"/>
      <c r="AA60" s="259"/>
      <c r="AB60" s="259"/>
      <c r="AC60" s="259"/>
      <c r="AD60" s="259"/>
      <c r="AE60" s="259"/>
      <c r="AF60" s="259"/>
      <c r="AG60" s="259"/>
      <c r="AH60" s="259"/>
      <c r="AI60" s="259"/>
      <c r="AJ60" s="259"/>
      <c r="AK60" s="259"/>
      <c r="AL60" s="259"/>
      <c r="AM60" s="259"/>
      <c r="AN60" s="259"/>
      <c r="AO60" s="259"/>
      <c r="AP60" s="259"/>
      <c r="AQ60" s="259"/>
      <c r="AR60" s="259"/>
      <c r="AS60" s="259"/>
    </row>
    <row r="61" spans="1:45" x14ac:dyDescent="0.25">
      <c r="A61" s="567"/>
      <c r="B61" s="396"/>
      <c r="C61" s="396"/>
      <c r="D61" s="396"/>
      <c r="E61" s="396"/>
      <c r="F61" s="396"/>
      <c r="G61" s="396"/>
      <c r="H61" s="396"/>
      <c r="I61" s="396"/>
      <c r="J61" s="396"/>
      <c r="K61" s="396"/>
      <c r="L61" s="567"/>
      <c r="M61" s="567"/>
      <c r="N61" s="396"/>
      <c r="O61" s="396"/>
      <c r="P61" s="396"/>
      <c r="Q61" s="396"/>
      <c r="R61" s="396"/>
      <c r="S61" s="259"/>
      <c r="T61" s="259"/>
      <c r="U61" s="259"/>
      <c r="V61" s="259"/>
      <c r="W61" s="259"/>
      <c r="X61" s="259"/>
      <c r="Y61" s="259"/>
      <c r="Z61" s="259"/>
      <c r="AA61" s="259"/>
      <c r="AB61" s="259"/>
      <c r="AC61" s="259"/>
      <c r="AD61" s="259"/>
      <c r="AE61" s="259"/>
      <c r="AF61" s="259"/>
      <c r="AG61" s="259"/>
      <c r="AH61" s="259"/>
      <c r="AI61" s="259"/>
      <c r="AJ61" s="259"/>
      <c r="AK61" s="259"/>
      <c r="AL61" s="259"/>
      <c r="AM61" s="259"/>
      <c r="AN61" s="259"/>
      <c r="AO61" s="259"/>
      <c r="AP61" s="259"/>
      <c r="AQ61" s="259"/>
      <c r="AR61" s="259"/>
      <c r="AS61" s="259"/>
    </row>
    <row r="62" spans="1:45" x14ac:dyDescent="0.25">
      <c r="A62" s="567"/>
      <c r="B62" s="396"/>
      <c r="C62" s="396"/>
      <c r="D62" s="396" t="s">
        <v>744</v>
      </c>
      <c r="E62" s="396" t="s">
        <v>745</v>
      </c>
      <c r="F62" s="396" t="s">
        <v>746</v>
      </c>
      <c r="G62" s="396" t="s">
        <v>747</v>
      </c>
      <c r="H62" s="396" t="s">
        <v>748</v>
      </c>
      <c r="I62" s="396"/>
      <c r="J62" s="396"/>
      <c r="K62" s="396"/>
      <c r="L62" s="396"/>
      <c r="M62" s="396"/>
      <c r="N62" s="396"/>
      <c r="O62" s="396"/>
      <c r="P62" s="396"/>
      <c r="Q62" s="259"/>
      <c r="R62" s="259"/>
      <c r="S62" s="259"/>
      <c r="T62" s="259"/>
      <c r="U62" s="259"/>
      <c r="V62" s="259"/>
      <c r="W62" s="259"/>
      <c r="X62" s="259"/>
      <c r="Y62" s="259"/>
      <c r="Z62" s="259"/>
      <c r="AA62" s="259"/>
      <c r="AB62" s="259"/>
      <c r="AC62" s="259"/>
      <c r="AD62" s="259"/>
      <c r="AE62" s="259"/>
      <c r="AF62" s="259"/>
      <c r="AG62" s="259"/>
      <c r="AH62" s="259"/>
      <c r="AI62" s="259"/>
      <c r="AJ62" s="259"/>
      <c r="AK62" s="259"/>
      <c r="AL62" s="259"/>
      <c r="AM62" s="259"/>
      <c r="AN62" s="259"/>
      <c r="AO62" s="259"/>
      <c r="AP62" s="259"/>
      <c r="AQ62" s="259"/>
      <c r="AR62" s="259"/>
      <c r="AS62" s="259"/>
    </row>
    <row r="63" spans="1:45" x14ac:dyDescent="0.25">
      <c r="A63" s="567"/>
      <c r="B63" s="396"/>
      <c r="C63" s="396"/>
      <c r="D63" s="1386">
        <v>47384</v>
      </c>
      <c r="E63" s="1386">
        <v>45624</v>
      </c>
      <c r="F63" s="1386">
        <v>41439</v>
      </c>
      <c r="G63" s="1386">
        <v>38408</v>
      </c>
      <c r="H63" s="396"/>
      <c r="I63" s="396"/>
      <c r="J63" s="396"/>
      <c r="K63" s="396"/>
      <c r="L63" s="396"/>
      <c r="M63" s="396"/>
      <c r="N63" s="396"/>
      <c r="O63" s="396"/>
      <c r="P63" s="396"/>
      <c r="Q63" s="259"/>
      <c r="R63" s="259"/>
      <c r="S63" s="259"/>
      <c r="T63" s="259"/>
      <c r="U63" s="259"/>
      <c r="V63" s="259"/>
      <c r="W63" s="259"/>
      <c r="X63" s="259"/>
      <c r="Y63" s="259"/>
      <c r="Z63" s="259"/>
      <c r="AA63" s="259"/>
      <c r="AB63" s="259"/>
      <c r="AC63" s="259"/>
      <c r="AD63" s="259"/>
      <c r="AE63" s="259"/>
      <c r="AF63" s="259"/>
      <c r="AG63" s="259"/>
      <c r="AH63" s="259"/>
      <c r="AI63" s="259"/>
      <c r="AJ63" s="259"/>
      <c r="AK63" s="259"/>
      <c r="AL63" s="259"/>
      <c r="AM63" s="259"/>
      <c r="AN63" s="259"/>
      <c r="AO63" s="259"/>
      <c r="AP63" s="259"/>
      <c r="AQ63" s="259"/>
      <c r="AR63" s="259"/>
      <c r="AS63" s="259"/>
    </row>
    <row r="64" spans="1:45" x14ac:dyDescent="0.25">
      <c r="A64" s="567"/>
      <c r="B64" s="396" t="s">
        <v>750</v>
      </c>
      <c r="C64" s="396"/>
      <c r="D64" s="1386">
        <v>47384</v>
      </c>
      <c r="E64" s="1386">
        <v>45624</v>
      </c>
      <c r="F64" s="1386">
        <v>41439</v>
      </c>
      <c r="G64" s="1386">
        <v>38408</v>
      </c>
      <c r="H64" s="1386">
        <v>37261</v>
      </c>
      <c r="I64" s="396"/>
      <c r="J64" s="396"/>
      <c r="K64" s="396"/>
      <c r="L64" s="396"/>
      <c r="M64" s="396"/>
      <c r="N64" s="396"/>
      <c r="O64" s="396"/>
      <c r="P64" s="396"/>
      <c r="Q64" s="259"/>
      <c r="R64" s="259"/>
      <c r="S64" s="259"/>
      <c r="T64" s="259"/>
      <c r="U64" s="259"/>
      <c r="V64" s="259"/>
      <c r="W64" s="259"/>
      <c r="X64" s="259"/>
      <c r="Y64" s="259"/>
      <c r="Z64" s="259"/>
      <c r="AA64" s="259"/>
      <c r="AB64" s="259"/>
      <c r="AC64" s="259"/>
      <c r="AD64" s="259"/>
      <c r="AE64" s="259"/>
      <c r="AF64" s="259"/>
      <c r="AG64" s="259"/>
      <c r="AH64" s="259"/>
      <c r="AI64" s="259"/>
      <c r="AJ64" s="259"/>
      <c r="AK64" s="259"/>
      <c r="AL64" s="259"/>
      <c r="AM64" s="259"/>
      <c r="AN64" s="259"/>
      <c r="AO64" s="259"/>
      <c r="AP64" s="259"/>
      <c r="AQ64" s="259"/>
      <c r="AR64" s="259"/>
      <c r="AS64" s="259"/>
    </row>
    <row r="65" spans="1:45" x14ac:dyDescent="0.25">
      <c r="A65" s="567"/>
      <c r="B65" s="396"/>
      <c r="C65" s="396"/>
      <c r="D65" s="1386">
        <v>47384</v>
      </c>
      <c r="E65" s="1386">
        <v>45624</v>
      </c>
      <c r="F65" s="1386">
        <v>41439</v>
      </c>
      <c r="G65" s="1386">
        <v>38408</v>
      </c>
      <c r="H65" s="1386">
        <v>33993</v>
      </c>
      <c r="I65" s="1386">
        <v>25792</v>
      </c>
      <c r="J65" s="1386">
        <v>28321</v>
      </c>
      <c r="K65" s="396"/>
      <c r="L65" s="396"/>
      <c r="M65" s="396" t="s">
        <v>749</v>
      </c>
      <c r="N65" s="396"/>
      <c r="O65" s="396"/>
      <c r="P65" s="396"/>
      <c r="Q65" s="259"/>
      <c r="R65" s="259"/>
      <c r="S65" s="259"/>
      <c r="T65" s="259"/>
      <c r="U65" s="259"/>
      <c r="V65" s="259"/>
      <c r="W65" s="259"/>
      <c r="X65" s="259"/>
      <c r="Y65" s="259"/>
      <c r="Z65" s="259"/>
      <c r="AA65" s="259"/>
      <c r="AB65" s="259"/>
      <c r="AC65" s="259"/>
      <c r="AD65" s="259"/>
      <c r="AE65" s="259"/>
      <c r="AF65" s="259"/>
      <c r="AG65" s="259"/>
      <c r="AH65" s="259"/>
      <c r="AI65" s="259"/>
      <c r="AJ65" s="259"/>
      <c r="AK65" s="259"/>
      <c r="AL65" s="259"/>
      <c r="AM65" s="259"/>
      <c r="AN65" s="259"/>
      <c r="AO65" s="259"/>
      <c r="AP65" s="259"/>
      <c r="AQ65" s="259"/>
      <c r="AR65" s="259"/>
      <c r="AS65" s="259"/>
    </row>
    <row r="66" spans="1:45" ht="23.25" customHeight="1" x14ac:dyDescent="0.25">
      <c r="A66" s="396"/>
      <c r="B66" s="396"/>
      <c r="C66" s="396"/>
      <c r="D66" s="1386"/>
      <c r="E66" s="1386">
        <v>45624</v>
      </c>
      <c r="F66" s="1386">
        <v>41439</v>
      </c>
      <c r="G66" s="1386">
        <v>38408</v>
      </c>
      <c r="H66" s="1386">
        <v>33993</v>
      </c>
      <c r="I66" s="1386">
        <v>25792</v>
      </c>
      <c r="J66" s="1386">
        <v>28143</v>
      </c>
      <c r="K66" s="396"/>
      <c r="L66" s="396"/>
      <c r="M66" s="396" t="s">
        <v>751</v>
      </c>
      <c r="N66" s="396"/>
      <c r="O66" s="396"/>
      <c r="P66" s="396"/>
      <c r="Q66" s="259"/>
      <c r="R66" s="259"/>
      <c r="S66" s="259"/>
      <c r="T66" s="259"/>
      <c r="U66" s="259"/>
      <c r="V66" s="259"/>
      <c r="W66" s="259"/>
      <c r="X66" s="259"/>
      <c r="Y66" s="259"/>
      <c r="Z66" s="259"/>
      <c r="AA66" s="259"/>
      <c r="AB66" s="259"/>
      <c r="AC66" s="259"/>
      <c r="AD66" s="259"/>
      <c r="AE66" s="259"/>
      <c r="AF66" s="259"/>
      <c r="AG66" s="259"/>
      <c r="AH66" s="259"/>
      <c r="AI66" s="259"/>
      <c r="AJ66" s="259"/>
      <c r="AK66" s="259"/>
      <c r="AL66" s="259"/>
      <c r="AM66" s="259"/>
      <c r="AN66" s="259"/>
      <c r="AO66" s="259"/>
      <c r="AP66" s="259"/>
      <c r="AQ66" s="259"/>
      <c r="AR66" s="259"/>
      <c r="AS66" s="259"/>
    </row>
    <row r="67" spans="1:45" x14ac:dyDescent="0.25">
      <c r="A67" s="396"/>
      <c r="B67" s="396"/>
      <c r="C67" s="396"/>
      <c r="D67" s="396"/>
      <c r="E67" s="396"/>
      <c r="F67" s="396"/>
      <c r="G67" s="396"/>
      <c r="H67" s="396"/>
      <c r="I67" s="396"/>
      <c r="J67" s="396"/>
      <c r="K67" s="1386">
        <v>30714</v>
      </c>
      <c r="L67" s="396"/>
      <c r="M67" s="396" t="s">
        <v>752</v>
      </c>
      <c r="N67" s="396"/>
      <c r="O67" s="396"/>
      <c r="P67" s="396"/>
      <c r="Q67" s="259"/>
      <c r="R67" s="259"/>
      <c r="S67" s="259"/>
      <c r="T67" s="259"/>
      <c r="U67" s="259"/>
      <c r="V67" s="259"/>
      <c r="W67" s="259"/>
      <c r="X67" s="259"/>
      <c r="Y67" s="259"/>
      <c r="Z67" s="259"/>
      <c r="AA67" s="259"/>
      <c r="AB67" s="259"/>
      <c r="AC67" s="259"/>
      <c r="AD67" s="259"/>
      <c r="AE67" s="259"/>
      <c r="AF67" s="259"/>
      <c r="AG67" s="259"/>
      <c r="AH67" s="259"/>
      <c r="AI67" s="259"/>
      <c r="AJ67" s="259"/>
      <c r="AK67" s="259"/>
      <c r="AL67" s="259"/>
      <c r="AM67" s="259"/>
      <c r="AN67" s="259"/>
      <c r="AO67" s="259"/>
      <c r="AP67" s="259"/>
      <c r="AQ67" s="259"/>
      <c r="AR67" s="259"/>
      <c r="AS67" s="259"/>
    </row>
    <row r="68" spans="1:45" x14ac:dyDescent="0.25">
      <c r="A68" s="396"/>
      <c r="B68" s="396"/>
      <c r="C68" s="396"/>
      <c r="D68" s="396"/>
      <c r="E68" s="396"/>
      <c r="F68" s="396"/>
      <c r="G68" s="396"/>
      <c r="H68" s="396"/>
      <c r="I68" s="396"/>
      <c r="J68" s="396"/>
      <c r="K68" s="396"/>
      <c r="L68" s="1386"/>
      <c r="M68" s="396" t="s">
        <v>753</v>
      </c>
      <c r="N68" s="396"/>
      <c r="O68" s="396"/>
      <c r="P68" s="396"/>
      <c r="Q68" s="259"/>
      <c r="R68" s="259"/>
      <c r="S68" s="259"/>
      <c r="T68" s="259"/>
      <c r="U68" s="259"/>
      <c r="V68" s="259"/>
      <c r="W68" s="259"/>
      <c r="X68" s="259"/>
      <c r="Y68" s="259"/>
      <c r="Z68" s="259"/>
      <c r="AA68" s="259"/>
      <c r="AB68" s="259"/>
      <c r="AC68" s="259"/>
      <c r="AD68" s="259"/>
      <c r="AE68" s="259"/>
      <c r="AF68" s="259"/>
      <c r="AG68" s="259"/>
      <c r="AH68" s="259"/>
      <c r="AI68" s="259"/>
      <c r="AJ68" s="259"/>
      <c r="AK68" s="259"/>
      <c r="AL68" s="259"/>
      <c r="AM68" s="259"/>
      <c r="AN68" s="259"/>
      <c r="AO68" s="259"/>
      <c r="AP68" s="259"/>
      <c r="AQ68" s="259"/>
      <c r="AR68" s="259"/>
      <c r="AS68" s="259"/>
    </row>
    <row r="69" spans="1:45" x14ac:dyDescent="0.25">
      <c r="A69" s="378"/>
      <c r="B69" s="396"/>
      <c r="C69" s="396"/>
      <c r="D69" s="396"/>
      <c r="E69" s="396"/>
      <c r="F69" s="396"/>
      <c r="G69" s="396"/>
      <c r="H69" s="396"/>
      <c r="I69" s="396"/>
      <c r="J69" s="396"/>
      <c r="K69" s="396"/>
      <c r="L69" s="396"/>
      <c r="M69" s="396"/>
      <c r="N69" s="396"/>
      <c r="O69" s="396"/>
      <c r="P69" s="396"/>
      <c r="Q69" s="259"/>
      <c r="R69" s="259"/>
      <c r="S69" s="259"/>
      <c r="T69" s="259"/>
      <c r="U69" s="259"/>
      <c r="V69" s="259"/>
      <c r="W69" s="259"/>
      <c r="X69" s="259"/>
      <c r="Y69" s="259"/>
      <c r="Z69" s="259"/>
      <c r="AA69" s="259"/>
      <c r="AB69" s="259"/>
      <c r="AC69" s="259"/>
      <c r="AD69" s="259"/>
      <c r="AE69" s="259"/>
      <c r="AF69" s="259"/>
      <c r="AG69" s="259"/>
      <c r="AH69" s="259"/>
      <c r="AI69" s="259"/>
      <c r="AJ69" s="259"/>
      <c r="AK69" s="259"/>
      <c r="AL69" s="259"/>
      <c r="AM69" s="259"/>
      <c r="AN69" s="259"/>
      <c r="AO69" s="259"/>
      <c r="AP69" s="259"/>
      <c r="AQ69" s="259"/>
      <c r="AR69" s="259"/>
      <c r="AS69" s="259"/>
    </row>
    <row r="70" spans="1:45" x14ac:dyDescent="0.25">
      <c r="A70" s="378"/>
      <c r="B70" s="396"/>
      <c r="C70" s="396"/>
      <c r="D70" s="396"/>
      <c r="E70" s="396"/>
      <c r="F70" s="396"/>
      <c r="G70" s="396"/>
      <c r="H70" s="396"/>
      <c r="I70" s="396"/>
      <c r="J70" s="396"/>
      <c r="K70" s="396"/>
      <c r="L70" s="396"/>
      <c r="M70" s="396"/>
      <c r="N70" s="396"/>
      <c r="O70" s="396"/>
      <c r="P70" s="396"/>
      <c r="Q70" s="259"/>
      <c r="R70" s="259"/>
      <c r="S70" s="259"/>
      <c r="T70" s="259"/>
      <c r="U70" s="259"/>
      <c r="V70" s="259"/>
      <c r="W70" s="259"/>
      <c r="X70" s="259"/>
      <c r="Y70" s="259"/>
      <c r="Z70" s="259"/>
      <c r="AA70" s="259"/>
      <c r="AB70" s="259"/>
      <c r="AC70" s="259"/>
      <c r="AD70" s="259"/>
      <c r="AE70" s="259"/>
      <c r="AF70" s="259"/>
      <c r="AG70" s="259"/>
      <c r="AH70" s="259"/>
      <c r="AI70" s="259"/>
      <c r="AJ70" s="259"/>
      <c r="AK70" s="259"/>
      <c r="AL70" s="259"/>
      <c r="AM70" s="259"/>
      <c r="AN70" s="259"/>
      <c r="AO70" s="259"/>
      <c r="AP70" s="259"/>
      <c r="AQ70" s="259"/>
      <c r="AR70" s="259"/>
      <c r="AS70" s="259"/>
    </row>
    <row r="71" spans="1:45" x14ac:dyDescent="0.25">
      <c r="A71" s="378"/>
      <c r="B71" s="396"/>
      <c r="C71" s="396"/>
      <c r="D71" s="1386">
        <v>120789</v>
      </c>
      <c r="E71" s="1386">
        <v>123983</v>
      </c>
      <c r="F71" s="1386">
        <v>120203</v>
      </c>
      <c r="G71" s="1386">
        <v>115560</v>
      </c>
      <c r="H71" s="396"/>
      <c r="I71" s="396"/>
      <c r="J71" s="396"/>
      <c r="K71" s="396"/>
      <c r="L71" s="396"/>
      <c r="M71" s="396"/>
      <c r="N71" s="396"/>
      <c r="O71" s="396"/>
      <c r="P71" s="396"/>
      <c r="Q71" s="259"/>
      <c r="R71" s="259"/>
      <c r="S71" s="259"/>
      <c r="T71" s="259"/>
      <c r="U71" s="259"/>
      <c r="V71" s="259"/>
      <c r="W71" s="259"/>
      <c r="X71" s="259"/>
      <c r="Y71" s="259"/>
      <c r="Z71" s="259"/>
      <c r="AA71" s="259"/>
      <c r="AB71" s="259"/>
      <c r="AC71" s="259"/>
      <c r="AD71" s="259"/>
      <c r="AE71" s="259"/>
      <c r="AF71" s="259"/>
      <c r="AG71" s="259"/>
      <c r="AH71" s="259"/>
      <c r="AI71" s="259"/>
      <c r="AJ71" s="259"/>
      <c r="AK71" s="259"/>
      <c r="AL71" s="259"/>
      <c r="AM71" s="259"/>
      <c r="AN71" s="259"/>
      <c r="AO71" s="259"/>
      <c r="AP71" s="259"/>
      <c r="AQ71" s="259"/>
      <c r="AR71" s="259"/>
      <c r="AS71" s="259"/>
    </row>
    <row r="72" spans="1:45" x14ac:dyDescent="0.25">
      <c r="A72" s="378"/>
      <c r="B72" s="396" t="s">
        <v>754</v>
      </c>
      <c r="C72" s="396"/>
      <c r="D72" s="1386">
        <v>120789</v>
      </c>
      <c r="E72" s="1386">
        <v>123983</v>
      </c>
      <c r="F72" s="1386">
        <v>120203</v>
      </c>
      <c r="G72" s="1386">
        <v>115560</v>
      </c>
      <c r="H72" s="1386">
        <v>109479</v>
      </c>
      <c r="I72" s="396"/>
      <c r="J72" s="396"/>
      <c r="K72" s="396"/>
      <c r="L72" s="396"/>
      <c r="M72" s="396"/>
      <c r="N72" s="396"/>
      <c r="O72" s="396"/>
      <c r="P72" s="396"/>
      <c r="Q72" s="259"/>
      <c r="R72" s="259"/>
      <c r="S72" s="259"/>
      <c r="T72" s="259"/>
      <c r="U72" s="259"/>
      <c r="V72" s="259"/>
      <c r="W72" s="259"/>
      <c r="X72" s="259"/>
      <c r="Y72" s="259"/>
      <c r="Z72" s="259"/>
      <c r="AA72" s="259"/>
      <c r="AB72" s="259"/>
      <c r="AC72" s="259"/>
      <c r="AD72" s="259"/>
      <c r="AE72" s="259"/>
      <c r="AF72" s="259"/>
      <c r="AG72" s="259"/>
      <c r="AH72" s="259"/>
      <c r="AI72" s="259"/>
      <c r="AJ72" s="259"/>
      <c r="AK72" s="259"/>
      <c r="AL72" s="259"/>
      <c r="AM72" s="259"/>
      <c r="AN72" s="259"/>
      <c r="AO72" s="259"/>
      <c r="AP72" s="259"/>
      <c r="AQ72" s="259"/>
      <c r="AR72" s="259"/>
      <c r="AS72" s="259"/>
    </row>
    <row r="73" spans="1:45" x14ac:dyDescent="0.25">
      <c r="A73" s="378"/>
      <c r="B73" s="396"/>
      <c r="C73" s="396"/>
      <c r="D73" s="1386">
        <v>120789</v>
      </c>
      <c r="E73" s="1386">
        <v>123983</v>
      </c>
      <c r="F73" s="1386">
        <v>120203</v>
      </c>
      <c r="G73" s="1386">
        <v>115560</v>
      </c>
      <c r="H73" s="1386">
        <v>112475</v>
      </c>
      <c r="I73" s="1386">
        <v>109636</v>
      </c>
      <c r="J73" s="1386">
        <v>122795</v>
      </c>
      <c r="K73" s="396"/>
      <c r="L73" s="396"/>
      <c r="M73" s="396" t="s">
        <v>749</v>
      </c>
      <c r="N73" s="396"/>
      <c r="O73" s="396"/>
      <c r="P73" s="396"/>
      <c r="Q73" s="259"/>
      <c r="R73" s="259"/>
      <c r="S73" s="259"/>
      <c r="T73" s="259"/>
      <c r="U73" s="259"/>
      <c r="V73" s="259"/>
      <c r="W73" s="259"/>
      <c r="X73" s="259"/>
      <c r="Y73" s="259"/>
      <c r="Z73" s="259"/>
      <c r="AA73" s="259"/>
      <c r="AB73" s="259"/>
      <c r="AC73" s="259"/>
      <c r="AD73" s="259"/>
      <c r="AE73" s="259"/>
      <c r="AF73" s="259"/>
      <c r="AG73" s="259"/>
      <c r="AH73" s="259"/>
      <c r="AI73" s="259"/>
      <c r="AJ73" s="259"/>
      <c r="AK73" s="259"/>
      <c r="AL73" s="259"/>
      <c r="AM73" s="259"/>
      <c r="AN73" s="259"/>
      <c r="AO73" s="259"/>
      <c r="AP73" s="259"/>
      <c r="AQ73" s="259"/>
      <c r="AR73" s="259"/>
      <c r="AS73" s="259"/>
    </row>
    <row r="74" spans="1:45" x14ac:dyDescent="0.25">
      <c r="A74" s="378"/>
      <c r="B74" s="396"/>
      <c r="C74" s="396"/>
      <c r="D74" s="1386"/>
      <c r="E74" s="1386">
        <v>123983</v>
      </c>
      <c r="F74" s="1386">
        <v>120203</v>
      </c>
      <c r="G74" s="1386">
        <v>115560</v>
      </c>
      <c r="H74" s="1386">
        <v>112475</v>
      </c>
      <c r="I74" s="1386">
        <v>109636</v>
      </c>
      <c r="J74" s="1386">
        <v>121610</v>
      </c>
      <c r="K74" s="396"/>
      <c r="L74" s="396"/>
      <c r="M74" s="396" t="s">
        <v>751</v>
      </c>
      <c r="N74" s="396"/>
      <c r="O74" s="396"/>
      <c r="P74" s="396"/>
      <c r="Q74" s="259"/>
      <c r="R74" s="259"/>
      <c r="S74" s="259"/>
      <c r="T74" s="259"/>
      <c r="U74" s="259"/>
      <c r="V74" s="259"/>
      <c r="W74" s="259"/>
      <c r="X74" s="259"/>
      <c r="Y74" s="259"/>
      <c r="Z74" s="259"/>
      <c r="AA74" s="259"/>
      <c r="AB74" s="259"/>
      <c r="AC74" s="259"/>
      <c r="AD74" s="259"/>
      <c r="AE74" s="259"/>
      <c r="AF74" s="259"/>
      <c r="AG74" s="259"/>
      <c r="AH74" s="259"/>
      <c r="AI74" s="259"/>
      <c r="AJ74" s="259"/>
      <c r="AK74" s="259"/>
      <c r="AL74" s="259"/>
      <c r="AM74" s="259"/>
      <c r="AN74" s="259"/>
      <c r="AO74" s="259"/>
      <c r="AP74" s="259"/>
      <c r="AQ74" s="259"/>
      <c r="AR74" s="259"/>
      <c r="AS74" s="259"/>
    </row>
    <row r="75" spans="1:45" x14ac:dyDescent="0.25">
      <c r="A75" s="378"/>
      <c r="B75" s="396"/>
      <c r="C75" s="396"/>
      <c r="D75" s="396"/>
      <c r="E75" s="396"/>
      <c r="F75" s="396"/>
      <c r="G75" s="396"/>
      <c r="H75" s="396"/>
      <c r="I75" s="396"/>
      <c r="J75" s="396"/>
      <c r="K75" s="1386">
        <v>125823</v>
      </c>
      <c r="L75" s="396"/>
      <c r="M75" s="396" t="s">
        <v>752</v>
      </c>
      <c r="N75" s="396"/>
      <c r="O75" s="396"/>
      <c r="P75" s="396"/>
      <c r="Q75" s="259"/>
      <c r="R75" s="259"/>
      <c r="S75" s="259"/>
      <c r="T75" s="259"/>
      <c r="U75" s="259"/>
      <c r="V75" s="259"/>
      <c r="W75" s="259"/>
      <c r="X75" s="259"/>
      <c r="Y75" s="259"/>
      <c r="Z75" s="259"/>
      <c r="AA75" s="259"/>
      <c r="AB75" s="259"/>
      <c r="AC75" s="259"/>
      <c r="AD75" s="259"/>
      <c r="AE75" s="259"/>
      <c r="AF75" s="259"/>
      <c r="AG75" s="259"/>
      <c r="AH75" s="259"/>
      <c r="AI75" s="259"/>
      <c r="AJ75" s="259"/>
      <c r="AK75" s="259"/>
      <c r="AL75" s="259"/>
      <c r="AM75" s="259"/>
      <c r="AN75" s="259"/>
      <c r="AO75" s="259"/>
      <c r="AP75" s="259"/>
      <c r="AQ75" s="259"/>
      <c r="AR75" s="259"/>
      <c r="AS75" s="259"/>
    </row>
    <row r="76" spans="1:45" ht="23.25" customHeight="1" x14ac:dyDescent="0.25">
      <c r="A76" s="378"/>
      <c r="B76" s="396"/>
      <c r="C76" s="396"/>
      <c r="D76" s="396"/>
      <c r="E76" s="396"/>
      <c r="F76" s="396"/>
      <c r="G76" s="396"/>
      <c r="H76" s="396"/>
      <c r="I76" s="396"/>
      <c r="J76" s="396"/>
      <c r="K76" s="396"/>
      <c r="L76" s="1386"/>
      <c r="M76" s="396" t="s">
        <v>753</v>
      </c>
      <c r="N76" s="396"/>
      <c r="O76" s="396"/>
      <c r="P76" s="396"/>
      <c r="Q76" s="259"/>
      <c r="R76" s="259"/>
      <c r="S76" s="259"/>
      <c r="T76" s="259"/>
      <c r="U76" s="259"/>
      <c r="V76" s="259"/>
      <c r="W76" s="259"/>
      <c r="X76" s="259"/>
      <c r="Y76" s="259"/>
      <c r="Z76" s="259"/>
      <c r="AA76" s="259"/>
      <c r="AB76" s="259"/>
      <c r="AC76" s="259"/>
      <c r="AD76" s="259"/>
      <c r="AE76" s="259"/>
      <c r="AF76" s="259"/>
      <c r="AG76" s="259"/>
      <c r="AH76" s="259"/>
      <c r="AI76" s="259"/>
      <c r="AJ76" s="259"/>
      <c r="AK76" s="259"/>
      <c r="AL76" s="259"/>
      <c r="AM76" s="259"/>
      <c r="AN76" s="259"/>
      <c r="AO76" s="259"/>
      <c r="AP76" s="259"/>
      <c r="AQ76" s="259"/>
      <c r="AR76" s="259"/>
      <c r="AS76" s="259"/>
    </row>
    <row r="77" spans="1:45" x14ac:dyDescent="0.25">
      <c r="A77" s="378"/>
      <c r="B77" s="396"/>
      <c r="C77" s="396"/>
      <c r="D77" s="396"/>
      <c r="E77" s="396"/>
      <c r="F77" s="396"/>
      <c r="G77" s="396"/>
      <c r="H77" s="396"/>
      <c r="I77" s="396"/>
      <c r="J77" s="396"/>
      <c r="K77" s="396"/>
      <c r="L77" s="396"/>
      <c r="M77" s="396"/>
      <c r="N77" s="396"/>
      <c r="O77" s="396"/>
      <c r="P77" s="396"/>
      <c r="Q77" s="259"/>
      <c r="R77" s="259"/>
      <c r="S77" s="259"/>
      <c r="T77" s="259"/>
      <c r="U77" s="259"/>
      <c r="V77" s="259"/>
      <c r="W77" s="259"/>
      <c r="X77" s="259"/>
      <c r="Y77" s="259"/>
      <c r="Z77" s="259"/>
      <c r="AA77" s="259"/>
      <c r="AB77" s="259"/>
      <c r="AC77" s="259"/>
      <c r="AD77" s="259"/>
      <c r="AE77" s="259"/>
      <c r="AF77" s="259"/>
      <c r="AG77" s="259"/>
      <c r="AH77" s="259"/>
      <c r="AI77" s="259"/>
      <c r="AJ77" s="259"/>
      <c r="AK77" s="259"/>
      <c r="AL77" s="259"/>
      <c r="AM77" s="259"/>
      <c r="AN77" s="259"/>
      <c r="AO77" s="259"/>
      <c r="AP77" s="259"/>
      <c r="AQ77" s="259"/>
      <c r="AR77" s="259"/>
      <c r="AS77" s="259"/>
    </row>
    <row r="78" spans="1:45" x14ac:dyDescent="0.25">
      <c r="A78" s="378"/>
      <c r="B78" s="396" t="s">
        <v>755</v>
      </c>
      <c r="C78" s="396"/>
      <c r="D78" s="1386">
        <v>15168410</v>
      </c>
      <c r="E78" s="1386">
        <v>16389891</v>
      </c>
      <c r="F78" s="1386">
        <v>17738894</v>
      </c>
      <c r="G78" s="1386">
        <v>19259205</v>
      </c>
      <c r="H78" s="396"/>
      <c r="I78" s="396"/>
      <c r="J78" s="396"/>
      <c r="K78" s="396"/>
      <c r="L78" s="396"/>
      <c r="M78" s="396"/>
      <c r="N78" s="396"/>
      <c r="O78" s="396"/>
      <c r="P78" s="396"/>
      <c r="Q78" s="259"/>
      <c r="R78" s="259"/>
      <c r="S78" s="259"/>
      <c r="T78" s="259"/>
      <c r="U78" s="259"/>
      <c r="V78" s="259"/>
      <c r="W78" s="259"/>
      <c r="X78" s="259"/>
      <c r="Y78" s="259"/>
      <c r="Z78" s="259"/>
      <c r="AA78" s="259"/>
      <c r="AB78" s="259"/>
      <c r="AC78" s="259"/>
      <c r="AD78" s="259"/>
      <c r="AE78" s="259"/>
      <c r="AF78" s="259"/>
      <c r="AG78" s="259"/>
      <c r="AH78" s="259"/>
      <c r="AI78" s="259"/>
      <c r="AJ78" s="259"/>
      <c r="AK78" s="259"/>
      <c r="AL78" s="259"/>
      <c r="AM78" s="259"/>
      <c r="AN78" s="259"/>
      <c r="AO78" s="259"/>
      <c r="AP78" s="259"/>
      <c r="AQ78" s="259"/>
      <c r="AR78" s="259"/>
      <c r="AS78" s="259"/>
    </row>
    <row r="79" spans="1:45" x14ac:dyDescent="0.25">
      <c r="A79" s="378"/>
      <c r="B79" s="396"/>
      <c r="C79" s="396"/>
      <c r="D79" s="1386">
        <v>15168410</v>
      </c>
      <c r="E79" s="1386">
        <v>16389891</v>
      </c>
      <c r="F79" s="1386">
        <v>17738894</v>
      </c>
      <c r="G79" s="1386">
        <v>19259205</v>
      </c>
      <c r="H79" s="1386">
        <v>27423495</v>
      </c>
      <c r="I79" s="396"/>
      <c r="J79" s="396"/>
      <c r="K79" s="396"/>
      <c r="L79" s="396"/>
      <c r="M79" s="396"/>
      <c r="N79" s="396"/>
      <c r="O79" s="396"/>
      <c r="P79" s="396"/>
      <c r="Q79" s="259"/>
      <c r="R79" s="259"/>
      <c r="S79" s="259"/>
      <c r="T79" s="259"/>
      <c r="U79" s="259"/>
      <c r="V79" s="259"/>
      <c r="W79" s="259"/>
      <c r="X79" s="259"/>
      <c r="Y79" s="259"/>
      <c r="Z79" s="259"/>
      <c r="AA79" s="259"/>
      <c r="AB79" s="259"/>
      <c r="AC79" s="259"/>
      <c r="AD79" s="259"/>
      <c r="AE79" s="259"/>
      <c r="AF79" s="259"/>
      <c r="AG79" s="259"/>
      <c r="AH79" s="259"/>
      <c r="AI79" s="259"/>
      <c r="AJ79" s="259"/>
      <c r="AK79" s="259"/>
      <c r="AL79" s="259"/>
      <c r="AM79" s="259"/>
      <c r="AN79" s="259"/>
      <c r="AO79" s="259"/>
      <c r="AP79" s="259"/>
      <c r="AQ79" s="259"/>
      <c r="AR79" s="259"/>
      <c r="AS79" s="259"/>
    </row>
    <row r="80" spans="1:45" x14ac:dyDescent="0.25">
      <c r="A80" s="378"/>
      <c r="B80" s="396"/>
      <c r="C80" s="396"/>
      <c r="D80" s="1386">
        <v>15168410</v>
      </c>
      <c r="E80" s="1386">
        <v>16389891</v>
      </c>
      <c r="F80" s="1386">
        <v>17738894</v>
      </c>
      <c r="G80" s="1386">
        <v>19259205</v>
      </c>
      <c r="H80" s="1386">
        <v>21751043</v>
      </c>
      <c r="I80" s="1386">
        <v>22674811</v>
      </c>
      <c r="J80" s="1386">
        <v>23440616</v>
      </c>
      <c r="K80" s="396"/>
      <c r="L80" s="396"/>
      <c r="M80" s="396" t="s">
        <v>749</v>
      </c>
      <c r="N80" s="396"/>
      <c r="O80" s="396"/>
      <c r="P80" s="396"/>
      <c r="Q80" s="259"/>
      <c r="R80" s="259"/>
      <c r="S80" s="259"/>
      <c r="T80" s="259"/>
      <c r="U80" s="259"/>
      <c r="V80" s="259"/>
      <c r="W80" s="259"/>
      <c r="X80" s="259"/>
      <c r="Y80" s="259"/>
      <c r="Z80" s="259"/>
      <c r="AA80" s="259"/>
      <c r="AB80" s="259"/>
      <c r="AC80" s="259"/>
      <c r="AD80" s="259"/>
      <c r="AE80" s="259"/>
      <c r="AF80" s="259"/>
      <c r="AG80" s="259"/>
      <c r="AH80" s="259"/>
      <c r="AI80" s="259"/>
      <c r="AJ80" s="259"/>
      <c r="AK80" s="259"/>
      <c r="AL80" s="259"/>
      <c r="AM80" s="259"/>
      <c r="AN80" s="259"/>
      <c r="AO80" s="259"/>
      <c r="AP80" s="259"/>
      <c r="AQ80" s="259"/>
      <c r="AR80" s="259"/>
      <c r="AS80" s="259"/>
    </row>
    <row r="81" spans="1:45" x14ac:dyDescent="0.25">
      <c r="A81" s="378"/>
      <c r="B81" s="396"/>
      <c r="C81" s="396"/>
      <c r="D81" s="1386"/>
      <c r="E81" s="1386">
        <v>16389891</v>
      </c>
      <c r="F81" s="1386">
        <v>17738894</v>
      </c>
      <c r="G81" s="1386">
        <v>19259205</v>
      </c>
      <c r="H81" s="1386">
        <v>21751043</v>
      </c>
      <c r="I81" s="1386">
        <v>22674811</v>
      </c>
      <c r="J81" s="1386">
        <v>23440616</v>
      </c>
      <c r="K81" s="396"/>
      <c r="L81" s="396"/>
      <c r="M81" s="396" t="s">
        <v>751</v>
      </c>
      <c r="N81" s="396"/>
      <c r="O81" s="396"/>
      <c r="P81" s="396"/>
      <c r="Q81" s="259"/>
      <c r="R81" s="259"/>
      <c r="S81" s="259"/>
      <c r="T81" s="259"/>
      <c r="U81" s="259"/>
      <c r="V81" s="259"/>
      <c r="W81" s="259"/>
      <c r="X81" s="259"/>
      <c r="Y81" s="259"/>
      <c r="Z81" s="259"/>
      <c r="AA81" s="259"/>
      <c r="AB81" s="259"/>
      <c r="AC81" s="259"/>
      <c r="AD81" s="259"/>
      <c r="AE81" s="259"/>
      <c r="AF81" s="259"/>
      <c r="AG81" s="259"/>
      <c r="AH81" s="259"/>
      <c r="AI81" s="259"/>
      <c r="AJ81" s="259"/>
      <c r="AK81" s="259"/>
      <c r="AL81" s="259"/>
      <c r="AM81" s="259"/>
      <c r="AN81" s="259"/>
      <c r="AO81" s="259"/>
      <c r="AP81" s="259"/>
      <c r="AQ81" s="259"/>
      <c r="AR81" s="259"/>
      <c r="AS81" s="259"/>
    </row>
    <row r="82" spans="1:45" x14ac:dyDescent="0.25">
      <c r="A82" s="378"/>
      <c r="B82" s="396"/>
      <c r="C82" s="396"/>
      <c r="D82" s="396"/>
      <c r="E82" s="396"/>
      <c r="F82" s="396"/>
      <c r="G82" s="396"/>
      <c r="H82" s="396"/>
      <c r="I82" s="396"/>
      <c r="J82" s="396"/>
      <c r="K82" s="1386">
        <v>24341950</v>
      </c>
      <c r="L82" s="396"/>
      <c r="M82" s="396" t="s">
        <v>752</v>
      </c>
      <c r="N82" s="396"/>
      <c r="O82" s="396"/>
      <c r="P82" s="396"/>
      <c r="Q82" s="259"/>
      <c r="R82" s="259"/>
      <c r="S82" s="259"/>
      <c r="T82" s="259"/>
      <c r="U82" s="259"/>
      <c r="V82" s="259"/>
      <c r="W82" s="259"/>
      <c r="X82" s="259"/>
      <c r="Y82" s="259"/>
      <c r="Z82" s="259"/>
      <c r="AA82" s="259"/>
      <c r="AB82" s="259"/>
      <c r="AC82" s="259"/>
      <c r="AD82" s="259"/>
      <c r="AE82" s="259"/>
      <c r="AF82" s="259"/>
      <c r="AG82" s="259"/>
      <c r="AH82" s="259"/>
      <c r="AI82" s="259"/>
      <c r="AJ82" s="259"/>
      <c r="AK82" s="259"/>
      <c r="AL82" s="259"/>
      <c r="AM82" s="259"/>
      <c r="AN82" s="259"/>
      <c r="AO82" s="259"/>
      <c r="AP82" s="259"/>
      <c r="AQ82" s="259"/>
      <c r="AR82" s="259"/>
      <c r="AS82" s="259"/>
    </row>
    <row r="83" spans="1:45" x14ac:dyDescent="0.25">
      <c r="A83" s="378"/>
      <c r="B83" s="396"/>
      <c r="C83" s="396"/>
      <c r="D83" s="396"/>
      <c r="E83" s="396"/>
      <c r="F83" s="396"/>
      <c r="G83" s="396"/>
      <c r="H83" s="396"/>
      <c r="I83" s="396"/>
      <c r="J83" s="396"/>
      <c r="K83" s="396"/>
      <c r="L83" s="396"/>
      <c r="M83" s="396" t="s">
        <v>753</v>
      </c>
      <c r="N83" s="396"/>
      <c r="O83" s="396"/>
      <c r="P83" s="396"/>
      <c r="Q83" s="259"/>
      <c r="R83" s="259"/>
      <c r="S83" s="259"/>
      <c r="T83" s="259"/>
      <c r="U83" s="259"/>
      <c r="V83" s="259"/>
      <c r="W83" s="259"/>
      <c r="X83" s="259"/>
      <c r="Y83" s="259"/>
      <c r="Z83" s="259"/>
      <c r="AA83" s="259"/>
      <c r="AB83" s="259"/>
      <c r="AC83" s="259"/>
      <c r="AD83" s="259"/>
      <c r="AE83" s="259"/>
      <c r="AF83" s="259"/>
      <c r="AG83" s="259"/>
      <c r="AH83" s="259"/>
      <c r="AI83" s="259"/>
      <c r="AJ83" s="259"/>
      <c r="AK83" s="259"/>
      <c r="AL83" s="259"/>
      <c r="AM83" s="259"/>
      <c r="AN83" s="259"/>
      <c r="AO83" s="259"/>
      <c r="AP83" s="259"/>
      <c r="AQ83" s="259"/>
      <c r="AR83" s="259"/>
      <c r="AS83" s="259"/>
    </row>
    <row r="84" spans="1:45" x14ac:dyDescent="0.25">
      <c r="A84" s="378"/>
      <c r="B84" s="396"/>
      <c r="C84" s="396"/>
      <c r="D84" s="396"/>
      <c r="E84" s="396"/>
      <c r="F84" s="396"/>
      <c r="G84" s="396"/>
      <c r="H84" s="396"/>
      <c r="I84" s="396"/>
      <c r="J84" s="396"/>
      <c r="K84" s="396"/>
      <c r="L84" s="396"/>
      <c r="M84" s="396"/>
      <c r="N84" s="396"/>
      <c r="O84" s="396"/>
      <c r="P84" s="396"/>
      <c r="Q84" s="259"/>
      <c r="R84" s="259"/>
      <c r="S84" s="259"/>
      <c r="T84" s="259"/>
      <c r="U84" s="259"/>
      <c r="V84" s="259"/>
      <c r="W84" s="259"/>
      <c r="X84" s="259"/>
      <c r="Y84" s="259"/>
      <c r="Z84" s="259"/>
      <c r="AA84" s="259"/>
      <c r="AB84" s="259"/>
      <c r="AC84" s="259"/>
      <c r="AD84" s="259"/>
      <c r="AE84" s="259"/>
      <c r="AF84" s="259"/>
      <c r="AG84" s="259"/>
      <c r="AH84" s="259"/>
      <c r="AI84" s="259"/>
      <c r="AJ84" s="259"/>
      <c r="AK84" s="259"/>
      <c r="AL84" s="259"/>
      <c r="AM84" s="259"/>
      <c r="AN84" s="259"/>
      <c r="AO84" s="259"/>
      <c r="AP84" s="259"/>
      <c r="AQ84" s="259"/>
      <c r="AR84" s="259"/>
      <c r="AS84" s="259"/>
    </row>
    <row r="85" spans="1:45" x14ac:dyDescent="0.25">
      <c r="A85" s="378"/>
      <c r="B85" s="396"/>
      <c r="C85" s="396" t="s">
        <v>632</v>
      </c>
      <c r="D85" s="396" t="s">
        <v>582</v>
      </c>
      <c r="E85" s="396" t="s">
        <v>309</v>
      </c>
      <c r="F85" s="396"/>
      <c r="G85" s="396" t="s">
        <v>632</v>
      </c>
      <c r="H85" s="396" t="s">
        <v>778</v>
      </c>
      <c r="I85" s="396" t="s">
        <v>157</v>
      </c>
      <c r="J85" s="396"/>
      <c r="K85" s="396"/>
      <c r="L85" s="396"/>
      <c r="M85" s="396"/>
      <c r="N85" s="396"/>
      <c r="O85" s="396"/>
      <c r="P85" s="396"/>
      <c r="Q85" s="259"/>
      <c r="R85" s="259"/>
      <c r="S85" s="259"/>
      <c r="T85" s="259"/>
      <c r="U85" s="259"/>
      <c r="V85" s="259"/>
      <c r="W85" s="259"/>
      <c r="X85" s="259"/>
      <c r="Y85" s="259"/>
      <c r="Z85" s="259"/>
      <c r="AA85" s="259"/>
      <c r="AB85" s="259"/>
      <c r="AC85" s="259"/>
      <c r="AD85" s="259"/>
      <c r="AE85" s="259"/>
      <c r="AF85" s="259"/>
      <c r="AG85" s="259"/>
      <c r="AH85" s="259"/>
      <c r="AI85" s="259"/>
      <c r="AJ85" s="259"/>
      <c r="AK85" s="259"/>
      <c r="AL85" s="259"/>
      <c r="AM85" s="259"/>
      <c r="AN85" s="259"/>
      <c r="AO85" s="259"/>
      <c r="AP85" s="259"/>
      <c r="AQ85" s="259"/>
      <c r="AR85" s="259"/>
      <c r="AS85" s="259"/>
    </row>
    <row r="86" spans="1:45" ht="23.25" customHeight="1" x14ac:dyDescent="0.25">
      <c r="A86" s="378"/>
      <c r="B86" s="396"/>
      <c r="C86" s="396"/>
      <c r="D86" s="396"/>
      <c r="E86" s="396"/>
      <c r="F86" s="396"/>
      <c r="G86" s="396"/>
      <c r="H86" s="396"/>
      <c r="I86" s="396"/>
      <c r="J86" s="396"/>
      <c r="K86" s="396"/>
      <c r="L86" s="396"/>
      <c r="M86" s="396"/>
      <c r="N86" s="396"/>
      <c r="O86" s="396"/>
      <c r="P86" s="396"/>
      <c r="Q86" s="259"/>
      <c r="R86" s="259"/>
      <c r="S86" s="259"/>
      <c r="T86" s="259"/>
      <c r="U86" s="259"/>
      <c r="V86" s="259"/>
      <c r="W86" s="259"/>
      <c r="X86" s="259"/>
      <c r="Y86" s="259"/>
      <c r="Z86" s="259"/>
      <c r="AA86" s="259"/>
      <c r="AB86" s="259"/>
      <c r="AC86" s="259"/>
      <c r="AD86" s="259"/>
      <c r="AE86" s="259"/>
      <c r="AF86" s="259"/>
      <c r="AG86" s="259"/>
      <c r="AH86" s="259"/>
      <c r="AI86" s="259"/>
      <c r="AJ86" s="259"/>
      <c r="AK86" s="259"/>
      <c r="AL86" s="259"/>
      <c r="AM86" s="259"/>
      <c r="AN86" s="259"/>
      <c r="AO86" s="259"/>
      <c r="AP86" s="259"/>
      <c r="AQ86" s="259"/>
      <c r="AR86" s="259"/>
      <c r="AS86" s="259"/>
    </row>
    <row r="87" spans="1:45" x14ac:dyDescent="0.25">
      <c r="A87" s="378"/>
      <c r="B87" s="396"/>
      <c r="C87" s="396">
        <v>45624</v>
      </c>
      <c r="D87" s="396">
        <v>123983</v>
      </c>
      <c r="E87" s="396">
        <v>16389891</v>
      </c>
      <c r="F87" s="396"/>
      <c r="G87" s="396">
        <v>689</v>
      </c>
      <c r="H87" s="396">
        <v>1012</v>
      </c>
      <c r="I87" s="396">
        <v>164</v>
      </c>
      <c r="J87" s="396"/>
      <c r="K87" s="396"/>
      <c r="L87" s="396"/>
      <c r="M87" s="396"/>
      <c r="N87" s="396"/>
      <c r="O87" s="396"/>
      <c r="P87" s="396"/>
      <c r="Q87" s="259"/>
      <c r="R87" s="259"/>
      <c r="S87" s="259"/>
      <c r="T87" s="259"/>
      <c r="U87" s="259"/>
      <c r="V87" s="259"/>
      <c r="W87" s="259"/>
      <c r="X87" s="259"/>
      <c r="Y87" s="259"/>
      <c r="Z87" s="259"/>
      <c r="AA87" s="259"/>
      <c r="AB87" s="259"/>
      <c r="AC87" s="259"/>
      <c r="AD87" s="259"/>
      <c r="AE87" s="259"/>
      <c r="AF87" s="259"/>
      <c r="AG87" s="259"/>
      <c r="AH87" s="259"/>
      <c r="AI87" s="259"/>
      <c r="AJ87" s="259"/>
      <c r="AK87" s="259"/>
      <c r="AL87" s="259"/>
      <c r="AM87" s="259"/>
      <c r="AN87" s="259"/>
      <c r="AO87" s="259"/>
      <c r="AP87" s="259"/>
      <c r="AQ87" s="259"/>
      <c r="AR87" s="259"/>
      <c r="AS87" s="259"/>
    </row>
    <row r="88" spans="1:45" x14ac:dyDescent="0.25">
      <c r="A88" s="378"/>
      <c r="B88" s="396"/>
      <c r="C88" s="396">
        <v>41439</v>
      </c>
      <c r="D88" s="396">
        <v>120203</v>
      </c>
      <c r="E88" s="396">
        <v>17738894</v>
      </c>
      <c r="F88" s="396"/>
      <c r="G88" s="396">
        <v>673</v>
      </c>
      <c r="H88" s="396">
        <v>1012</v>
      </c>
      <c r="I88" s="396">
        <v>170</v>
      </c>
      <c r="J88" s="396"/>
      <c r="K88" s="396"/>
      <c r="L88" s="396"/>
      <c r="M88" s="396"/>
      <c r="N88" s="396"/>
      <c r="O88" s="396"/>
      <c r="P88" s="396"/>
      <c r="Q88" s="259"/>
      <c r="R88" s="259"/>
      <c r="S88" s="259"/>
      <c r="T88" s="259"/>
      <c r="U88" s="259"/>
      <c r="V88" s="259"/>
      <c r="W88" s="259"/>
      <c r="X88" s="259"/>
      <c r="Y88" s="259"/>
      <c r="Z88" s="259"/>
      <c r="AA88" s="259"/>
      <c r="AB88" s="259"/>
      <c r="AC88" s="259"/>
      <c r="AD88" s="259"/>
      <c r="AE88" s="259"/>
      <c r="AF88" s="259"/>
      <c r="AG88" s="259"/>
      <c r="AH88" s="259"/>
      <c r="AI88" s="259"/>
      <c r="AJ88" s="259"/>
      <c r="AK88" s="259"/>
      <c r="AL88" s="259"/>
      <c r="AM88" s="259"/>
      <c r="AN88" s="259"/>
      <c r="AO88" s="259"/>
      <c r="AP88" s="259"/>
      <c r="AQ88" s="259"/>
      <c r="AR88" s="259"/>
      <c r="AS88" s="259"/>
    </row>
    <row r="89" spans="1:45" x14ac:dyDescent="0.25">
      <c r="A89" s="396"/>
      <c r="B89" s="396"/>
      <c r="C89" s="396">
        <v>38408</v>
      </c>
      <c r="D89" s="396">
        <v>115560</v>
      </c>
      <c r="E89" s="396">
        <v>19259205</v>
      </c>
      <c r="F89" s="396"/>
      <c r="G89" s="396">
        <v>656</v>
      </c>
      <c r="H89" s="396">
        <v>1012</v>
      </c>
      <c r="I89" s="396">
        <v>167</v>
      </c>
      <c r="J89" s="396"/>
      <c r="K89" s="396"/>
      <c r="L89" s="396"/>
      <c r="M89" s="396"/>
      <c r="N89" s="396"/>
      <c r="O89" s="396"/>
      <c r="P89" s="396"/>
      <c r="Q89" s="396"/>
      <c r="R89" s="396"/>
      <c r="S89" s="259"/>
      <c r="T89" s="259"/>
      <c r="U89" s="259"/>
      <c r="V89" s="259"/>
      <c r="W89" s="259"/>
      <c r="X89" s="259"/>
      <c r="Y89" s="259"/>
      <c r="Z89" s="259"/>
      <c r="AA89" s="259"/>
      <c r="AB89" s="259"/>
      <c r="AC89" s="259"/>
      <c r="AD89" s="259"/>
      <c r="AE89" s="259"/>
      <c r="AF89" s="259"/>
      <c r="AG89" s="259"/>
      <c r="AH89" s="259"/>
      <c r="AI89" s="259"/>
      <c r="AJ89" s="259"/>
      <c r="AK89" s="259"/>
      <c r="AL89" s="259"/>
      <c r="AM89" s="259"/>
      <c r="AN89" s="259"/>
      <c r="AO89" s="259"/>
      <c r="AP89" s="259"/>
      <c r="AQ89" s="259"/>
      <c r="AR89" s="259"/>
      <c r="AS89" s="259"/>
    </row>
    <row r="90" spans="1:45" x14ac:dyDescent="0.25">
      <c r="A90" s="396"/>
      <c r="B90" s="396"/>
      <c r="C90" s="396">
        <v>33993</v>
      </c>
      <c r="D90" s="396">
        <v>112475</v>
      </c>
      <c r="E90" s="396">
        <v>21751043</v>
      </c>
      <c r="F90" s="396"/>
      <c r="G90" s="396">
        <v>1141</v>
      </c>
      <c r="H90" s="396">
        <v>1364</v>
      </c>
      <c r="I90" s="396">
        <v>153</v>
      </c>
      <c r="J90" s="396"/>
      <c r="K90" s="396"/>
      <c r="L90" s="396"/>
      <c r="M90" s="396"/>
      <c r="N90" s="396"/>
      <c r="O90" s="396"/>
      <c r="P90" s="396"/>
      <c r="Q90" s="396"/>
      <c r="R90" s="396"/>
      <c r="S90" s="259"/>
      <c r="T90" s="259"/>
      <c r="U90" s="259"/>
      <c r="V90" s="259"/>
      <c r="W90" s="259"/>
      <c r="X90" s="259"/>
      <c r="Y90" s="259"/>
      <c r="Z90" s="259"/>
      <c r="AA90" s="259"/>
      <c r="AB90" s="259"/>
      <c r="AC90" s="259"/>
      <c r="AD90" s="259"/>
      <c r="AE90" s="259"/>
      <c r="AF90" s="259"/>
      <c r="AG90" s="259"/>
      <c r="AH90" s="259"/>
      <c r="AI90" s="259"/>
      <c r="AJ90" s="259"/>
      <c r="AK90" s="259"/>
      <c r="AL90" s="259"/>
      <c r="AM90" s="259"/>
      <c r="AN90" s="259"/>
      <c r="AO90" s="259"/>
      <c r="AP90" s="259"/>
      <c r="AQ90" s="259"/>
      <c r="AR90" s="259"/>
      <c r="AS90" s="259"/>
    </row>
    <row r="91" spans="1:45" x14ac:dyDescent="0.25">
      <c r="A91" s="396"/>
      <c r="B91" s="396"/>
      <c r="C91" s="396">
        <v>25792</v>
      </c>
      <c r="D91" s="396">
        <v>109636</v>
      </c>
      <c r="E91" s="396">
        <v>22674811</v>
      </c>
      <c r="F91" s="396"/>
      <c r="G91" s="396">
        <v>1133</v>
      </c>
      <c r="H91" s="396">
        <v>1319</v>
      </c>
      <c r="I91" s="396">
        <v>157</v>
      </c>
      <c r="J91" s="396"/>
      <c r="K91" s="396"/>
      <c r="L91" s="396"/>
      <c r="M91" s="396"/>
      <c r="N91" s="396"/>
      <c r="O91" s="396"/>
      <c r="P91" s="396"/>
      <c r="Q91" s="396"/>
      <c r="R91" s="396"/>
      <c r="S91" s="259"/>
      <c r="T91" s="259"/>
      <c r="U91" s="259"/>
      <c r="V91" s="259"/>
      <c r="W91" s="259"/>
      <c r="X91" s="259"/>
      <c r="Y91" s="259"/>
      <c r="Z91" s="259"/>
      <c r="AA91" s="259"/>
      <c r="AB91" s="259"/>
      <c r="AC91" s="259"/>
      <c r="AD91" s="259"/>
      <c r="AE91" s="259"/>
      <c r="AF91" s="259"/>
      <c r="AG91" s="259"/>
      <c r="AH91" s="259"/>
      <c r="AI91" s="259"/>
      <c r="AJ91" s="259"/>
      <c r="AK91" s="259"/>
      <c r="AL91" s="259"/>
      <c r="AM91" s="259"/>
      <c r="AN91" s="259"/>
      <c r="AO91" s="259"/>
      <c r="AP91" s="259"/>
      <c r="AQ91" s="259"/>
      <c r="AR91" s="259"/>
      <c r="AS91" s="259"/>
    </row>
    <row r="92" spans="1:45" x14ac:dyDescent="0.25">
      <c r="A92" s="396"/>
      <c r="B92" s="396"/>
      <c r="C92" s="396">
        <v>28143</v>
      </c>
      <c r="D92" s="396">
        <v>121610</v>
      </c>
      <c r="E92" s="396">
        <v>23440616</v>
      </c>
      <c r="F92" s="396"/>
      <c r="G92" s="396">
        <v>1195</v>
      </c>
      <c r="H92" s="396">
        <v>1365</v>
      </c>
      <c r="I92" s="396">
        <v>161</v>
      </c>
      <c r="J92" s="396"/>
      <c r="K92" s="396"/>
      <c r="L92" s="396"/>
      <c r="M92" s="396"/>
      <c r="N92" s="396"/>
      <c r="O92" s="396"/>
      <c r="P92" s="396"/>
      <c r="Q92" s="396"/>
      <c r="R92" s="396"/>
      <c r="S92" s="259"/>
      <c r="T92" s="259"/>
      <c r="U92" s="259"/>
      <c r="V92" s="259"/>
      <c r="W92" s="259"/>
      <c r="X92" s="259"/>
      <c r="Y92" s="259"/>
      <c r="Z92" s="259"/>
      <c r="AA92" s="259"/>
      <c r="AB92" s="259"/>
      <c r="AC92" s="259"/>
      <c r="AD92" s="259"/>
      <c r="AE92" s="259"/>
      <c r="AF92" s="259"/>
      <c r="AG92" s="259"/>
      <c r="AH92" s="259"/>
      <c r="AI92" s="259"/>
      <c r="AJ92" s="259"/>
      <c r="AK92" s="259"/>
      <c r="AL92" s="259"/>
      <c r="AM92" s="259"/>
      <c r="AN92" s="259"/>
      <c r="AO92" s="259"/>
      <c r="AP92" s="259"/>
      <c r="AQ92" s="259"/>
      <c r="AR92" s="259"/>
      <c r="AS92" s="259"/>
    </row>
    <row r="93" spans="1:45" x14ac:dyDescent="0.25">
      <c r="A93" s="396"/>
      <c r="B93" s="396"/>
      <c r="C93" s="396">
        <v>30714</v>
      </c>
      <c r="D93" s="396">
        <v>125823</v>
      </c>
      <c r="E93" s="396">
        <v>24341950</v>
      </c>
      <c r="F93" s="396"/>
      <c r="G93" s="396">
        <v>1297</v>
      </c>
      <c r="H93" s="396">
        <v>1445</v>
      </c>
      <c r="I93" s="396">
        <v>159</v>
      </c>
      <c r="J93" s="396"/>
      <c r="K93" s="396"/>
      <c r="L93" s="396"/>
      <c r="M93" s="396"/>
      <c r="N93" s="396"/>
      <c r="O93" s="396"/>
      <c r="P93" s="396"/>
      <c r="Q93" s="396"/>
      <c r="R93" s="396"/>
      <c r="S93" s="259"/>
      <c r="T93" s="259"/>
      <c r="U93" s="259"/>
      <c r="V93" s="259"/>
      <c r="W93" s="259"/>
      <c r="X93" s="259"/>
      <c r="Y93" s="259"/>
      <c r="Z93" s="259"/>
      <c r="AA93" s="259"/>
      <c r="AB93" s="259"/>
      <c r="AC93" s="259"/>
      <c r="AD93" s="259"/>
      <c r="AE93" s="259"/>
      <c r="AF93" s="259"/>
      <c r="AG93" s="259"/>
      <c r="AH93" s="259"/>
      <c r="AI93" s="259"/>
      <c r="AJ93" s="259"/>
      <c r="AK93" s="259"/>
      <c r="AL93" s="259"/>
      <c r="AM93" s="259"/>
      <c r="AN93" s="259"/>
      <c r="AO93" s="259"/>
      <c r="AP93" s="259"/>
      <c r="AQ93" s="259"/>
      <c r="AR93" s="259"/>
      <c r="AS93" s="259"/>
    </row>
    <row r="94" spans="1:45" x14ac:dyDescent="0.25">
      <c r="A94" s="396"/>
      <c r="B94" s="396"/>
      <c r="C94" s="396">
        <v>30882</v>
      </c>
      <c r="D94" s="396">
        <v>130654</v>
      </c>
      <c r="E94" s="1386">
        <v>222985622</v>
      </c>
      <c r="F94" s="396"/>
      <c r="G94" s="396">
        <v>1318</v>
      </c>
      <c r="H94" s="396">
        <v>1489</v>
      </c>
      <c r="I94" s="396">
        <v>27</v>
      </c>
      <c r="J94" s="396"/>
      <c r="K94" s="396"/>
      <c r="L94" s="396"/>
      <c r="M94" s="396"/>
      <c r="N94" s="396"/>
      <c r="O94" s="396"/>
      <c r="P94" s="396"/>
      <c r="Q94" s="396"/>
      <c r="R94" s="396"/>
      <c r="S94" s="259"/>
      <c r="T94" s="259"/>
      <c r="U94" s="259"/>
      <c r="V94" s="259"/>
      <c r="W94" s="259"/>
      <c r="X94" s="259"/>
      <c r="Y94" s="259"/>
      <c r="Z94" s="259"/>
      <c r="AA94" s="259"/>
      <c r="AB94" s="259"/>
      <c r="AC94" s="259"/>
      <c r="AD94" s="259"/>
      <c r="AE94" s="259"/>
      <c r="AF94" s="259"/>
      <c r="AG94" s="259"/>
      <c r="AH94" s="259"/>
      <c r="AI94" s="259"/>
      <c r="AJ94" s="259"/>
      <c r="AK94" s="259"/>
      <c r="AL94" s="259"/>
      <c r="AM94" s="259"/>
      <c r="AN94" s="259"/>
      <c r="AO94" s="259"/>
      <c r="AP94" s="259"/>
      <c r="AQ94" s="259"/>
      <c r="AR94" s="259"/>
      <c r="AS94" s="259"/>
    </row>
    <row r="95" spans="1:45" x14ac:dyDescent="0.25">
      <c r="A95" s="396"/>
      <c r="B95" s="396"/>
      <c r="C95" s="396"/>
      <c r="D95" s="396"/>
      <c r="E95" s="396"/>
      <c r="F95" s="396"/>
      <c r="G95" s="396"/>
      <c r="H95" s="396"/>
      <c r="I95" s="396"/>
      <c r="J95" s="396"/>
      <c r="K95" s="396"/>
      <c r="L95" s="396"/>
      <c r="M95" s="396"/>
      <c r="N95" s="396"/>
      <c r="O95" s="396"/>
      <c r="P95" s="396"/>
      <c r="Q95" s="259"/>
      <c r="R95" s="259"/>
      <c r="S95" s="259"/>
      <c r="T95" s="259"/>
      <c r="U95" s="259"/>
      <c r="V95" s="259"/>
      <c r="W95" s="259"/>
      <c r="X95" s="259"/>
      <c r="Y95" s="259"/>
      <c r="Z95" s="259"/>
      <c r="AA95" s="259"/>
      <c r="AB95" s="259"/>
      <c r="AC95" s="259"/>
      <c r="AD95" s="259"/>
      <c r="AE95" s="259"/>
      <c r="AF95" s="259"/>
      <c r="AG95" s="259"/>
      <c r="AH95" s="259"/>
      <c r="AI95" s="259"/>
      <c r="AJ95" s="259"/>
      <c r="AK95" s="259"/>
      <c r="AL95" s="259"/>
      <c r="AM95" s="259"/>
      <c r="AN95" s="259"/>
      <c r="AO95" s="259"/>
      <c r="AP95" s="259"/>
      <c r="AQ95" s="259"/>
      <c r="AR95" s="259"/>
      <c r="AS95" s="259"/>
    </row>
    <row r="96" spans="1:45" ht="23.25" customHeight="1" x14ac:dyDescent="0.25">
      <c r="A96" s="396"/>
      <c r="B96" s="396"/>
      <c r="C96" s="396"/>
      <c r="D96" s="396"/>
      <c r="E96" s="396"/>
      <c r="F96" s="396"/>
      <c r="G96" s="396"/>
      <c r="H96" s="396"/>
      <c r="I96" s="396"/>
      <c r="J96" s="396"/>
      <c r="K96" s="396"/>
      <c r="L96" s="396"/>
      <c r="M96" s="396"/>
      <c r="N96" s="396"/>
      <c r="O96" s="396"/>
      <c r="P96" s="396"/>
      <c r="Q96" s="259"/>
      <c r="R96" s="259"/>
      <c r="S96" s="259"/>
      <c r="T96" s="259"/>
      <c r="U96" s="259"/>
      <c r="V96" s="259"/>
      <c r="W96" s="259"/>
      <c r="X96" s="259"/>
      <c r="Y96" s="259"/>
      <c r="Z96" s="259"/>
      <c r="AA96" s="259"/>
      <c r="AB96" s="259"/>
      <c r="AC96" s="259"/>
      <c r="AD96" s="259"/>
      <c r="AE96" s="259"/>
      <c r="AF96" s="259"/>
      <c r="AG96" s="259"/>
      <c r="AH96" s="259"/>
      <c r="AI96" s="259"/>
      <c r="AJ96" s="259"/>
      <c r="AK96" s="259"/>
      <c r="AL96" s="259"/>
      <c r="AM96" s="259"/>
      <c r="AN96" s="259"/>
      <c r="AO96" s="259"/>
      <c r="AP96" s="259"/>
      <c r="AQ96" s="259"/>
      <c r="AR96" s="259"/>
      <c r="AS96" s="259"/>
    </row>
    <row r="97" spans="1:45" x14ac:dyDescent="0.25">
      <c r="A97" s="396"/>
      <c r="B97" s="396"/>
      <c r="C97" s="396"/>
      <c r="D97" s="396"/>
      <c r="E97" s="396"/>
      <c r="F97" s="396"/>
      <c r="G97" s="396"/>
      <c r="H97" s="396"/>
      <c r="I97" s="396"/>
      <c r="J97" s="396"/>
      <c r="K97" s="396"/>
      <c r="L97" s="396"/>
      <c r="M97" s="396"/>
      <c r="N97" s="396"/>
      <c r="O97" s="396"/>
      <c r="P97" s="396"/>
      <c r="Q97" s="259"/>
      <c r="R97" s="259"/>
      <c r="S97" s="259"/>
      <c r="T97" s="259"/>
      <c r="U97" s="259"/>
      <c r="V97" s="259"/>
      <c r="W97" s="259"/>
      <c r="X97" s="259"/>
      <c r="Y97" s="259"/>
      <c r="Z97" s="259"/>
      <c r="AA97" s="259"/>
      <c r="AB97" s="259"/>
      <c r="AC97" s="259"/>
      <c r="AD97" s="259"/>
      <c r="AE97" s="259"/>
      <c r="AF97" s="259"/>
      <c r="AG97" s="259"/>
      <c r="AH97" s="259"/>
      <c r="AI97" s="259"/>
      <c r="AJ97" s="259"/>
      <c r="AK97" s="259"/>
      <c r="AL97" s="259"/>
      <c r="AM97" s="259"/>
      <c r="AN97" s="259"/>
      <c r="AO97" s="259"/>
      <c r="AP97" s="259"/>
      <c r="AQ97" s="259"/>
      <c r="AR97" s="259"/>
      <c r="AS97" s="259"/>
    </row>
    <row r="98" spans="1:45" x14ac:dyDescent="0.25">
      <c r="A98" s="396"/>
      <c r="B98" s="396"/>
      <c r="C98" s="396"/>
      <c r="D98" s="396"/>
      <c r="E98" s="396"/>
      <c r="F98" s="396"/>
      <c r="G98" s="396"/>
      <c r="H98" s="396"/>
      <c r="I98" s="396"/>
      <c r="J98" s="396"/>
      <c r="K98" s="396"/>
      <c r="L98" s="396"/>
      <c r="M98" s="396"/>
      <c r="N98" s="396"/>
      <c r="O98" s="396"/>
      <c r="P98" s="396"/>
      <c r="Q98" s="259"/>
      <c r="R98" s="259"/>
      <c r="S98" s="259"/>
      <c r="T98" s="259"/>
      <c r="U98" s="259"/>
      <c r="V98" s="259"/>
      <c r="W98" s="259"/>
      <c r="X98" s="259"/>
      <c r="Y98" s="259"/>
      <c r="Z98" s="259"/>
      <c r="AA98" s="259"/>
      <c r="AB98" s="259"/>
      <c r="AC98" s="259"/>
      <c r="AD98" s="259"/>
      <c r="AE98" s="259"/>
      <c r="AF98" s="259"/>
      <c r="AG98" s="259"/>
      <c r="AH98" s="259"/>
      <c r="AI98" s="259"/>
      <c r="AJ98" s="259"/>
      <c r="AK98" s="259"/>
      <c r="AL98" s="259"/>
      <c r="AM98" s="259"/>
      <c r="AN98" s="259"/>
      <c r="AO98" s="259"/>
      <c r="AP98" s="259"/>
      <c r="AQ98" s="259"/>
      <c r="AR98" s="259"/>
      <c r="AS98" s="259"/>
    </row>
    <row r="99" spans="1:45" x14ac:dyDescent="0.25">
      <c r="A99" s="396"/>
      <c r="B99" s="396"/>
      <c r="C99" s="396"/>
      <c r="D99" s="396"/>
      <c r="E99" s="396"/>
      <c r="F99" s="396"/>
      <c r="G99" s="396"/>
      <c r="H99" s="396"/>
      <c r="I99" s="396"/>
      <c r="J99" s="396"/>
      <c r="K99" s="396"/>
      <c r="L99" s="396"/>
      <c r="M99" s="396"/>
      <c r="N99" s="396"/>
      <c r="O99" s="396"/>
      <c r="P99" s="396"/>
      <c r="Q99" s="259"/>
      <c r="R99" s="259"/>
      <c r="S99" s="259"/>
      <c r="T99" s="259"/>
      <c r="U99" s="259"/>
      <c r="V99" s="259"/>
      <c r="W99" s="259"/>
      <c r="X99" s="259"/>
      <c r="Y99" s="259"/>
      <c r="Z99" s="259"/>
      <c r="AA99" s="259"/>
      <c r="AB99" s="259"/>
      <c r="AC99" s="259"/>
      <c r="AD99" s="259"/>
      <c r="AE99" s="259"/>
      <c r="AF99" s="259"/>
      <c r="AG99" s="259"/>
      <c r="AH99" s="259"/>
      <c r="AI99" s="259"/>
      <c r="AJ99" s="259"/>
      <c r="AK99" s="259"/>
      <c r="AL99" s="259"/>
      <c r="AM99" s="259"/>
      <c r="AN99" s="259"/>
      <c r="AO99" s="259"/>
      <c r="AP99" s="259"/>
      <c r="AQ99" s="259"/>
      <c r="AR99" s="259"/>
      <c r="AS99" s="259"/>
    </row>
    <row r="100" spans="1:45" x14ac:dyDescent="0.25">
      <c r="A100" s="396"/>
      <c r="B100" s="396"/>
      <c r="C100" s="396"/>
      <c r="D100" s="396"/>
      <c r="E100" s="396"/>
      <c r="F100" s="396"/>
      <c r="G100" s="396"/>
      <c r="H100" s="396"/>
      <c r="I100" s="396"/>
      <c r="J100" s="396"/>
      <c r="K100" s="396"/>
      <c r="L100" s="396"/>
      <c r="M100" s="396"/>
      <c r="N100" s="396"/>
      <c r="O100" s="396"/>
      <c r="P100" s="396"/>
      <c r="Q100" s="259"/>
      <c r="R100" s="259"/>
      <c r="S100" s="259"/>
      <c r="T100" s="259"/>
      <c r="U100" s="259"/>
      <c r="V100" s="259"/>
      <c r="W100" s="259"/>
      <c r="X100" s="259"/>
      <c r="Y100" s="259"/>
      <c r="Z100" s="259"/>
      <c r="AA100" s="259"/>
      <c r="AB100" s="259"/>
      <c r="AC100" s="259"/>
      <c r="AD100" s="259"/>
      <c r="AE100" s="259"/>
      <c r="AF100" s="259"/>
      <c r="AG100" s="259"/>
      <c r="AH100" s="259"/>
      <c r="AI100" s="259"/>
      <c r="AJ100" s="259"/>
      <c r="AK100" s="259"/>
      <c r="AL100" s="259"/>
      <c r="AM100" s="259"/>
      <c r="AN100" s="259"/>
      <c r="AO100" s="259"/>
      <c r="AP100" s="259"/>
      <c r="AQ100" s="259"/>
      <c r="AR100" s="259"/>
      <c r="AS100" s="259"/>
    </row>
    <row r="101" spans="1:45" x14ac:dyDescent="0.25">
      <c r="A101" s="396"/>
      <c r="B101" s="396"/>
      <c r="C101" s="396"/>
      <c r="D101" s="396"/>
      <c r="E101" s="396"/>
      <c r="F101" s="396"/>
      <c r="G101" s="396"/>
      <c r="H101" s="396"/>
      <c r="I101" s="396"/>
      <c r="J101" s="396"/>
      <c r="K101" s="396"/>
      <c r="L101" s="396"/>
      <c r="M101" s="396"/>
      <c r="N101" s="396"/>
      <c r="O101" s="396"/>
      <c r="P101" s="396"/>
      <c r="Q101" s="259"/>
      <c r="R101" s="259"/>
      <c r="S101" s="259"/>
      <c r="T101" s="259"/>
      <c r="U101" s="259"/>
      <c r="V101" s="259"/>
      <c r="W101" s="259"/>
      <c r="X101" s="259"/>
      <c r="Y101" s="259"/>
      <c r="Z101" s="259"/>
      <c r="AA101" s="259"/>
      <c r="AB101" s="259"/>
      <c r="AC101" s="259"/>
      <c r="AD101" s="259"/>
      <c r="AE101" s="259"/>
      <c r="AF101" s="259"/>
      <c r="AG101" s="259"/>
      <c r="AH101" s="259"/>
      <c r="AI101" s="259"/>
      <c r="AJ101" s="259"/>
      <c r="AK101" s="259"/>
      <c r="AL101" s="259"/>
      <c r="AM101" s="259"/>
      <c r="AN101" s="259"/>
      <c r="AO101" s="259"/>
      <c r="AP101" s="259"/>
      <c r="AQ101" s="259"/>
      <c r="AR101" s="259"/>
      <c r="AS101" s="259"/>
    </row>
    <row r="102" spans="1:45" x14ac:dyDescent="0.25">
      <c r="A102" s="396"/>
      <c r="B102" s="396"/>
      <c r="C102" s="396"/>
      <c r="D102" s="396"/>
      <c r="E102" s="396"/>
      <c r="F102" s="396"/>
      <c r="G102" s="396"/>
      <c r="H102" s="396"/>
      <c r="I102" s="396"/>
      <c r="J102" s="396"/>
      <c r="K102" s="396"/>
      <c r="L102" s="396"/>
      <c r="M102" s="396"/>
      <c r="N102" s="396"/>
      <c r="O102" s="396"/>
      <c r="P102" s="396"/>
      <c r="Q102" s="259"/>
      <c r="R102" s="259"/>
      <c r="S102" s="259"/>
      <c r="T102" s="259"/>
      <c r="U102" s="259"/>
      <c r="V102" s="259"/>
      <c r="W102" s="259"/>
      <c r="X102" s="259"/>
      <c r="Y102" s="259"/>
      <c r="Z102" s="259"/>
      <c r="AA102" s="259"/>
      <c r="AB102" s="259"/>
      <c r="AC102" s="259"/>
      <c r="AD102" s="259"/>
      <c r="AE102" s="259"/>
      <c r="AF102" s="259"/>
      <c r="AG102" s="259"/>
      <c r="AH102" s="259"/>
      <c r="AI102" s="259"/>
      <c r="AJ102" s="259"/>
      <c r="AK102" s="259"/>
      <c r="AL102" s="259"/>
      <c r="AM102" s="259"/>
      <c r="AN102" s="259"/>
      <c r="AO102" s="259"/>
      <c r="AP102" s="259"/>
      <c r="AQ102" s="259"/>
      <c r="AR102" s="259"/>
      <c r="AS102" s="259"/>
    </row>
    <row r="103" spans="1:45" x14ac:dyDescent="0.25">
      <c r="A103" s="396"/>
      <c r="B103" s="396"/>
      <c r="C103" s="396"/>
      <c r="D103" s="396"/>
      <c r="E103" s="396"/>
      <c r="F103" s="396"/>
      <c r="G103" s="396"/>
      <c r="H103" s="396"/>
      <c r="I103" s="396"/>
      <c r="J103" s="396"/>
      <c r="K103" s="396"/>
      <c r="L103" s="396"/>
      <c r="M103" s="396"/>
      <c r="N103" s="396"/>
      <c r="O103" s="396"/>
      <c r="P103" s="396"/>
      <c r="Q103" s="259"/>
      <c r="R103" s="259"/>
      <c r="S103" s="259"/>
      <c r="T103" s="259"/>
      <c r="U103" s="259"/>
      <c r="V103" s="259"/>
      <c r="W103" s="259"/>
      <c r="X103" s="259"/>
      <c r="Y103" s="259"/>
      <c r="Z103" s="259"/>
      <c r="AA103" s="259"/>
      <c r="AB103" s="259"/>
      <c r="AC103" s="259"/>
      <c r="AD103" s="259"/>
      <c r="AE103" s="259"/>
      <c r="AF103" s="259"/>
      <c r="AG103" s="259"/>
      <c r="AH103" s="259"/>
      <c r="AI103" s="259"/>
      <c r="AJ103" s="259"/>
      <c r="AK103" s="259"/>
      <c r="AL103" s="259"/>
      <c r="AM103" s="259"/>
      <c r="AN103" s="259"/>
      <c r="AO103" s="259"/>
      <c r="AP103" s="259"/>
      <c r="AQ103" s="259"/>
      <c r="AR103" s="259"/>
      <c r="AS103" s="259"/>
    </row>
    <row r="104" spans="1:45" x14ac:dyDescent="0.25">
      <c r="A104" s="396"/>
      <c r="B104" s="396"/>
      <c r="C104" s="396"/>
      <c r="D104" s="396"/>
      <c r="E104" s="396"/>
      <c r="F104" s="396"/>
      <c r="G104" s="396"/>
      <c r="H104" s="396"/>
      <c r="I104" s="396"/>
      <c r="J104" s="396"/>
      <c r="K104" s="396"/>
      <c r="L104" s="396"/>
      <c r="M104" s="396"/>
      <c r="N104" s="396"/>
      <c r="O104" s="396"/>
      <c r="P104" s="396"/>
      <c r="Q104" s="259"/>
      <c r="R104" s="259"/>
      <c r="S104" s="259"/>
      <c r="T104" s="259"/>
      <c r="U104" s="259"/>
      <c r="V104" s="259"/>
      <c r="W104" s="259"/>
      <c r="X104" s="259"/>
      <c r="Y104" s="259"/>
      <c r="Z104" s="259"/>
      <c r="AA104" s="259"/>
      <c r="AB104" s="259"/>
      <c r="AC104" s="259"/>
      <c r="AD104" s="259"/>
      <c r="AE104" s="259"/>
      <c r="AF104" s="259"/>
      <c r="AG104" s="259"/>
      <c r="AH104" s="259"/>
      <c r="AI104" s="259"/>
      <c r="AJ104" s="259"/>
      <c r="AK104" s="259"/>
      <c r="AL104" s="259"/>
      <c r="AM104" s="259"/>
      <c r="AN104" s="259"/>
      <c r="AO104" s="259"/>
      <c r="AP104" s="259"/>
      <c r="AQ104" s="259"/>
      <c r="AR104" s="259"/>
      <c r="AS104" s="259"/>
    </row>
    <row r="105" spans="1:45" x14ac:dyDescent="0.25">
      <c r="A105" s="396"/>
      <c r="B105" s="396"/>
      <c r="C105" s="396" t="s">
        <v>764</v>
      </c>
      <c r="D105" s="396" t="s">
        <v>765</v>
      </c>
      <c r="E105" s="396" t="s">
        <v>766</v>
      </c>
      <c r="F105" s="396"/>
      <c r="G105" s="396"/>
      <c r="H105" s="396"/>
      <c r="I105" s="396"/>
      <c r="J105" s="396"/>
      <c r="K105" s="396"/>
      <c r="L105" s="396"/>
      <c r="M105" s="396"/>
      <c r="N105" s="396"/>
      <c r="O105" s="396"/>
      <c r="P105" s="396"/>
      <c r="Q105" s="259"/>
      <c r="R105" s="259"/>
      <c r="S105" s="259"/>
      <c r="T105" s="259"/>
      <c r="U105" s="259"/>
      <c r="V105" s="259"/>
      <c r="W105" s="259"/>
      <c r="X105" s="259"/>
      <c r="Y105" s="259"/>
      <c r="Z105" s="259"/>
      <c r="AA105" s="259"/>
      <c r="AB105" s="259"/>
      <c r="AC105" s="259"/>
      <c r="AD105" s="259"/>
      <c r="AE105" s="259"/>
      <c r="AF105" s="259"/>
      <c r="AG105" s="259"/>
      <c r="AH105" s="259"/>
      <c r="AI105" s="259"/>
      <c r="AJ105" s="259"/>
      <c r="AK105" s="259"/>
      <c r="AL105" s="259"/>
      <c r="AM105" s="259"/>
      <c r="AN105" s="259"/>
      <c r="AO105" s="259"/>
      <c r="AP105" s="259"/>
      <c r="AQ105" s="259"/>
      <c r="AR105" s="259"/>
      <c r="AS105" s="259"/>
    </row>
    <row r="106" spans="1:45" x14ac:dyDescent="0.25">
      <c r="A106" s="396"/>
      <c r="B106" s="396"/>
      <c r="C106" s="396" t="s">
        <v>767</v>
      </c>
      <c r="D106" s="396" t="s">
        <v>768</v>
      </c>
      <c r="E106" s="396" t="s">
        <v>769</v>
      </c>
      <c r="F106" s="396" t="s">
        <v>770</v>
      </c>
      <c r="G106" s="396"/>
      <c r="H106" s="396"/>
      <c r="I106" s="396"/>
      <c r="J106" s="396"/>
      <c r="K106" s="396"/>
      <c r="L106" s="396"/>
      <c r="M106" s="396"/>
      <c r="N106" s="396"/>
      <c r="O106" s="396"/>
      <c r="P106" s="396"/>
      <c r="Q106" s="259"/>
      <c r="R106" s="259"/>
      <c r="S106" s="259"/>
      <c r="T106" s="259"/>
      <c r="U106" s="259"/>
      <c r="V106" s="259"/>
      <c r="W106" s="259"/>
      <c r="X106" s="259"/>
      <c r="Y106" s="259"/>
      <c r="Z106" s="259"/>
      <c r="AA106" s="259"/>
      <c r="AB106" s="259"/>
      <c r="AC106" s="259"/>
      <c r="AD106" s="259"/>
      <c r="AE106" s="259"/>
      <c r="AF106" s="259"/>
      <c r="AG106" s="259"/>
      <c r="AH106" s="259"/>
      <c r="AI106" s="259"/>
      <c r="AJ106" s="259"/>
      <c r="AK106" s="259"/>
      <c r="AL106" s="259"/>
      <c r="AM106" s="259"/>
      <c r="AN106" s="259"/>
      <c r="AO106" s="259"/>
      <c r="AP106" s="259"/>
      <c r="AQ106" s="259"/>
      <c r="AR106" s="259"/>
      <c r="AS106" s="259"/>
    </row>
    <row r="107" spans="1:45" x14ac:dyDescent="0.25">
      <c r="A107" s="396"/>
      <c r="B107" s="396"/>
      <c r="C107" s="396" t="s">
        <v>732</v>
      </c>
      <c r="D107" s="396" t="s">
        <v>733</v>
      </c>
      <c r="E107" s="396"/>
      <c r="F107" s="396"/>
      <c r="G107" s="396"/>
      <c r="H107" s="396"/>
      <c r="I107" s="396"/>
      <c r="J107" s="396"/>
      <c r="K107" s="396"/>
      <c r="L107" s="396"/>
      <c r="M107" s="396"/>
      <c r="N107" s="396"/>
      <c r="O107" s="396"/>
      <c r="P107" s="396"/>
      <c r="Q107" s="259"/>
      <c r="R107" s="259"/>
      <c r="S107" s="259"/>
      <c r="T107" s="259"/>
      <c r="U107" s="259"/>
      <c r="V107" s="259"/>
      <c r="W107" s="259"/>
      <c r="X107" s="259"/>
      <c r="Y107" s="259"/>
      <c r="Z107" s="259"/>
      <c r="AA107" s="259"/>
      <c r="AB107" s="259"/>
      <c r="AC107" s="259"/>
      <c r="AD107" s="259"/>
      <c r="AE107" s="259"/>
      <c r="AF107" s="259"/>
      <c r="AG107" s="259"/>
      <c r="AH107" s="259"/>
      <c r="AI107" s="259"/>
      <c r="AJ107" s="259"/>
      <c r="AK107" s="259"/>
      <c r="AL107" s="259"/>
      <c r="AM107" s="259"/>
      <c r="AN107" s="259"/>
      <c r="AO107" s="259"/>
      <c r="AP107" s="259"/>
      <c r="AQ107" s="259"/>
      <c r="AR107" s="259"/>
      <c r="AS107" s="259"/>
    </row>
    <row r="108" spans="1:45" x14ac:dyDescent="0.25">
      <c r="A108" s="396"/>
      <c r="B108" s="396"/>
      <c r="C108" s="396" t="s">
        <v>346</v>
      </c>
      <c r="D108" s="396"/>
      <c r="E108" s="396"/>
      <c r="F108" s="396"/>
      <c r="G108" s="396"/>
      <c r="H108" s="396"/>
      <c r="I108" s="396"/>
      <c r="J108" s="396"/>
      <c r="K108" s="396"/>
      <c r="L108" s="396"/>
      <c r="M108" s="396"/>
      <c r="N108" s="396"/>
      <c r="O108" s="396"/>
      <c r="P108" s="396"/>
      <c r="Q108" s="259"/>
      <c r="R108" s="259"/>
      <c r="S108" s="259"/>
      <c r="T108" s="259"/>
      <c r="U108" s="259"/>
      <c r="V108" s="259"/>
      <c r="W108" s="259"/>
      <c r="X108" s="259"/>
      <c r="Y108" s="259"/>
      <c r="Z108" s="259"/>
      <c r="AA108" s="259"/>
      <c r="AB108" s="259"/>
      <c r="AC108" s="259"/>
      <c r="AD108" s="259"/>
      <c r="AE108" s="259"/>
      <c r="AF108" s="259"/>
      <c r="AG108" s="259"/>
      <c r="AH108" s="259"/>
      <c r="AI108" s="259"/>
      <c r="AJ108" s="259"/>
      <c r="AK108" s="259"/>
      <c r="AL108" s="259"/>
      <c r="AM108" s="259"/>
      <c r="AN108" s="259"/>
      <c r="AO108" s="259"/>
      <c r="AP108" s="259"/>
      <c r="AQ108" s="259"/>
      <c r="AR108" s="259"/>
      <c r="AS108" s="259"/>
    </row>
    <row r="109" spans="1:45" x14ac:dyDescent="0.25">
      <c r="A109" s="396"/>
      <c r="B109" s="396"/>
      <c r="C109" s="1386">
        <v>45624</v>
      </c>
      <c r="D109" s="1386">
        <v>41439</v>
      </c>
      <c r="E109" s="1386">
        <v>38408</v>
      </c>
      <c r="F109" s="1386">
        <v>33993</v>
      </c>
      <c r="G109" s="1386">
        <v>25792</v>
      </c>
      <c r="H109" s="1386">
        <v>28143</v>
      </c>
      <c r="I109" s="1386">
        <v>30714</v>
      </c>
      <c r="J109" s="1386">
        <v>30882</v>
      </c>
      <c r="K109" s="396"/>
      <c r="L109" s="396"/>
      <c r="M109" s="396"/>
      <c r="N109" s="396"/>
      <c r="O109" s="396"/>
      <c r="P109" s="396"/>
      <c r="Q109" s="259"/>
      <c r="R109" s="259"/>
      <c r="S109" s="259"/>
      <c r="T109" s="259"/>
      <c r="U109" s="259"/>
      <c r="V109" s="259"/>
      <c r="W109" s="259"/>
      <c r="X109" s="259"/>
      <c r="Y109" s="259"/>
      <c r="Z109" s="259"/>
      <c r="AA109" s="259"/>
      <c r="AB109" s="259"/>
      <c r="AC109" s="259"/>
      <c r="AD109" s="259"/>
      <c r="AE109" s="259"/>
      <c r="AF109" s="259"/>
      <c r="AG109" s="259"/>
      <c r="AH109" s="259"/>
      <c r="AI109" s="259"/>
      <c r="AJ109" s="259"/>
      <c r="AK109" s="259"/>
      <c r="AL109" s="259"/>
      <c r="AM109" s="259"/>
      <c r="AN109" s="259"/>
      <c r="AO109" s="259"/>
      <c r="AP109" s="259"/>
      <c r="AQ109" s="259"/>
      <c r="AR109" s="259"/>
      <c r="AS109" s="259"/>
    </row>
    <row r="110" spans="1:45" x14ac:dyDescent="0.25">
      <c r="A110" s="396"/>
      <c r="B110" s="396"/>
      <c r="C110" s="396" t="s">
        <v>707</v>
      </c>
      <c r="D110" s="396"/>
      <c r="E110" s="396"/>
      <c r="F110" s="396"/>
      <c r="G110" s="396"/>
      <c r="H110" s="396"/>
      <c r="I110" s="396"/>
      <c r="J110" s="396"/>
      <c r="K110" s="396"/>
      <c r="L110" s="396"/>
      <c r="M110" s="396"/>
      <c r="N110" s="396"/>
      <c r="O110" s="396"/>
      <c r="P110" s="396"/>
      <c r="Q110" s="259"/>
      <c r="R110" s="259"/>
      <c r="S110" s="259"/>
      <c r="T110" s="259"/>
      <c r="U110" s="259"/>
      <c r="V110" s="259"/>
      <c r="W110" s="259"/>
      <c r="X110" s="259"/>
      <c r="Y110" s="259"/>
      <c r="Z110" s="259"/>
      <c r="AA110" s="259"/>
      <c r="AB110" s="259"/>
      <c r="AC110" s="259"/>
      <c r="AD110" s="259"/>
      <c r="AE110" s="259"/>
      <c r="AF110" s="259"/>
      <c r="AG110" s="259"/>
      <c r="AH110" s="259"/>
      <c r="AI110" s="259"/>
      <c r="AJ110" s="259"/>
      <c r="AK110" s="259"/>
      <c r="AL110" s="259"/>
      <c r="AM110" s="259"/>
      <c r="AN110" s="259"/>
      <c r="AO110" s="259"/>
      <c r="AP110" s="259"/>
      <c r="AQ110" s="259"/>
      <c r="AR110" s="259"/>
      <c r="AS110" s="259"/>
    </row>
    <row r="111" spans="1:45" x14ac:dyDescent="0.25">
      <c r="A111" s="396"/>
      <c r="B111" s="396"/>
      <c r="C111" s="396" t="s">
        <v>347</v>
      </c>
      <c r="D111" s="396"/>
      <c r="E111" s="396"/>
      <c r="F111" s="396"/>
      <c r="G111" s="396"/>
      <c r="H111" s="396"/>
      <c r="I111" s="396"/>
      <c r="J111" s="396"/>
      <c r="K111" s="396"/>
      <c r="L111" s="396"/>
      <c r="M111" s="396"/>
      <c r="N111" s="396"/>
      <c r="O111" s="396"/>
      <c r="P111" s="396"/>
      <c r="Q111" s="259"/>
      <c r="R111" s="259"/>
      <c r="S111" s="259"/>
      <c r="T111" s="259"/>
      <c r="U111" s="259"/>
      <c r="V111" s="259"/>
      <c r="W111" s="259"/>
      <c r="X111" s="259"/>
      <c r="Y111" s="259"/>
      <c r="Z111" s="259"/>
      <c r="AA111" s="259"/>
      <c r="AB111" s="259"/>
      <c r="AC111" s="259"/>
      <c r="AD111" s="259"/>
      <c r="AE111" s="259"/>
      <c r="AF111" s="259"/>
      <c r="AG111" s="259"/>
      <c r="AH111" s="259"/>
      <c r="AI111" s="259"/>
      <c r="AJ111" s="259"/>
      <c r="AK111" s="259"/>
      <c r="AL111" s="259"/>
      <c r="AM111" s="259"/>
      <c r="AN111" s="259"/>
      <c r="AO111" s="259"/>
      <c r="AP111" s="259"/>
      <c r="AQ111" s="259"/>
      <c r="AR111" s="259"/>
      <c r="AS111" s="259"/>
    </row>
    <row r="112" spans="1:45" x14ac:dyDescent="0.25">
      <c r="A112" s="396"/>
      <c r="B112" s="396"/>
      <c r="C112" s="396">
        <v>689</v>
      </c>
      <c r="D112" s="396">
        <v>673</v>
      </c>
      <c r="E112" s="396">
        <v>656</v>
      </c>
      <c r="F112" s="1386">
        <v>1141</v>
      </c>
      <c r="G112" s="1386">
        <v>1133</v>
      </c>
      <c r="H112" s="1386">
        <v>1195</v>
      </c>
      <c r="I112" s="1386">
        <v>1297</v>
      </c>
      <c r="J112" s="1386">
        <v>1318</v>
      </c>
      <c r="K112" s="396"/>
      <c r="L112" s="396"/>
      <c r="M112" s="396"/>
      <c r="N112" s="396"/>
      <c r="O112" s="396"/>
      <c r="P112" s="396"/>
      <c r="Q112" s="259"/>
      <c r="R112" s="259"/>
      <c r="S112" s="259"/>
      <c r="T112" s="259"/>
      <c r="U112" s="259"/>
      <c r="V112" s="259"/>
      <c r="W112" s="259"/>
      <c r="X112" s="259"/>
      <c r="Y112" s="259"/>
      <c r="Z112" s="259"/>
      <c r="AA112" s="259"/>
      <c r="AB112" s="259"/>
      <c r="AC112" s="259"/>
      <c r="AD112" s="259"/>
      <c r="AE112" s="259"/>
      <c r="AF112" s="259"/>
      <c r="AG112" s="259"/>
      <c r="AH112" s="259"/>
      <c r="AI112" s="259"/>
      <c r="AJ112" s="259"/>
      <c r="AK112" s="259"/>
      <c r="AL112" s="259"/>
      <c r="AM112" s="259"/>
      <c r="AN112" s="259"/>
      <c r="AO112" s="259"/>
      <c r="AP112" s="259"/>
      <c r="AQ112" s="259"/>
      <c r="AR112" s="259"/>
      <c r="AS112" s="259"/>
    </row>
    <row r="113" spans="1:45" x14ac:dyDescent="0.25">
      <c r="A113" s="396"/>
      <c r="B113" s="396"/>
      <c r="C113" s="396" t="s">
        <v>756</v>
      </c>
      <c r="D113" s="396"/>
      <c r="E113" s="396"/>
      <c r="F113" s="396"/>
      <c r="G113" s="396"/>
      <c r="H113" s="396"/>
      <c r="I113" s="396"/>
      <c r="J113" s="396"/>
      <c r="K113" s="396"/>
      <c r="L113" s="396"/>
      <c r="M113" s="396"/>
      <c r="N113" s="396"/>
      <c r="O113" s="396"/>
      <c r="P113" s="396"/>
      <c r="Q113" s="259"/>
      <c r="R113" s="259"/>
      <c r="S113" s="259"/>
      <c r="T113" s="259"/>
      <c r="U113" s="259"/>
      <c r="V113" s="259"/>
      <c r="W113" s="259"/>
      <c r="X113" s="259"/>
      <c r="Y113" s="259"/>
      <c r="Z113" s="259"/>
      <c r="AA113" s="259"/>
      <c r="AB113" s="259"/>
      <c r="AC113" s="259"/>
      <c r="AD113" s="259"/>
      <c r="AE113" s="259"/>
      <c r="AF113" s="259"/>
      <c r="AG113" s="259"/>
      <c r="AH113" s="259"/>
      <c r="AI113" s="259"/>
      <c r="AJ113" s="259"/>
      <c r="AK113" s="259"/>
      <c r="AL113" s="259"/>
      <c r="AM113" s="259"/>
      <c r="AN113" s="259"/>
      <c r="AO113" s="259"/>
      <c r="AP113" s="259"/>
      <c r="AQ113" s="259"/>
      <c r="AR113" s="259"/>
      <c r="AS113" s="259"/>
    </row>
    <row r="114" spans="1:45" x14ac:dyDescent="0.25">
      <c r="A114" s="396"/>
      <c r="B114" s="396"/>
      <c r="C114" s="396" t="s">
        <v>757</v>
      </c>
      <c r="D114" s="396"/>
      <c r="E114" s="396"/>
      <c r="F114" s="396"/>
      <c r="G114" s="396"/>
      <c r="H114" s="396"/>
      <c r="I114" s="396"/>
      <c r="J114" s="396"/>
      <c r="K114" s="396"/>
      <c r="L114" s="396"/>
      <c r="M114" s="396"/>
      <c r="N114" s="396"/>
      <c r="O114" s="396"/>
      <c r="P114" s="396"/>
      <c r="Q114" s="259"/>
      <c r="R114" s="259"/>
      <c r="S114" s="259"/>
      <c r="T114" s="259"/>
      <c r="U114" s="259"/>
      <c r="V114" s="259"/>
      <c r="W114" s="259"/>
      <c r="X114" s="259"/>
      <c r="Y114" s="259"/>
      <c r="Z114" s="259"/>
      <c r="AA114" s="259"/>
      <c r="AB114" s="259"/>
      <c r="AC114" s="259"/>
      <c r="AD114" s="259"/>
      <c r="AE114" s="259"/>
      <c r="AF114" s="259"/>
      <c r="AG114" s="259"/>
      <c r="AH114" s="259"/>
      <c r="AI114" s="259"/>
      <c r="AJ114" s="259"/>
      <c r="AK114" s="259"/>
      <c r="AL114" s="259"/>
      <c r="AM114" s="259"/>
      <c r="AN114" s="259"/>
      <c r="AO114" s="259"/>
      <c r="AP114" s="259"/>
      <c r="AQ114" s="259"/>
      <c r="AR114" s="259"/>
      <c r="AS114" s="259"/>
    </row>
    <row r="115" spans="1:45" x14ac:dyDescent="0.25">
      <c r="A115" s="396"/>
      <c r="B115" s="396"/>
      <c r="C115" s="396" t="s">
        <v>758</v>
      </c>
      <c r="D115" s="396"/>
      <c r="E115" s="396"/>
      <c r="F115" s="396"/>
      <c r="G115" s="396"/>
      <c r="H115" s="396"/>
      <c r="I115" s="396"/>
      <c r="J115" s="396"/>
      <c r="K115" s="396"/>
      <c r="L115" s="396"/>
      <c r="M115" s="396"/>
      <c r="N115" s="396"/>
      <c r="O115" s="396"/>
      <c r="P115" s="396"/>
      <c r="Q115" s="259"/>
      <c r="R115" s="259"/>
      <c r="S115" s="259"/>
      <c r="T115" s="259"/>
      <c r="U115" s="259"/>
      <c r="V115" s="259"/>
      <c r="W115" s="259"/>
      <c r="X115" s="259"/>
      <c r="Y115" s="259"/>
      <c r="Z115" s="259"/>
      <c r="AA115" s="259"/>
      <c r="AB115" s="259"/>
      <c r="AC115" s="259"/>
      <c r="AD115" s="259"/>
      <c r="AE115" s="259"/>
      <c r="AF115" s="259"/>
      <c r="AG115" s="259"/>
      <c r="AH115" s="259"/>
      <c r="AI115" s="259"/>
      <c r="AJ115" s="259"/>
      <c r="AK115" s="259"/>
      <c r="AL115" s="259"/>
      <c r="AM115" s="259"/>
      <c r="AN115" s="259"/>
      <c r="AO115" s="259"/>
      <c r="AP115" s="259"/>
      <c r="AQ115" s="259"/>
      <c r="AR115" s="259"/>
      <c r="AS115" s="259"/>
    </row>
    <row r="116" spans="1:45" x14ac:dyDescent="0.25">
      <c r="A116" s="396"/>
      <c r="B116" s="396"/>
      <c r="C116" s="1288">
        <v>0.97719999999999996</v>
      </c>
      <c r="D116" s="1288">
        <v>0.98009999999999997</v>
      </c>
      <c r="E116" s="1288">
        <v>0.98150000000000004</v>
      </c>
      <c r="F116" s="1288">
        <v>0.98640000000000005</v>
      </c>
      <c r="G116" s="1288">
        <v>0.98709999999999998</v>
      </c>
      <c r="H116" s="1288">
        <v>0.98609999999999998</v>
      </c>
      <c r="I116" s="1288">
        <v>0.98850000000000005</v>
      </c>
      <c r="J116" s="1288">
        <v>0.98899999999999999</v>
      </c>
      <c r="K116" s="396"/>
      <c r="L116" s="396"/>
      <c r="M116" s="396"/>
      <c r="N116" s="396"/>
      <c r="O116" s="396"/>
      <c r="P116" s="396"/>
      <c r="Q116" s="259"/>
      <c r="R116" s="259"/>
      <c r="S116" s="259"/>
      <c r="T116" s="259"/>
      <c r="U116" s="259"/>
      <c r="V116" s="259"/>
      <c r="W116" s="259"/>
      <c r="X116" s="259"/>
      <c r="Y116" s="259"/>
      <c r="Z116" s="259"/>
      <c r="AA116" s="259"/>
      <c r="AB116" s="259"/>
      <c r="AC116" s="259"/>
      <c r="AD116" s="259"/>
      <c r="AE116" s="259"/>
      <c r="AF116" s="259"/>
      <c r="AG116" s="259"/>
      <c r="AH116" s="259"/>
      <c r="AI116" s="259"/>
      <c r="AJ116" s="259"/>
      <c r="AK116" s="259"/>
      <c r="AL116" s="259"/>
      <c r="AM116" s="259"/>
      <c r="AN116" s="259"/>
      <c r="AO116" s="259"/>
      <c r="AP116" s="259"/>
      <c r="AQ116" s="259"/>
      <c r="AR116" s="259"/>
      <c r="AS116" s="259"/>
    </row>
    <row r="117" spans="1:45" x14ac:dyDescent="0.25">
      <c r="A117" s="396"/>
      <c r="B117" s="396"/>
      <c r="C117" s="396" t="s">
        <v>771</v>
      </c>
      <c r="D117" s="396" t="s">
        <v>772</v>
      </c>
      <c r="E117" s="396"/>
      <c r="F117" s="396"/>
      <c r="G117" s="396"/>
      <c r="H117" s="396"/>
      <c r="I117" s="396"/>
      <c r="J117" s="396"/>
      <c r="K117" s="396"/>
      <c r="L117" s="396"/>
      <c r="M117" s="396"/>
      <c r="N117" s="396"/>
      <c r="O117" s="396"/>
      <c r="P117" s="396"/>
      <c r="Q117" s="259"/>
      <c r="R117" s="259"/>
      <c r="S117" s="259"/>
      <c r="T117" s="259"/>
      <c r="U117" s="259"/>
      <c r="V117" s="259"/>
      <c r="W117" s="259"/>
      <c r="X117" s="259"/>
      <c r="Y117" s="259"/>
      <c r="Z117" s="259"/>
      <c r="AA117" s="259"/>
      <c r="AB117" s="259"/>
      <c r="AC117" s="259"/>
      <c r="AD117" s="259"/>
      <c r="AE117" s="259"/>
      <c r="AF117" s="259"/>
      <c r="AG117" s="259"/>
      <c r="AH117" s="259"/>
      <c r="AI117" s="259"/>
      <c r="AJ117" s="259"/>
      <c r="AK117" s="259"/>
      <c r="AL117" s="259"/>
      <c r="AM117" s="259"/>
      <c r="AN117" s="259"/>
      <c r="AO117" s="259"/>
      <c r="AP117" s="259"/>
      <c r="AQ117" s="259"/>
      <c r="AR117" s="259"/>
      <c r="AS117" s="259"/>
    </row>
    <row r="118" spans="1:45" x14ac:dyDescent="0.25">
      <c r="A118" s="396"/>
      <c r="B118" s="396"/>
      <c r="C118" s="396" t="s">
        <v>759</v>
      </c>
      <c r="D118" s="396"/>
      <c r="E118" s="396"/>
      <c r="F118" s="396"/>
      <c r="G118" s="396"/>
      <c r="H118" s="396"/>
      <c r="I118" s="396"/>
      <c r="J118" s="396"/>
      <c r="K118" s="396"/>
      <c r="L118" s="396"/>
      <c r="M118" s="396"/>
      <c r="N118" s="396"/>
      <c r="O118" s="396"/>
      <c r="P118" s="396"/>
      <c r="Q118" s="259"/>
      <c r="R118" s="259"/>
      <c r="S118" s="259"/>
      <c r="T118" s="259"/>
      <c r="U118" s="259"/>
      <c r="V118" s="259"/>
      <c r="W118" s="259"/>
      <c r="X118" s="259"/>
      <c r="Y118" s="259"/>
      <c r="Z118" s="259"/>
      <c r="AA118" s="259"/>
      <c r="AB118" s="259"/>
      <c r="AC118" s="259"/>
      <c r="AD118" s="259"/>
      <c r="AE118" s="259"/>
      <c r="AF118" s="259"/>
      <c r="AG118" s="259"/>
      <c r="AH118" s="259"/>
      <c r="AI118" s="259"/>
      <c r="AJ118" s="259"/>
      <c r="AK118" s="259"/>
      <c r="AL118" s="259"/>
      <c r="AM118" s="259"/>
      <c r="AN118" s="259"/>
      <c r="AO118" s="259"/>
      <c r="AP118" s="259"/>
      <c r="AQ118" s="259"/>
      <c r="AR118" s="259"/>
      <c r="AS118" s="259"/>
    </row>
    <row r="119" spans="1:45" x14ac:dyDescent="0.25">
      <c r="A119" s="396"/>
      <c r="B119" s="396"/>
      <c r="C119" s="396">
        <v>30.1</v>
      </c>
      <c r="D119" s="396">
        <v>30</v>
      </c>
      <c r="E119" s="396">
        <v>30.6</v>
      </c>
      <c r="F119" s="396">
        <v>29.9</v>
      </c>
      <c r="G119" s="396">
        <v>29</v>
      </c>
      <c r="H119" s="396">
        <v>29.4</v>
      </c>
      <c r="I119" s="396">
        <v>30.2</v>
      </c>
      <c r="J119" s="396">
        <v>31.2</v>
      </c>
      <c r="K119" s="396"/>
      <c r="L119" s="396"/>
      <c r="M119" s="396"/>
      <c r="N119" s="396"/>
      <c r="O119" s="396"/>
      <c r="P119" s="396"/>
      <c r="Q119" s="259"/>
      <c r="R119" s="259"/>
      <c r="S119" s="259"/>
      <c r="T119" s="259"/>
      <c r="U119" s="259"/>
      <c r="V119" s="259"/>
      <c r="W119" s="259"/>
      <c r="X119" s="259"/>
      <c r="Y119" s="259"/>
      <c r="Z119" s="259"/>
      <c r="AA119" s="259"/>
      <c r="AB119" s="259"/>
      <c r="AC119" s="259"/>
      <c r="AD119" s="259"/>
      <c r="AE119" s="259"/>
      <c r="AF119" s="259"/>
      <c r="AG119" s="259"/>
      <c r="AH119" s="259"/>
      <c r="AI119" s="259"/>
      <c r="AJ119" s="259"/>
      <c r="AK119" s="259"/>
      <c r="AL119" s="259"/>
      <c r="AM119" s="259"/>
      <c r="AN119" s="259"/>
      <c r="AO119" s="259"/>
      <c r="AP119" s="259"/>
      <c r="AQ119" s="259"/>
      <c r="AR119" s="259"/>
      <c r="AS119" s="259"/>
    </row>
    <row r="120" spans="1:45" x14ac:dyDescent="0.25">
      <c r="A120" s="396"/>
      <c r="B120" s="396"/>
      <c r="C120" s="396" t="s">
        <v>760</v>
      </c>
      <c r="D120" s="396"/>
      <c r="E120" s="396"/>
      <c r="F120" s="396"/>
      <c r="G120" s="396"/>
      <c r="H120" s="396"/>
      <c r="I120" s="396"/>
      <c r="J120" s="396"/>
      <c r="K120" s="396"/>
      <c r="L120" s="396"/>
      <c r="M120" s="396"/>
      <c r="N120" s="396"/>
      <c r="O120" s="396"/>
      <c r="P120" s="396"/>
      <c r="Q120" s="259"/>
      <c r="R120" s="259"/>
      <c r="S120" s="259"/>
      <c r="T120" s="259"/>
      <c r="U120" s="259"/>
      <c r="V120" s="259"/>
      <c r="W120" s="259"/>
      <c r="X120" s="259"/>
      <c r="Y120" s="259"/>
      <c r="Z120" s="259"/>
      <c r="AA120" s="259"/>
      <c r="AB120" s="259"/>
      <c r="AC120" s="259"/>
      <c r="AD120" s="259"/>
      <c r="AE120" s="259"/>
      <c r="AF120" s="259"/>
      <c r="AG120" s="259"/>
      <c r="AH120" s="259"/>
      <c r="AI120" s="259"/>
      <c r="AJ120" s="259"/>
      <c r="AK120" s="259"/>
      <c r="AL120" s="259"/>
      <c r="AM120" s="259"/>
      <c r="AN120" s="259"/>
      <c r="AO120" s="259"/>
      <c r="AP120" s="259"/>
      <c r="AQ120" s="259"/>
      <c r="AR120" s="259"/>
      <c r="AS120" s="259"/>
    </row>
    <row r="121" spans="1:45" x14ac:dyDescent="0.25">
      <c r="A121" s="396"/>
      <c r="B121" s="396"/>
      <c r="C121" s="396" t="s">
        <v>761</v>
      </c>
      <c r="D121" s="396"/>
      <c r="E121" s="396"/>
      <c r="F121" s="396"/>
      <c r="G121" s="396"/>
      <c r="H121" s="396"/>
      <c r="I121" s="396"/>
      <c r="J121" s="396"/>
      <c r="K121" s="396"/>
      <c r="L121" s="396"/>
      <c r="M121" s="396"/>
      <c r="N121" s="396"/>
      <c r="O121" s="396"/>
      <c r="P121" s="396"/>
      <c r="Q121" s="259"/>
      <c r="R121" s="259"/>
      <c r="S121" s="259"/>
      <c r="T121" s="259"/>
      <c r="U121" s="259"/>
      <c r="V121" s="259"/>
      <c r="W121" s="259"/>
      <c r="X121" s="259"/>
      <c r="Y121" s="259"/>
      <c r="Z121" s="259"/>
      <c r="AA121" s="259"/>
      <c r="AB121" s="259"/>
      <c r="AC121" s="259"/>
      <c r="AD121" s="259"/>
      <c r="AE121" s="259"/>
      <c r="AF121" s="259"/>
      <c r="AG121" s="259"/>
      <c r="AH121" s="259"/>
      <c r="AI121" s="259"/>
      <c r="AJ121" s="259"/>
      <c r="AK121" s="259"/>
      <c r="AL121" s="259"/>
      <c r="AM121" s="259"/>
      <c r="AN121" s="259"/>
      <c r="AO121" s="259"/>
      <c r="AP121" s="259"/>
      <c r="AQ121" s="259"/>
      <c r="AR121" s="259"/>
      <c r="AS121" s="259"/>
    </row>
    <row r="122" spans="1:45" x14ac:dyDescent="0.25">
      <c r="A122" s="396"/>
      <c r="B122" s="396"/>
      <c r="C122" s="396" t="s">
        <v>762</v>
      </c>
      <c r="D122" s="396"/>
      <c r="E122" s="396"/>
      <c r="F122" s="396"/>
      <c r="G122" s="396"/>
      <c r="H122" s="396"/>
      <c r="I122" s="396"/>
      <c r="J122" s="396"/>
      <c r="K122" s="396"/>
      <c r="L122" s="396"/>
      <c r="M122" s="396"/>
      <c r="N122" s="396"/>
      <c r="O122" s="396"/>
      <c r="P122" s="396"/>
      <c r="Q122" s="259"/>
      <c r="R122" s="259"/>
      <c r="S122" s="259"/>
      <c r="T122" s="259"/>
      <c r="U122" s="259"/>
      <c r="V122" s="259"/>
      <c r="W122" s="259"/>
      <c r="X122" s="259"/>
      <c r="Y122" s="259"/>
      <c r="Z122" s="259"/>
      <c r="AA122" s="259"/>
      <c r="AB122" s="259"/>
      <c r="AC122" s="259"/>
      <c r="AD122" s="259"/>
      <c r="AE122" s="259"/>
      <c r="AF122" s="259"/>
      <c r="AG122" s="259"/>
      <c r="AH122" s="259"/>
      <c r="AI122" s="259"/>
      <c r="AJ122" s="259"/>
      <c r="AK122" s="259"/>
      <c r="AL122" s="259"/>
      <c r="AM122" s="259"/>
      <c r="AN122" s="259"/>
      <c r="AO122" s="259"/>
      <c r="AP122" s="259"/>
      <c r="AQ122" s="259"/>
      <c r="AR122" s="259"/>
      <c r="AS122" s="259"/>
    </row>
    <row r="123" spans="1:45" x14ac:dyDescent="0.25">
      <c r="A123" s="396"/>
      <c r="B123" s="396"/>
      <c r="C123" s="396" t="s">
        <v>763</v>
      </c>
      <c r="D123" s="396"/>
      <c r="E123" s="396"/>
      <c r="F123" s="396"/>
      <c r="G123" s="396"/>
      <c r="H123" s="396"/>
      <c r="I123" s="396"/>
      <c r="J123" s="396"/>
      <c r="K123" s="396"/>
      <c r="L123" s="396"/>
      <c r="M123" s="396"/>
      <c r="N123" s="396"/>
      <c r="O123" s="396"/>
      <c r="P123" s="396"/>
      <c r="Q123" s="259"/>
      <c r="R123" s="259"/>
      <c r="S123" s="259"/>
      <c r="T123" s="259"/>
      <c r="U123" s="259"/>
      <c r="V123" s="259"/>
      <c r="W123" s="259"/>
      <c r="X123" s="259"/>
      <c r="Y123" s="259"/>
      <c r="Z123" s="259"/>
      <c r="AA123" s="259"/>
      <c r="AB123" s="259"/>
      <c r="AC123" s="259"/>
      <c r="AD123" s="259"/>
      <c r="AE123" s="259"/>
      <c r="AF123" s="259"/>
      <c r="AG123" s="259"/>
      <c r="AH123" s="259"/>
      <c r="AI123" s="259"/>
      <c r="AJ123" s="259"/>
      <c r="AK123" s="259"/>
      <c r="AL123" s="259"/>
      <c r="AM123" s="259"/>
      <c r="AN123" s="259"/>
      <c r="AO123" s="259"/>
      <c r="AP123" s="259"/>
      <c r="AQ123" s="259"/>
      <c r="AR123" s="259"/>
      <c r="AS123" s="259"/>
    </row>
    <row r="124" spans="1:45" x14ac:dyDescent="0.25">
      <c r="A124" s="396"/>
      <c r="B124" s="396"/>
      <c r="C124" s="396">
        <v>40</v>
      </c>
      <c r="D124" s="396">
        <v>265</v>
      </c>
      <c r="E124" s="396">
        <v>257</v>
      </c>
      <c r="F124" s="396">
        <v>28</v>
      </c>
      <c r="G124" s="396">
        <v>42</v>
      </c>
      <c r="H124" s="396">
        <v>28</v>
      </c>
      <c r="I124" s="396">
        <v>37</v>
      </c>
      <c r="J124" s="396">
        <v>37</v>
      </c>
      <c r="K124" s="396"/>
      <c r="L124" s="396"/>
      <c r="M124" s="396"/>
      <c r="N124" s="396"/>
      <c r="O124" s="396"/>
      <c r="P124" s="396"/>
      <c r="Q124" s="259"/>
      <c r="R124" s="259"/>
      <c r="S124" s="259"/>
      <c r="T124" s="259"/>
      <c r="U124" s="259"/>
      <c r="V124" s="259"/>
      <c r="W124" s="259"/>
      <c r="X124" s="259"/>
      <c r="Y124" s="259"/>
      <c r="Z124" s="259"/>
      <c r="AA124" s="259"/>
      <c r="AB124" s="259"/>
      <c r="AC124" s="259"/>
      <c r="AD124" s="259"/>
      <c r="AE124" s="259"/>
      <c r="AF124" s="259"/>
      <c r="AG124" s="259"/>
      <c r="AH124" s="259"/>
      <c r="AI124" s="259"/>
      <c r="AJ124" s="259"/>
      <c r="AK124" s="259"/>
      <c r="AL124" s="259"/>
      <c r="AM124" s="259"/>
      <c r="AN124" s="259"/>
      <c r="AO124" s="259"/>
      <c r="AP124" s="259"/>
      <c r="AQ124" s="259"/>
      <c r="AR124" s="259"/>
      <c r="AS124" s="259"/>
    </row>
    <row r="125" spans="1:45" x14ac:dyDescent="0.25">
      <c r="A125" s="396"/>
      <c r="B125" s="396"/>
      <c r="C125" s="396" t="s">
        <v>582</v>
      </c>
      <c r="D125" s="396"/>
      <c r="E125" s="396"/>
      <c r="F125" s="396"/>
      <c r="G125" s="396"/>
      <c r="H125" s="396"/>
      <c r="I125" s="396"/>
      <c r="J125" s="396"/>
      <c r="K125" s="396"/>
      <c r="L125" s="396"/>
      <c r="M125" s="396"/>
      <c r="N125" s="396"/>
      <c r="O125" s="396"/>
      <c r="P125" s="396"/>
      <c r="Q125" s="259"/>
      <c r="R125" s="259"/>
      <c r="S125" s="259"/>
      <c r="T125" s="259"/>
      <c r="U125" s="259"/>
      <c r="V125" s="259"/>
      <c r="W125" s="259"/>
      <c r="X125" s="259"/>
      <c r="Y125" s="259"/>
      <c r="Z125" s="259"/>
      <c r="AA125" s="259"/>
      <c r="AB125" s="259"/>
      <c r="AC125" s="259"/>
      <c r="AD125" s="259"/>
      <c r="AE125" s="259"/>
      <c r="AF125" s="259"/>
      <c r="AG125" s="259"/>
      <c r="AH125" s="259"/>
      <c r="AI125" s="259"/>
      <c r="AJ125" s="259"/>
      <c r="AK125" s="259"/>
      <c r="AL125" s="259"/>
      <c r="AM125" s="259"/>
      <c r="AN125" s="259"/>
      <c r="AO125" s="259"/>
      <c r="AP125" s="259"/>
      <c r="AQ125" s="259"/>
      <c r="AR125" s="259"/>
      <c r="AS125" s="259"/>
    </row>
    <row r="126" spans="1:45" x14ac:dyDescent="0.25">
      <c r="A126" s="396"/>
      <c r="B126" s="396"/>
      <c r="C126" s="396" t="s">
        <v>732</v>
      </c>
      <c r="D126" s="396" t="s">
        <v>733</v>
      </c>
      <c r="E126" s="396"/>
      <c r="F126" s="396"/>
      <c r="G126" s="396"/>
      <c r="H126" s="396"/>
      <c r="I126" s="396"/>
      <c r="J126" s="396"/>
      <c r="K126" s="396"/>
      <c r="L126" s="396"/>
      <c r="M126" s="396"/>
      <c r="N126" s="396"/>
      <c r="O126" s="396"/>
      <c r="P126" s="396"/>
      <c r="Q126" s="259"/>
      <c r="R126" s="259"/>
      <c r="S126" s="259"/>
      <c r="T126" s="259"/>
      <c r="U126" s="259"/>
      <c r="V126" s="259"/>
      <c r="W126" s="259"/>
      <c r="X126" s="259"/>
      <c r="Y126" s="259"/>
      <c r="Z126" s="259"/>
      <c r="AA126" s="259"/>
      <c r="AB126" s="259"/>
      <c r="AC126" s="259"/>
      <c r="AD126" s="259"/>
      <c r="AE126" s="259"/>
      <c r="AF126" s="259"/>
      <c r="AG126" s="259"/>
      <c r="AH126" s="259"/>
      <c r="AI126" s="259"/>
      <c r="AJ126" s="259"/>
      <c r="AK126" s="259"/>
      <c r="AL126" s="259"/>
      <c r="AM126" s="259"/>
      <c r="AN126" s="259"/>
      <c r="AO126" s="259"/>
      <c r="AP126" s="259"/>
      <c r="AQ126" s="259"/>
      <c r="AR126" s="259"/>
      <c r="AS126" s="259"/>
    </row>
    <row r="127" spans="1:45" x14ac:dyDescent="0.25">
      <c r="A127" s="396"/>
      <c r="B127" s="396"/>
      <c r="C127" s="396" t="s">
        <v>346</v>
      </c>
      <c r="D127" s="396"/>
      <c r="E127" s="396"/>
      <c r="F127" s="396"/>
      <c r="G127" s="396"/>
      <c r="H127" s="396"/>
      <c r="I127" s="396"/>
      <c r="J127" s="396"/>
      <c r="K127" s="396"/>
      <c r="L127" s="396"/>
      <c r="M127" s="396"/>
      <c r="N127" s="396"/>
      <c r="O127" s="396"/>
      <c r="P127" s="396"/>
      <c r="Q127" s="259"/>
      <c r="R127" s="259"/>
      <c r="S127" s="259"/>
      <c r="T127" s="259"/>
      <c r="U127" s="259"/>
      <c r="V127" s="259"/>
      <c r="W127" s="259"/>
      <c r="X127" s="259"/>
      <c r="Y127" s="259"/>
      <c r="Z127" s="259"/>
      <c r="AA127" s="259"/>
      <c r="AB127" s="259"/>
      <c r="AC127" s="259"/>
      <c r="AD127" s="259"/>
      <c r="AE127" s="259"/>
      <c r="AF127" s="259"/>
      <c r="AG127" s="259"/>
      <c r="AH127" s="259"/>
      <c r="AI127" s="259"/>
      <c r="AJ127" s="259"/>
      <c r="AK127" s="259"/>
      <c r="AL127" s="259"/>
      <c r="AM127" s="259"/>
      <c r="AN127" s="259"/>
      <c r="AO127" s="259"/>
      <c r="AP127" s="259"/>
      <c r="AQ127" s="259"/>
      <c r="AR127" s="259"/>
      <c r="AS127" s="259"/>
    </row>
    <row r="128" spans="1:45" x14ac:dyDescent="0.25">
      <c r="A128" s="396"/>
      <c r="B128" s="396"/>
      <c r="C128" s="1386">
        <v>123983</v>
      </c>
      <c r="D128" s="1386">
        <v>120203</v>
      </c>
      <c r="E128" s="1386">
        <v>115560</v>
      </c>
      <c r="F128" s="1386">
        <v>112475</v>
      </c>
      <c r="G128" s="1386">
        <v>109636</v>
      </c>
      <c r="H128" s="1386">
        <v>121610</v>
      </c>
      <c r="I128" s="1386">
        <v>125823</v>
      </c>
      <c r="J128" s="1386">
        <v>130654</v>
      </c>
      <c r="K128" s="396"/>
      <c r="L128" s="396"/>
      <c r="M128" s="396"/>
      <c r="N128" s="396"/>
      <c r="O128" s="396"/>
      <c r="P128" s="396"/>
      <c r="Q128" s="259"/>
      <c r="R128" s="259"/>
      <c r="S128" s="259"/>
      <c r="T128" s="259"/>
      <c r="U128" s="259"/>
      <c r="V128" s="259"/>
      <c r="W128" s="259"/>
      <c r="X128" s="259"/>
      <c r="Y128" s="259"/>
      <c r="Z128" s="259"/>
      <c r="AA128" s="259"/>
      <c r="AB128" s="259"/>
      <c r="AC128" s="259"/>
      <c r="AD128" s="259"/>
      <c r="AE128" s="259"/>
      <c r="AF128" s="259"/>
      <c r="AG128" s="259"/>
      <c r="AH128" s="259"/>
      <c r="AI128" s="259"/>
      <c r="AJ128" s="259"/>
      <c r="AK128" s="259"/>
      <c r="AL128" s="259"/>
      <c r="AM128" s="259"/>
      <c r="AN128" s="259"/>
      <c r="AO128" s="259"/>
      <c r="AP128" s="259"/>
      <c r="AQ128" s="259"/>
      <c r="AR128" s="259"/>
      <c r="AS128" s="259"/>
    </row>
    <row r="129" spans="1:45" x14ac:dyDescent="0.25">
      <c r="A129" s="396"/>
      <c r="B129" s="396"/>
      <c r="C129" s="396" t="s">
        <v>707</v>
      </c>
      <c r="D129" s="396"/>
      <c r="E129" s="396"/>
      <c r="F129" s="396"/>
      <c r="G129" s="396"/>
      <c r="H129" s="396"/>
      <c r="I129" s="396"/>
      <c r="J129" s="396"/>
      <c r="K129" s="396"/>
      <c r="L129" s="396"/>
      <c r="M129" s="396"/>
      <c r="N129" s="396"/>
      <c r="O129" s="396"/>
      <c r="P129" s="396"/>
      <c r="Q129" s="259"/>
      <c r="R129" s="259"/>
      <c r="S129" s="259"/>
      <c r="T129" s="259"/>
      <c r="U129" s="259"/>
      <c r="V129" s="259"/>
      <c r="W129" s="259"/>
      <c r="X129" s="259"/>
      <c r="Y129" s="259"/>
      <c r="Z129" s="259"/>
      <c r="AA129" s="259"/>
      <c r="AB129" s="259"/>
      <c r="AC129" s="259"/>
      <c r="AD129" s="259"/>
      <c r="AE129" s="259"/>
      <c r="AF129" s="259"/>
      <c r="AG129" s="259"/>
      <c r="AH129" s="259"/>
      <c r="AI129" s="259"/>
      <c r="AJ129" s="259"/>
      <c r="AK129" s="259"/>
      <c r="AL129" s="259"/>
      <c r="AM129" s="259"/>
      <c r="AN129" s="259"/>
      <c r="AO129" s="259"/>
      <c r="AP129" s="259"/>
      <c r="AQ129" s="259"/>
      <c r="AR129" s="259"/>
      <c r="AS129" s="259"/>
    </row>
    <row r="130" spans="1:45" x14ac:dyDescent="0.25">
      <c r="A130" s="396"/>
      <c r="B130" s="396"/>
      <c r="C130" s="396" t="s">
        <v>347</v>
      </c>
      <c r="D130" s="396"/>
      <c r="E130" s="396"/>
      <c r="F130" s="396"/>
      <c r="G130" s="396"/>
      <c r="H130" s="396"/>
      <c r="I130" s="396"/>
      <c r="J130" s="396"/>
      <c r="K130" s="396"/>
      <c r="L130" s="396"/>
      <c r="M130" s="396"/>
      <c r="N130" s="396"/>
      <c r="O130" s="396"/>
      <c r="P130" s="396"/>
      <c r="Q130" s="259"/>
      <c r="R130" s="259"/>
      <c r="S130" s="259"/>
      <c r="T130" s="259"/>
      <c r="U130" s="259"/>
      <c r="V130" s="259"/>
      <c r="W130" s="259"/>
      <c r="X130" s="259"/>
      <c r="Y130" s="259"/>
      <c r="Z130" s="259"/>
      <c r="AA130" s="259"/>
      <c r="AB130" s="259"/>
      <c r="AC130" s="259"/>
      <c r="AD130" s="259"/>
      <c r="AE130" s="259"/>
      <c r="AF130" s="259"/>
      <c r="AG130" s="259"/>
      <c r="AH130" s="259"/>
      <c r="AI130" s="259"/>
      <c r="AJ130" s="259"/>
      <c r="AK130" s="259"/>
      <c r="AL130" s="259"/>
      <c r="AM130" s="259"/>
      <c r="AN130" s="259"/>
      <c r="AO130" s="259"/>
      <c r="AP130" s="259"/>
      <c r="AQ130" s="259"/>
      <c r="AR130" s="259"/>
      <c r="AS130" s="259"/>
    </row>
    <row r="131" spans="1:45" x14ac:dyDescent="0.25">
      <c r="A131" s="396"/>
      <c r="B131" s="396"/>
      <c r="C131" s="1386">
        <v>1012</v>
      </c>
      <c r="D131" s="1386">
        <v>1012</v>
      </c>
      <c r="E131" s="1386">
        <v>1012</v>
      </c>
      <c r="F131" s="1386">
        <v>1364</v>
      </c>
      <c r="G131" s="1386">
        <v>1319</v>
      </c>
      <c r="H131" s="1386">
        <v>1365</v>
      </c>
      <c r="I131" s="1386">
        <v>1445</v>
      </c>
      <c r="J131" s="1386">
        <v>1489</v>
      </c>
      <c r="K131" s="396"/>
      <c r="L131" s="396"/>
      <c r="M131" s="396"/>
      <c r="N131" s="396"/>
      <c r="O131" s="396"/>
      <c r="P131" s="396"/>
      <c r="Q131" s="259"/>
      <c r="R131" s="259"/>
      <c r="S131" s="259"/>
      <c r="T131" s="259"/>
      <c r="U131" s="259"/>
      <c r="V131" s="259"/>
      <c r="W131" s="259"/>
      <c r="X131" s="259"/>
      <c r="Y131" s="259"/>
      <c r="Z131" s="259"/>
      <c r="AA131" s="259"/>
      <c r="AB131" s="259"/>
      <c r="AC131" s="259"/>
      <c r="AD131" s="259"/>
      <c r="AE131" s="259"/>
      <c r="AF131" s="259"/>
      <c r="AG131" s="259"/>
      <c r="AH131" s="259"/>
      <c r="AI131" s="259"/>
      <c r="AJ131" s="259"/>
      <c r="AK131" s="259"/>
      <c r="AL131" s="259"/>
      <c r="AM131" s="259"/>
      <c r="AN131" s="259"/>
      <c r="AO131" s="259"/>
      <c r="AP131" s="259"/>
      <c r="AQ131" s="259"/>
      <c r="AR131" s="259"/>
      <c r="AS131" s="259"/>
    </row>
    <row r="132" spans="1:45" x14ac:dyDescent="0.25">
      <c r="A132" s="396"/>
      <c r="B132" s="396"/>
      <c r="C132" s="396" t="s">
        <v>756</v>
      </c>
      <c r="D132" s="396"/>
      <c r="E132" s="396"/>
      <c r="F132" s="396"/>
      <c r="G132" s="396"/>
      <c r="H132" s="396"/>
      <c r="I132" s="396"/>
      <c r="J132" s="396"/>
      <c r="K132" s="396"/>
      <c r="L132" s="396"/>
      <c r="M132" s="396"/>
      <c r="N132" s="396"/>
      <c r="O132" s="396"/>
      <c r="P132" s="396"/>
      <c r="Q132" s="259"/>
      <c r="R132" s="259"/>
      <c r="S132" s="259"/>
      <c r="T132" s="259"/>
      <c r="U132" s="259"/>
      <c r="V132" s="259"/>
      <c r="W132" s="259"/>
      <c r="X132" s="259"/>
      <c r="Y132" s="259"/>
      <c r="Z132" s="259"/>
      <c r="AA132" s="259"/>
      <c r="AB132" s="259"/>
      <c r="AC132" s="259"/>
      <c r="AD132" s="259"/>
      <c r="AE132" s="259"/>
      <c r="AF132" s="259"/>
      <c r="AG132" s="259"/>
      <c r="AH132" s="259"/>
      <c r="AI132" s="259"/>
      <c r="AJ132" s="259"/>
      <c r="AK132" s="259"/>
      <c r="AL132" s="259"/>
      <c r="AM132" s="259"/>
      <c r="AN132" s="259"/>
      <c r="AO132" s="259"/>
      <c r="AP132" s="259"/>
      <c r="AQ132" s="259"/>
      <c r="AR132" s="259"/>
      <c r="AS132" s="259"/>
    </row>
    <row r="133" spans="1:45" x14ac:dyDescent="0.25">
      <c r="A133" s="396"/>
      <c r="B133" s="396"/>
      <c r="C133" s="396" t="s">
        <v>757</v>
      </c>
      <c r="D133" s="396"/>
      <c r="E133" s="396"/>
      <c r="F133" s="396"/>
      <c r="G133" s="396"/>
      <c r="H133" s="396"/>
      <c r="I133" s="396"/>
      <c r="J133" s="396"/>
      <c r="K133" s="396"/>
      <c r="L133" s="396"/>
      <c r="M133" s="396"/>
      <c r="N133" s="396"/>
      <c r="O133" s="396"/>
      <c r="P133" s="396"/>
      <c r="Q133" s="259"/>
      <c r="R133" s="259"/>
      <c r="S133" s="259"/>
      <c r="T133" s="259"/>
      <c r="U133" s="259"/>
      <c r="V133" s="259"/>
      <c r="W133" s="259"/>
      <c r="X133" s="259"/>
      <c r="Y133" s="259"/>
      <c r="Z133" s="259"/>
      <c r="AA133" s="259"/>
      <c r="AB133" s="259"/>
      <c r="AC133" s="259"/>
      <c r="AD133" s="259"/>
      <c r="AE133" s="259"/>
      <c r="AF133" s="259"/>
      <c r="AG133" s="259"/>
      <c r="AH133" s="259"/>
      <c r="AI133" s="259"/>
      <c r="AJ133" s="259"/>
      <c r="AK133" s="259"/>
      <c r="AL133" s="259"/>
      <c r="AM133" s="259"/>
      <c r="AN133" s="259"/>
      <c r="AO133" s="259"/>
      <c r="AP133" s="259"/>
      <c r="AQ133" s="259"/>
      <c r="AR133" s="259"/>
      <c r="AS133" s="259"/>
    </row>
    <row r="134" spans="1:45" x14ac:dyDescent="0.25">
      <c r="A134" s="396"/>
      <c r="B134" s="396"/>
      <c r="C134" s="396" t="s">
        <v>758</v>
      </c>
      <c r="D134" s="396"/>
      <c r="E134" s="396"/>
      <c r="F134" s="396"/>
      <c r="G134" s="396"/>
      <c r="H134" s="396"/>
      <c r="I134" s="396"/>
      <c r="J134" s="396"/>
      <c r="K134" s="396"/>
      <c r="L134" s="396"/>
      <c r="M134" s="396"/>
      <c r="N134" s="396"/>
      <c r="O134" s="396"/>
      <c r="P134" s="396"/>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row>
    <row r="135" spans="1:45" x14ac:dyDescent="0.25">
      <c r="A135" s="396"/>
      <c r="B135" s="396"/>
      <c r="C135" s="1288">
        <v>0.96960000000000002</v>
      </c>
      <c r="D135" s="1288">
        <v>0.97219999999999995</v>
      </c>
      <c r="E135" s="1288">
        <v>0.9738</v>
      </c>
      <c r="F135" s="1288">
        <v>0.97650000000000003</v>
      </c>
      <c r="G135" s="1288">
        <v>0.97560000000000002</v>
      </c>
      <c r="H135" s="1288">
        <v>0.9768</v>
      </c>
      <c r="I135" s="1288">
        <v>0.97629999999999995</v>
      </c>
      <c r="J135" s="1288">
        <v>0.97699999999999998</v>
      </c>
      <c r="K135" s="396"/>
      <c r="L135" s="396"/>
      <c r="M135" s="396"/>
      <c r="N135" s="396"/>
      <c r="O135" s="396"/>
      <c r="P135" s="396"/>
      <c r="Q135" s="259"/>
      <c r="R135" s="259"/>
      <c r="S135" s="259"/>
      <c r="T135" s="259"/>
      <c r="U135" s="259"/>
      <c r="V135" s="259"/>
      <c r="W135" s="259"/>
      <c r="X135" s="259"/>
      <c r="Y135" s="259"/>
      <c r="Z135" s="259"/>
      <c r="AA135" s="259"/>
      <c r="AB135" s="259"/>
      <c r="AC135" s="259"/>
      <c r="AD135" s="259"/>
      <c r="AE135" s="259"/>
      <c r="AF135" s="259"/>
      <c r="AG135" s="259"/>
      <c r="AH135" s="259"/>
      <c r="AI135" s="259"/>
      <c r="AJ135" s="259"/>
      <c r="AK135" s="259"/>
      <c r="AL135" s="259"/>
      <c r="AM135" s="259"/>
      <c r="AN135" s="259"/>
      <c r="AO135" s="259"/>
      <c r="AP135" s="259"/>
      <c r="AQ135" s="259"/>
      <c r="AR135" s="259"/>
      <c r="AS135" s="259"/>
    </row>
    <row r="136" spans="1:45" x14ac:dyDescent="0.25">
      <c r="A136" s="396"/>
      <c r="B136" s="396"/>
      <c r="C136" s="396" t="s">
        <v>771</v>
      </c>
      <c r="D136" s="396" t="s">
        <v>772</v>
      </c>
      <c r="E136" s="396"/>
      <c r="F136" s="396"/>
      <c r="G136" s="396"/>
      <c r="H136" s="396"/>
      <c r="I136" s="396"/>
      <c r="J136" s="396"/>
      <c r="K136" s="396"/>
      <c r="L136" s="396"/>
      <c r="M136" s="396"/>
      <c r="N136" s="396"/>
      <c r="O136" s="396"/>
      <c r="P136" s="396"/>
      <c r="Q136" s="259"/>
      <c r="R136" s="259"/>
      <c r="S136" s="259"/>
      <c r="T136" s="259"/>
      <c r="U136" s="259"/>
      <c r="V136" s="259"/>
      <c r="W136" s="259"/>
      <c r="X136" s="259"/>
      <c r="Y136" s="259"/>
      <c r="Z136" s="259"/>
      <c r="AA136" s="259"/>
      <c r="AB136" s="259"/>
      <c r="AC136" s="259"/>
      <c r="AD136" s="259"/>
      <c r="AE136" s="259"/>
      <c r="AF136" s="259"/>
      <c r="AG136" s="259"/>
      <c r="AH136" s="259"/>
      <c r="AI136" s="259"/>
      <c r="AJ136" s="259"/>
      <c r="AK136" s="259"/>
      <c r="AL136" s="259"/>
      <c r="AM136" s="259"/>
      <c r="AN136" s="259"/>
      <c r="AO136" s="259"/>
      <c r="AP136" s="259"/>
      <c r="AQ136" s="259"/>
      <c r="AR136" s="259"/>
      <c r="AS136" s="259"/>
    </row>
    <row r="137" spans="1:45" x14ac:dyDescent="0.25">
      <c r="A137" s="396"/>
      <c r="B137" s="396"/>
      <c r="C137" s="396" t="s">
        <v>759</v>
      </c>
      <c r="D137" s="396"/>
      <c r="E137" s="396"/>
      <c r="F137" s="396"/>
      <c r="G137" s="396"/>
      <c r="H137" s="396"/>
      <c r="I137" s="396"/>
      <c r="J137" s="396"/>
      <c r="K137" s="396"/>
      <c r="L137" s="396"/>
      <c r="M137" s="396"/>
      <c r="N137" s="396"/>
      <c r="O137" s="396"/>
      <c r="P137" s="396"/>
      <c r="Q137" s="259"/>
      <c r="R137" s="259"/>
      <c r="S137" s="259"/>
      <c r="T137" s="259"/>
      <c r="U137" s="259"/>
      <c r="V137" s="259"/>
      <c r="W137" s="259"/>
      <c r="X137" s="259"/>
      <c r="Y137" s="259"/>
      <c r="Z137" s="259"/>
      <c r="AA137" s="259"/>
      <c r="AB137" s="259"/>
      <c r="AC137" s="259"/>
      <c r="AD137" s="259"/>
      <c r="AE137" s="259"/>
      <c r="AF137" s="259"/>
      <c r="AG137" s="259"/>
      <c r="AH137" s="259"/>
      <c r="AI137" s="259"/>
      <c r="AJ137" s="259"/>
      <c r="AK137" s="259"/>
      <c r="AL137" s="259"/>
      <c r="AM137" s="259"/>
      <c r="AN137" s="259"/>
      <c r="AO137" s="259"/>
      <c r="AP137" s="259"/>
      <c r="AQ137" s="259"/>
      <c r="AR137" s="259"/>
      <c r="AS137" s="259"/>
    </row>
    <row r="138" spans="1:45" x14ac:dyDescent="0.25">
      <c r="A138" s="396"/>
      <c r="B138" s="396"/>
      <c r="C138" s="396">
        <v>28.7</v>
      </c>
      <c r="D138" s="396">
        <v>28.9</v>
      </c>
      <c r="E138" s="396">
        <v>29</v>
      </c>
      <c r="F138" s="396">
        <v>27.7</v>
      </c>
      <c r="G138" s="396">
        <v>27.3</v>
      </c>
      <c r="H138" s="396">
        <v>27.7</v>
      </c>
      <c r="I138" s="396">
        <v>27.8</v>
      </c>
      <c r="J138" s="396">
        <v>27.8</v>
      </c>
      <c r="K138" s="396"/>
      <c r="L138" s="396"/>
      <c r="M138" s="396"/>
      <c r="N138" s="396"/>
      <c r="O138" s="396"/>
      <c r="P138" s="396"/>
      <c r="Q138" s="259"/>
      <c r="R138" s="259"/>
      <c r="S138" s="259"/>
      <c r="T138" s="259"/>
      <c r="U138" s="259"/>
      <c r="V138" s="259"/>
      <c r="W138" s="259"/>
      <c r="X138" s="259"/>
      <c r="Y138" s="259"/>
      <c r="Z138" s="259"/>
      <c r="AA138" s="259"/>
      <c r="AB138" s="259"/>
      <c r="AC138" s="259"/>
      <c r="AD138" s="259"/>
      <c r="AE138" s="259"/>
      <c r="AF138" s="259"/>
      <c r="AG138" s="259"/>
      <c r="AH138" s="259"/>
      <c r="AI138" s="259"/>
      <c r="AJ138" s="259"/>
      <c r="AK138" s="259"/>
      <c r="AL138" s="259"/>
      <c r="AM138" s="259"/>
      <c r="AN138" s="259"/>
      <c r="AO138" s="259"/>
      <c r="AP138" s="259"/>
      <c r="AQ138" s="259"/>
      <c r="AR138" s="259"/>
      <c r="AS138" s="259"/>
    </row>
    <row r="139" spans="1:45" x14ac:dyDescent="0.25">
      <c r="A139" s="396"/>
      <c r="B139" s="396"/>
      <c r="C139" s="396" t="s">
        <v>773</v>
      </c>
      <c r="D139" s="396" t="s">
        <v>774</v>
      </c>
      <c r="E139" s="396"/>
      <c r="F139" s="396"/>
      <c r="G139" s="396"/>
      <c r="H139" s="396"/>
      <c r="I139" s="396"/>
      <c r="J139" s="396"/>
      <c r="K139" s="396"/>
      <c r="L139" s="396"/>
      <c r="M139" s="396"/>
      <c r="N139" s="396"/>
      <c r="O139" s="396"/>
      <c r="P139" s="396"/>
      <c r="Q139" s="259"/>
      <c r="R139" s="259"/>
      <c r="S139" s="259"/>
      <c r="T139" s="259"/>
      <c r="U139" s="259"/>
      <c r="V139" s="259"/>
      <c r="W139" s="259"/>
      <c r="X139" s="259"/>
      <c r="Y139" s="259"/>
      <c r="Z139" s="259"/>
      <c r="AA139" s="259"/>
      <c r="AB139" s="259"/>
      <c r="AC139" s="259"/>
      <c r="AD139" s="259"/>
      <c r="AE139" s="259"/>
      <c r="AF139" s="259"/>
      <c r="AG139" s="259"/>
      <c r="AH139" s="259"/>
      <c r="AI139" s="259"/>
      <c r="AJ139" s="259"/>
      <c r="AK139" s="259"/>
      <c r="AL139" s="259"/>
      <c r="AM139" s="259"/>
      <c r="AN139" s="259"/>
      <c r="AO139" s="259"/>
      <c r="AP139" s="259"/>
      <c r="AQ139" s="259"/>
      <c r="AR139" s="259"/>
      <c r="AS139" s="259"/>
    </row>
    <row r="140" spans="1:45" x14ac:dyDescent="0.25">
      <c r="A140" s="396"/>
      <c r="B140" s="396"/>
      <c r="C140" s="396" t="s">
        <v>775</v>
      </c>
      <c r="D140" s="396" t="s">
        <v>776</v>
      </c>
      <c r="E140" s="396" t="s">
        <v>765</v>
      </c>
      <c r="F140" s="396"/>
      <c r="G140" s="396"/>
      <c r="H140" s="396"/>
      <c r="I140" s="396"/>
      <c r="J140" s="396"/>
      <c r="K140" s="396"/>
      <c r="L140" s="396"/>
      <c r="M140" s="396"/>
      <c r="N140" s="396"/>
      <c r="O140" s="396"/>
      <c r="P140" s="396"/>
      <c r="Q140" s="259"/>
      <c r="R140" s="259"/>
      <c r="S140" s="259"/>
      <c r="T140" s="259"/>
      <c r="U140" s="259"/>
      <c r="V140" s="259"/>
      <c r="W140" s="259"/>
      <c r="X140" s="259"/>
      <c r="Y140" s="259"/>
      <c r="Z140" s="259"/>
      <c r="AA140" s="259"/>
      <c r="AB140" s="259"/>
      <c r="AC140" s="259"/>
      <c r="AD140" s="259"/>
      <c r="AE140" s="259"/>
      <c r="AF140" s="259"/>
      <c r="AG140" s="259"/>
      <c r="AH140" s="259"/>
      <c r="AI140" s="259"/>
      <c r="AJ140" s="259"/>
      <c r="AK140" s="259"/>
      <c r="AL140" s="259"/>
      <c r="AM140" s="259"/>
      <c r="AN140" s="259"/>
      <c r="AO140" s="259"/>
      <c r="AP140" s="259"/>
      <c r="AQ140" s="259"/>
      <c r="AR140" s="259"/>
      <c r="AS140" s="259"/>
    </row>
    <row r="141" spans="1:45" x14ac:dyDescent="0.25">
      <c r="A141" s="396"/>
      <c r="B141" s="396"/>
      <c r="C141" s="396" t="s">
        <v>732</v>
      </c>
      <c r="D141" s="396" t="s">
        <v>733</v>
      </c>
      <c r="E141" s="396"/>
      <c r="F141" s="396"/>
      <c r="G141" s="396"/>
      <c r="H141" s="396"/>
      <c r="I141" s="396"/>
      <c r="J141" s="396"/>
      <c r="K141" s="396"/>
      <c r="L141" s="396"/>
      <c r="M141" s="396"/>
      <c r="N141" s="396"/>
      <c r="O141" s="396"/>
      <c r="P141" s="396"/>
      <c r="Q141" s="259"/>
      <c r="R141" s="259"/>
      <c r="S141" s="259"/>
      <c r="T141" s="259"/>
      <c r="U141" s="259"/>
      <c r="V141" s="259"/>
      <c r="W141" s="259"/>
      <c r="X141" s="259"/>
      <c r="Y141" s="259"/>
      <c r="Z141" s="259"/>
      <c r="AA141" s="259"/>
      <c r="AB141" s="259"/>
      <c r="AC141" s="259"/>
      <c r="AD141" s="259"/>
      <c r="AE141" s="259"/>
      <c r="AF141" s="259"/>
      <c r="AG141" s="259"/>
      <c r="AH141" s="259"/>
      <c r="AI141" s="259"/>
      <c r="AJ141" s="259"/>
      <c r="AK141" s="259"/>
      <c r="AL141" s="259"/>
      <c r="AM141" s="259"/>
      <c r="AN141" s="259"/>
      <c r="AO141" s="259"/>
      <c r="AP141" s="259"/>
      <c r="AQ141" s="259"/>
      <c r="AR141" s="259"/>
      <c r="AS141" s="259"/>
    </row>
    <row r="142" spans="1:45" x14ac:dyDescent="0.25">
      <c r="A142" s="396"/>
      <c r="B142" s="396"/>
      <c r="C142" s="396" t="s">
        <v>346</v>
      </c>
      <c r="D142" s="396"/>
      <c r="E142" s="396"/>
      <c r="F142" s="396"/>
      <c r="G142" s="396"/>
      <c r="H142" s="396"/>
      <c r="I142" s="396"/>
      <c r="J142" s="396"/>
      <c r="K142" s="396"/>
      <c r="L142" s="396"/>
      <c r="M142" s="396"/>
      <c r="N142" s="396"/>
      <c r="O142" s="396"/>
      <c r="P142" s="396"/>
      <c r="Q142" s="259"/>
      <c r="R142" s="259"/>
      <c r="S142" s="259"/>
      <c r="T142" s="259"/>
      <c r="U142" s="259"/>
      <c r="V142" s="259"/>
      <c r="W142" s="259"/>
      <c r="X142" s="259"/>
      <c r="Y142" s="259"/>
      <c r="Z142" s="259"/>
      <c r="AA142" s="259"/>
      <c r="AB142" s="259"/>
      <c r="AC142" s="259"/>
      <c r="AD142" s="259"/>
      <c r="AE142" s="259"/>
      <c r="AF142" s="259"/>
      <c r="AG142" s="259"/>
      <c r="AH142" s="259"/>
      <c r="AI142" s="259"/>
      <c r="AJ142" s="259"/>
      <c r="AK142" s="259"/>
      <c r="AL142" s="259"/>
      <c r="AM142" s="259"/>
      <c r="AN142" s="259"/>
      <c r="AO142" s="259"/>
      <c r="AP142" s="259"/>
      <c r="AQ142" s="259"/>
      <c r="AR142" s="259"/>
      <c r="AS142" s="259"/>
    </row>
    <row r="143" spans="1:45" x14ac:dyDescent="0.25">
      <c r="A143" s="396"/>
      <c r="B143" s="396"/>
      <c r="C143" s="1386">
        <v>16389891</v>
      </c>
      <c r="D143" s="1386">
        <v>17738894</v>
      </c>
      <c r="E143" s="1386">
        <v>19259205</v>
      </c>
      <c r="F143" s="1386">
        <v>21751043</v>
      </c>
      <c r="G143" s="1386">
        <v>22674811</v>
      </c>
      <c r="H143" s="1386">
        <v>23440616</v>
      </c>
      <c r="I143" s="1386">
        <v>24341950</v>
      </c>
      <c r="J143" s="396"/>
      <c r="K143" s="396"/>
      <c r="L143" s="396"/>
      <c r="M143" s="396"/>
      <c r="N143" s="396"/>
      <c r="O143" s="396"/>
      <c r="P143" s="396"/>
      <c r="Q143" s="259"/>
      <c r="R143" s="259"/>
      <c r="S143" s="259"/>
      <c r="T143" s="259"/>
      <c r="U143" s="259"/>
      <c r="V143" s="259"/>
      <c r="W143" s="259"/>
      <c r="X143" s="259"/>
      <c r="Y143" s="259"/>
      <c r="Z143" s="259"/>
      <c r="AA143" s="259"/>
      <c r="AB143" s="259"/>
      <c r="AC143" s="259"/>
      <c r="AD143" s="259"/>
      <c r="AE143" s="259"/>
      <c r="AF143" s="259"/>
      <c r="AG143" s="259"/>
      <c r="AH143" s="259"/>
      <c r="AI143" s="259"/>
      <c r="AJ143" s="259"/>
      <c r="AK143" s="259"/>
      <c r="AL143" s="259"/>
      <c r="AM143" s="259"/>
      <c r="AN143" s="259"/>
      <c r="AO143" s="259"/>
      <c r="AP143" s="259"/>
      <c r="AQ143" s="259"/>
      <c r="AR143" s="259"/>
      <c r="AS143" s="259"/>
    </row>
    <row r="144" spans="1:45" x14ac:dyDescent="0.25">
      <c r="A144" s="396"/>
      <c r="B144" s="396"/>
      <c r="C144" s="396" t="s">
        <v>732</v>
      </c>
      <c r="D144" s="396" t="s">
        <v>733</v>
      </c>
      <c r="E144" s="396"/>
      <c r="F144" s="396"/>
      <c r="G144" s="396"/>
      <c r="H144" s="396"/>
      <c r="I144" s="396"/>
      <c r="J144" s="396"/>
      <c r="K144" s="396"/>
      <c r="L144" s="396"/>
      <c r="M144" s="396"/>
      <c r="N144" s="396"/>
      <c r="O144" s="396"/>
      <c r="P144" s="396"/>
      <c r="Q144" s="259"/>
      <c r="R144" s="259"/>
      <c r="S144" s="259"/>
      <c r="T144" s="259"/>
      <c r="U144" s="259"/>
      <c r="V144" s="259"/>
      <c r="W144" s="259"/>
      <c r="X144" s="259"/>
      <c r="Y144" s="259"/>
      <c r="Z144" s="259"/>
      <c r="AA144" s="259"/>
      <c r="AB144" s="259"/>
      <c r="AC144" s="259"/>
      <c r="AD144" s="259"/>
      <c r="AE144" s="259"/>
      <c r="AF144" s="259"/>
      <c r="AG144" s="259"/>
      <c r="AH144" s="259"/>
      <c r="AI144" s="259"/>
      <c r="AJ144" s="259"/>
      <c r="AK144" s="259"/>
      <c r="AL144" s="259"/>
      <c r="AM144" s="259"/>
      <c r="AN144" s="259"/>
      <c r="AO144" s="259"/>
      <c r="AP144" s="259"/>
      <c r="AQ144" s="259"/>
      <c r="AR144" s="259"/>
      <c r="AS144" s="259"/>
    </row>
    <row r="145" spans="1:45" x14ac:dyDescent="0.25">
      <c r="A145" s="396"/>
      <c r="B145" s="396"/>
      <c r="C145" s="396" t="s">
        <v>346</v>
      </c>
      <c r="D145" s="396" t="s">
        <v>777</v>
      </c>
      <c r="E145" s="396"/>
      <c r="F145" s="396"/>
      <c r="G145" s="396"/>
      <c r="H145" s="396"/>
      <c r="I145" s="396"/>
      <c r="J145" s="396"/>
      <c r="K145" s="396"/>
      <c r="L145" s="396"/>
      <c r="M145" s="396"/>
      <c r="N145" s="396"/>
      <c r="O145" s="396"/>
      <c r="P145" s="396"/>
      <c r="Q145" s="259"/>
      <c r="R145" s="259"/>
      <c r="S145" s="259"/>
      <c r="T145" s="259"/>
      <c r="U145" s="259"/>
      <c r="V145" s="259"/>
      <c r="W145" s="259"/>
      <c r="X145" s="259"/>
      <c r="Y145" s="259"/>
      <c r="Z145" s="259"/>
      <c r="AA145" s="259"/>
      <c r="AB145" s="259"/>
      <c r="AC145" s="259"/>
      <c r="AD145" s="259"/>
      <c r="AE145" s="259"/>
      <c r="AF145" s="259"/>
      <c r="AG145" s="259"/>
      <c r="AH145" s="259"/>
      <c r="AI145" s="259"/>
      <c r="AJ145" s="259"/>
      <c r="AK145" s="259"/>
      <c r="AL145" s="259"/>
      <c r="AM145" s="259"/>
      <c r="AN145" s="259"/>
      <c r="AO145" s="259"/>
      <c r="AP145" s="259"/>
      <c r="AQ145" s="259"/>
      <c r="AR145" s="259"/>
      <c r="AS145" s="259"/>
    </row>
    <row r="146" spans="1:45" x14ac:dyDescent="0.25">
      <c r="A146" s="396"/>
      <c r="B146" s="396"/>
      <c r="C146" s="1386">
        <v>222985622</v>
      </c>
      <c r="D146" s="396"/>
      <c r="E146" s="396"/>
      <c r="F146" s="396"/>
      <c r="G146" s="396"/>
      <c r="H146" s="396"/>
      <c r="I146" s="396"/>
      <c r="J146" s="396"/>
      <c r="K146" s="396"/>
      <c r="L146" s="396"/>
      <c r="M146" s="396"/>
      <c r="N146" s="396"/>
      <c r="O146" s="396"/>
      <c r="P146" s="396"/>
      <c r="Q146" s="259"/>
      <c r="R146" s="259"/>
      <c r="S146" s="259"/>
      <c r="T146" s="259"/>
      <c r="U146" s="259"/>
      <c r="V146" s="259"/>
      <c r="W146" s="259"/>
      <c r="X146" s="259"/>
      <c r="Y146" s="259"/>
      <c r="Z146" s="259"/>
      <c r="AA146" s="259"/>
      <c r="AB146" s="259"/>
      <c r="AC146" s="259"/>
      <c r="AD146" s="259"/>
      <c r="AE146" s="259"/>
      <c r="AF146" s="259"/>
      <c r="AG146" s="259"/>
      <c r="AH146" s="259"/>
      <c r="AI146" s="259"/>
      <c r="AJ146" s="259"/>
      <c r="AK146" s="259"/>
      <c r="AL146" s="259"/>
      <c r="AM146" s="259"/>
      <c r="AN146" s="259"/>
      <c r="AO146" s="259"/>
      <c r="AP146" s="259"/>
      <c r="AQ146" s="259"/>
      <c r="AR146" s="259"/>
      <c r="AS146" s="259"/>
    </row>
    <row r="147" spans="1:45" x14ac:dyDescent="0.25">
      <c r="A147" s="396"/>
      <c r="B147" s="396"/>
      <c r="C147" s="396" t="s">
        <v>707</v>
      </c>
      <c r="D147" s="396"/>
      <c r="E147" s="396"/>
      <c r="F147" s="396"/>
      <c r="G147" s="396"/>
      <c r="H147" s="396"/>
      <c r="I147" s="396"/>
      <c r="J147" s="396"/>
      <c r="K147" s="396"/>
      <c r="L147" s="396"/>
      <c r="M147" s="396"/>
      <c r="N147" s="396"/>
      <c r="O147" s="396"/>
      <c r="P147" s="396"/>
      <c r="Q147" s="259"/>
      <c r="R147" s="259"/>
      <c r="S147" s="259"/>
      <c r="T147" s="259"/>
      <c r="U147" s="259"/>
      <c r="V147" s="259"/>
      <c r="W147" s="259"/>
      <c r="X147" s="259"/>
      <c r="Y147" s="259"/>
      <c r="Z147" s="259"/>
      <c r="AA147" s="259"/>
      <c r="AB147" s="259"/>
      <c r="AC147" s="259"/>
      <c r="AD147" s="259"/>
      <c r="AE147" s="259"/>
      <c r="AF147" s="259"/>
      <c r="AG147" s="259"/>
      <c r="AH147" s="259"/>
      <c r="AI147" s="259"/>
      <c r="AJ147" s="259"/>
      <c r="AK147" s="259"/>
      <c r="AL147" s="259"/>
      <c r="AM147" s="259"/>
      <c r="AN147" s="259"/>
      <c r="AO147" s="259"/>
      <c r="AP147" s="259"/>
      <c r="AQ147" s="259"/>
      <c r="AR147" s="259"/>
      <c r="AS147" s="259"/>
    </row>
    <row r="148" spans="1:45" x14ac:dyDescent="0.25">
      <c r="A148" s="396"/>
      <c r="B148" s="396"/>
      <c r="C148" s="396" t="s">
        <v>347</v>
      </c>
      <c r="D148" s="396"/>
      <c r="E148" s="396"/>
      <c r="F148" s="396"/>
      <c r="G148" s="396"/>
      <c r="H148" s="396"/>
      <c r="I148" s="396"/>
      <c r="J148" s="396"/>
      <c r="K148" s="396"/>
      <c r="L148" s="396"/>
      <c r="M148" s="396"/>
      <c r="N148" s="396"/>
      <c r="O148" s="396"/>
      <c r="P148" s="396"/>
      <c r="Q148" s="259"/>
      <c r="R148" s="259"/>
      <c r="S148" s="259"/>
      <c r="T148" s="259"/>
      <c r="U148" s="259"/>
      <c r="V148" s="259"/>
      <c r="W148" s="259"/>
      <c r="X148" s="259"/>
      <c r="Y148" s="259"/>
      <c r="Z148" s="259"/>
      <c r="AA148" s="259"/>
      <c r="AB148" s="259"/>
      <c r="AC148" s="259"/>
      <c r="AD148" s="259"/>
      <c r="AE148" s="259"/>
      <c r="AF148" s="259"/>
      <c r="AG148" s="259"/>
      <c r="AH148" s="259"/>
      <c r="AI148" s="259"/>
      <c r="AJ148" s="259"/>
      <c r="AK148" s="259"/>
      <c r="AL148" s="259"/>
      <c r="AM148" s="259"/>
      <c r="AN148" s="259"/>
      <c r="AO148" s="259"/>
      <c r="AP148" s="259"/>
      <c r="AQ148" s="259"/>
      <c r="AR148" s="259"/>
      <c r="AS148" s="259"/>
    </row>
    <row r="149" spans="1:45" x14ac:dyDescent="0.25">
      <c r="A149" s="396"/>
      <c r="B149" s="396"/>
      <c r="C149" s="396">
        <v>164</v>
      </c>
      <c r="D149" s="396">
        <v>170</v>
      </c>
      <c r="E149" s="396">
        <v>167</v>
      </c>
      <c r="F149" s="396">
        <v>153</v>
      </c>
      <c r="G149" s="396">
        <v>157</v>
      </c>
      <c r="H149" s="396">
        <v>161</v>
      </c>
      <c r="I149" s="396">
        <v>159</v>
      </c>
      <c r="J149" s="396">
        <v>27</v>
      </c>
      <c r="K149" s="396"/>
      <c r="L149" s="396"/>
      <c r="M149" s="396"/>
      <c r="N149" s="396"/>
      <c r="O149" s="396"/>
      <c r="P149" s="396"/>
      <c r="Q149" s="259"/>
      <c r="R149" s="259"/>
      <c r="S149" s="259"/>
      <c r="T149" s="259"/>
      <c r="U149" s="259"/>
      <c r="V149" s="259"/>
      <c r="W149" s="259"/>
      <c r="X149" s="259"/>
      <c r="Y149" s="259"/>
      <c r="Z149" s="259"/>
      <c r="AA149" s="259"/>
      <c r="AB149" s="259"/>
      <c r="AC149" s="259"/>
      <c r="AD149" s="259"/>
      <c r="AE149" s="259"/>
      <c r="AF149" s="259"/>
      <c r="AG149" s="259"/>
      <c r="AH149" s="259"/>
      <c r="AI149" s="259"/>
      <c r="AJ149" s="259"/>
      <c r="AK149" s="259"/>
      <c r="AL149" s="259"/>
      <c r="AM149" s="259"/>
      <c r="AN149" s="259"/>
      <c r="AO149" s="259"/>
      <c r="AP149" s="259"/>
      <c r="AQ149" s="259"/>
      <c r="AR149" s="259"/>
      <c r="AS149" s="259"/>
    </row>
    <row r="150" spans="1:45" x14ac:dyDescent="0.25">
      <c r="A150" s="396"/>
      <c r="B150" s="396"/>
      <c r="C150" s="396"/>
      <c r="D150" s="396"/>
      <c r="E150" s="396"/>
      <c r="F150" s="396"/>
      <c r="G150" s="396"/>
      <c r="H150" s="396"/>
      <c r="I150" s="396"/>
      <c r="J150" s="396"/>
      <c r="K150" s="396"/>
      <c r="L150" s="396"/>
      <c r="M150" s="396"/>
      <c r="N150" s="396"/>
      <c r="O150" s="396"/>
      <c r="P150" s="396"/>
      <c r="Q150" s="259"/>
      <c r="R150" s="259"/>
      <c r="S150" s="259"/>
      <c r="T150" s="259"/>
      <c r="U150" s="259"/>
      <c r="V150" s="259"/>
      <c r="W150" s="259"/>
      <c r="X150" s="259"/>
      <c r="Y150" s="259"/>
      <c r="Z150" s="259"/>
      <c r="AA150" s="259"/>
      <c r="AB150" s="259"/>
      <c r="AC150" s="259"/>
      <c r="AD150" s="259"/>
      <c r="AE150" s="259"/>
      <c r="AF150" s="259"/>
      <c r="AG150" s="259"/>
      <c r="AH150" s="259"/>
      <c r="AI150" s="259"/>
      <c r="AJ150" s="259"/>
      <c r="AK150" s="259"/>
      <c r="AL150" s="259"/>
      <c r="AM150" s="259"/>
      <c r="AN150" s="259"/>
      <c r="AO150" s="259"/>
      <c r="AP150" s="259"/>
      <c r="AQ150" s="259"/>
      <c r="AR150" s="259"/>
      <c r="AS150" s="259"/>
    </row>
    <row r="151" spans="1:45" x14ac:dyDescent="0.25">
      <c r="A151" s="396"/>
      <c r="B151" s="396"/>
      <c r="C151" s="396"/>
      <c r="D151" s="396"/>
      <c r="E151" s="396"/>
      <c r="F151" s="396"/>
      <c r="G151" s="396"/>
      <c r="H151" s="396"/>
      <c r="I151" s="396"/>
      <c r="J151" s="396"/>
      <c r="K151" s="396"/>
      <c r="L151" s="396"/>
      <c r="M151" s="396"/>
      <c r="N151" s="396"/>
      <c r="O151" s="396"/>
      <c r="P151" s="396"/>
      <c r="Q151" s="259"/>
      <c r="R151" s="259"/>
      <c r="S151" s="259"/>
      <c r="T151" s="259"/>
      <c r="U151" s="259"/>
      <c r="V151" s="259"/>
      <c r="W151" s="259"/>
      <c r="X151" s="259"/>
      <c r="Y151" s="259"/>
      <c r="Z151" s="259"/>
      <c r="AA151" s="259"/>
      <c r="AB151" s="259"/>
      <c r="AC151" s="259"/>
      <c r="AD151" s="259"/>
      <c r="AE151" s="259"/>
      <c r="AF151" s="259"/>
      <c r="AG151" s="259"/>
      <c r="AH151" s="259"/>
      <c r="AI151" s="259"/>
      <c r="AJ151" s="259"/>
      <c r="AK151" s="259"/>
      <c r="AL151" s="259"/>
      <c r="AM151" s="259"/>
      <c r="AN151" s="259"/>
      <c r="AO151" s="259"/>
      <c r="AP151" s="259"/>
      <c r="AQ151" s="259"/>
      <c r="AR151" s="259"/>
      <c r="AS151" s="259"/>
    </row>
    <row r="152" spans="1:45" x14ac:dyDescent="0.25">
      <c r="A152" s="396"/>
      <c r="B152" s="396"/>
      <c r="C152" s="396"/>
      <c r="D152" s="396"/>
      <c r="E152" s="396"/>
      <c r="F152" s="396"/>
      <c r="G152" s="396"/>
      <c r="H152" s="396"/>
      <c r="I152" s="396"/>
      <c r="J152" s="396"/>
      <c r="K152" s="396"/>
      <c r="L152" s="396"/>
      <c r="M152" s="396"/>
      <c r="N152" s="396"/>
      <c r="O152" s="396"/>
      <c r="P152" s="396"/>
      <c r="Q152" s="259"/>
      <c r="R152" s="259"/>
      <c r="S152" s="259"/>
      <c r="T152" s="259"/>
      <c r="U152" s="259"/>
      <c r="V152" s="259"/>
      <c r="W152" s="259"/>
      <c r="X152" s="259"/>
      <c r="Y152" s="259"/>
      <c r="Z152" s="259"/>
      <c r="AA152" s="259"/>
      <c r="AB152" s="259"/>
      <c r="AC152" s="259"/>
      <c r="AD152" s="259"/>
      <c r="AE152" s="259"/>
      <c r="AF152" s="259"/>
      <c r="AG152" s="259"/>
      <c r="AH152" s="259"/>
      <c r="AI152" s="259"/>
      <c r="AJ152" s="259"/>
      <c r="AK152" s="259"/>
      <c r="AL152" s="259"/>
      <c r="AM152" s="259"/>
      <c r="AN152" s="259"/>
      <c r="AO152" s="259"/>
      <c r="AP152" s="259"/>
      <c r="AQ152" s="259"/>
      <c r="AR152" s="259"/>
      <c r="AS152" s="259"/>
    </row>
    <row r="153" spans="1:45" x14ac:dyDescent="0.25">
      <c r="A153" s="396"/>
      <c r="B153" s="396"/>
      <c r="C153" s="396"/>
      <c r="D153" s="396"/>
      <c r="E153" s="396"/>
      <c r="F153" s="396"/>
      <c r="G153" s="396"/>
      <c r="H153" s="396"/>
      <c r="I153" s="396"/>
      <c r="J153" s="396"/>
      <c r="K153" s="396"/>
      <c r="L153" s="396"/>
      <c r="M153" s="396"/>
      <c r="N153" s="396"/>
      <c r="O153" s="396"/>
      <c r="P153" s="396"/>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59"/>
      <c r="AP153" s="259"/>
      <c r="AQ153" s="259"/>
      <c r="AR153" s="259"/>
      <c r="AS153" s="259"/>
    </row>
    <row r="154" spans="1:45" x14ac:dyDescent="0.25">
      <c r="A154" s="396"/>
      <c r="B154" s="396"/>
      <c r="C154" s="1413">
        <v>8.3003164545874641E-2</v>
      </c>
      <c r="D154" s="1413">
        <v>3.3154770598104566E-2</v>
      </c>
      <c r="E154" s="1413">
        <v>0.13914319809246978</v>
      </c>
      <c r="F154" s="1413">
        <v>-2.5430695812534876E-2</v>
      </c>
      <c r="G154" s="1413">
        <v>-3.1048601628816175E-2</v>
      </c>
      <c r="H154" s="1417">
        <v>0.11440118978675162</v>
      </c>
      <c r="I154" s="1417">
        <v>9.4964329865828034E-2</v>
      </c>
      <c r="J154" s="1417">
        <v>4.8324125846418209E-2</v>
      </c>
      <c r="K154" s="396"/>
      <c r="L154" s="396"/>
      <c r="M154" s="396"/>
      <c r="N154" s="396"/>
      <c r="O154" s="396"/>
      <c r="P154" s="396"/>
      <c r="Q154" s="259"/>
      <c r="R154" s="259"/>
      <c r="S154" s="259"/>
      <c r="T154" s="259"/>
      <c r="U154" s="259"/>
      <c r="V154" s="259"/>
      <c r="W154" s="259"/>
      <c r="X154" s="259"/>
      <c r="Y154" s="259"/>
      <c r="Z154" s="259"/>
      <c r="AA154" s="259"/>
      <c r="AB154" s="259"/>
      <c r="AC154" s="259"/>
      <c r="AD154" s="259"/>
      <c r="AE154" s="259"/>
      <c r="AF154" s="259"/>
      <c r="AG154" s="259"/>
      <c r="AH154" s="259"/>
      <c r="AI154" s="259"/>
      <c r="AJ154" s="259"/>
      <c r="AK154" s="259"/>
      <c r="AL154" s="259"/>
      <c r="AM154" s="259"/>
      <c r="AN154" s="259"/>
      <c r="AO154" s="259"/>
      <c r="AP154" s="259"/>
      <c r="AQ154" s="259"/>
      <c r="AR154" s="259"/>
      <c r="AS154" s="259"/>
    </row>
    <row r="155" spans="1:45" x14ac:dyDescent="0.25">
      <c r="A155" s="396"/>
      <c r="B155" s="396"/>
      <c r="C155" s="396"/>
      <c r="D155" s="396"/>
      <c r="E155" s="396"/>
      <c r="F155" s="396"/>
      <c r="G155" s="396"/>
      <c r="H155" s="396"/>
      <c r="I155" s="396"/>
      <c r="J155" s="396"/>
      <c r="K155" s="1413">
        <v>0.21131027801563063</v>
      </c>
      <c r="L155" s="1413">
        <v>-0.13181359999999998</v>
      </c>
      <c r="M155" s="1413">
        <v>3.9028599999999969E-2</v>
      </c>
      <c r="N155" s="1413">
        <v>2.8686999999999907E-2</v>
      </c>
      <c r="O155" s="1413">
        <v>0.54285910000000004</v>
      </c>
      <c r="P155" s="396"/>
      <c r="Q155" s="259"/>
      <c r="R155" s="259"/>
      <c r="S155" s="259"/>
      <c r="T155" s="259"/>
      <c r="U155" s="259"/>
      <c r="V155" s="259"/>
      <c r="W155" s="259"/>
      <c r="X155" s="259"/>
      <c r="Y155" s="259"/>
      <c r="Z155" s="259"/>
      <c r="AA155" s="259"/>
      <c r="AB155" s="259"/>
      <c r="AC155" s="259"/>
      <c r="AD155" s="259"/>
      <c r="AE155" s="259"/>
      <c r="AF155" s="259"/>
      <c r="AG155" s="259"/>
      <c r="AH155" s="259"/>
      <c r="AI155" s="259"/>
      <c r="AJ155" s="259"/>
      <c r="AK155" s="259"/>
      <c r="AL155" s="259"/>
      <c r="AM155" s="259"/>
      <c r="AN155" s="259"/>
      <c r="AO155" s="259"/>
      <c r="AP155" s="259"/>
      <c r="AQ155" s="259"/>
      <c r="AR155" s="259"/>
      <c r="AS155" s="259"/>
    </row>
    <row r="156" spans="1:45" x14ac:dyDescent="0.25">
      <c r="A156" s="396"/>
      <c r="B156" s="396"/>
      <c r="C156" s="396"/>
      <c r="D156" s="396"/>
      <c r="E156" s="396"/>
      <c r="F156" s="396"/>
      <c r="G156" s="396"/>
      <c r="H156" s="396"/>
      <c r="I156" s="396"/>
      <c r="J156" s="396"/>
      <c r="K156" s="396"/>
      <c r="L156" s="396"/>
      <c r="M156" s="396"/>
      <c r="N156" s="396"/>
      <c r="O156" s="396"/>
      <c r="P156" s="396"/>
      <c r="Q156" s="259"/>
      <c r="R156" s="259"/>
      <c r="S156" s="259"/>
      <c r="T156" s="259"/>
      <c r="U156" s="259"/>
      <c r="V156" s="259"/>
      <c r="W156" s="259"/>
      <c r="X156" s="259"/>
      <c r="Y156" s="259"/>
      <c r="Z156" s="259"/>
      <c r="AA156" s="259"/>
      <c r="AB156" s="259"/>
      <c r="AC156" s="259"/>
      <c r="AD156" s="259"/>
      <c r="AE156" s="259"/>
      <c r="AF156" s="259"/>
      <c r="AG156" s="259"/>
      <c r="AH156" s="259"/>
      <c r="AI156" s="259"/>
      <c r="AJ156" s="259"/>
      <c r="AK156" s="259"/>
      <c r="AL156" s="259"/>
      <c r="AM156" s="259"/>
      <c r="AN156" s="259"/>
      <c r="AO156" s="259"/>
      <c r="AP156" s="259"/>
      <c r="AQ156" s="259"/>
      <c r="AR156" s="259"/>
      <c r="AS156" s="259"/>
    </row>
    <row r="157" spans="1:45" x14ac:dyDescent="0.25">
      <c r="A157" s="396"/>
      <c r="B157" s="396"/>
      <c r="C157" s="396"/>
      <c r="D157" s="396"/>
      <c r="E157" s="396"/>
      <c r="F157" s="396"/>
      <c r="G157" s="396"/>
      <c r="H157" s="396"/>
      <c r="I157" s="396"/>
      <c r="J157" s="396"/>
      <c r="K157" s="396"/>
      <c r="L157" s="396"/>
      <c r="M157" s="396"/>
      <c r="N157" s="396"/>
      <c r="O157" s="396"/>
      <c r="P157" s="396"/>
      <c r="Q157" s="259"/>
      <c r="R157" s="259"/>
      <c r="S157" s="259"/>
      <c r="T157" s="259"/>
      <c r="U157" s="259"/>
      <c r="V157" s="259"/>
      <c r="W157" s="259"/>
      <c r="X157" s="259"/>
      <c r="Y157" s="259"/>
      <c r="Z157" s="259"/>
      <c r="AA157" s="259"/>
      <c r="AB157" s="259"/>
      <c r="AC157" s="259"/>
      <c r="AD157" s="259"/>
      <c r="AE157" s="259"/>
      <c r="AF157" s="259"/>
      <c r="AG157" s="259"/>
      <c r="AH157" s="259"/>
      <c r="AI157" s="259"/>
      <c r="AJ157" s="259"/>
      <c r="AK157" s="259"/>
      <c r="AL157" s="259"/>
      <c r="AM157" s="259"/>
      <c r="AN157" s="259"/>
      <c r="AO157" s="259"/>
      <c r="AP157" s="259"/>
      <c r="AQ157" s="259"/>
      <c r="AR157" s="259"/>
      <c r="AS157" s="259"/>
    </row>
    <row r="158" spans="1:45" x14ac:dyDescent="0.25">
      <c r="A158" s="396"/>
      <c r="B158" s="396"/>
      <c r="C158" s="396"/>
      <c r="D158" s="396"/>
      <c r="E158" s="396"/>
      <c r="F158" s="396"/>
      <c r="G158" s="396"/>
      <c r="H158" s="396"/>
      <c r="I158" s="396"/>
      <c r="J158" s="396"/>
      <c r="K158" s="396"/>
      <c r="L158" s="396"/>
      <c r="M158" s="396"/>
      <c r="N158" s="396"/>
      <c r="O158" s="396"/>
      <c r="P158" s="396"/>
      <c r="Q158" s="259"/>
      <c r="R158" s="259"/>
      <c r="S158" s="259"/>
      <c r="T158" s="259"/>
      <c r="U158" s="259"/>
      <c r="V158" s="259"/>
      <c r="W158" s="259"/>
      <c r="X158" s="259"/>
      <c r="Y158" s="259"/>
      <c r="Z158" s="259"/>
      <c r="AA158" s="259"/>
      <c r="AB158" s="259"/>
      <c r="AC158" s="259"/>
      <c r="AD158" s="259"/>
      <c r="AE158" s="259"/>
      <c r="AF158" s="259"/>
      <c r="AG158" s="259"/>
      <c r="AH158" s="259"/>
      <c r="AI158" s="259"/>
      <c r="AJ158" s="259"/>
      <c r="AK158" s="259"/>
      <c r="AL158" s="259"/>
      <c r="AM158" s="259"/>
      <c r="AN158" s="259"/>
      <c r="AO158" s="259"/>
      <c r="AP158" s="259"/>
      <c r="AQ158" s="259"/>
      <c r="AR158" s="259"/>
      <c r="AS158" s="259"/>
    </row>
    <row r="159" spans="1:45" x14ac:dyDescent="0.25">
      <c r="A159" s="396"/>
      <c r="B159" s="396"/>
      <c r="C159" s="396"/>
      <c r="D159" s="396"/>
      <c r="E159" s="396"/>
      <c r="F159" s="396"/>
      <c r="G159" s="396"/>
      <c r="H159" s="396"/>
      <c r="I159" s="396"/>
      <c r="J159" s="396"/>
      <c r="K159" s="396"/>
      <c r="L159" s="396"/>
      <c r="M159" s="396"/>
      <c r="N159" s="396"/>
      <c r="O159" s="396"/>
      <c r="P159" s="396"/>
      <c r="Q159" s="259"/>
      <c r="R159" s="259"/>
      <c r="S159" s="259"/>
      <c r="T159" s="259"/>
      <c r="U159" s="259"/>
      <c r="V159" s="259"/>
      <c r="W159" s="259"/>
      <c r="X159" s="259"/>
      <c r="Y159" s="259"/>
      <c r="Z159" s="259"/>
      <c r="AA159" s="259"/>
      <c r="AB159" s="259"/>
      <c r="AC159" s="259"/>
      <c r="AD159" s="259"/>
      <c r="AE159" s="259"/>
      <c r="AF159" s="259"/>
      <c r="AG159" s="259"/>
      <c r="AH159" s="259"/>
      <c r="AI159" s="259"/>
      <c r="AJ159" s="259"/>
      <c r="AK159" s="259"/>
      <c r="AL159" s="259"/>
      <c r="AM159" s="259"/>
      <c r="AN159" s="259"/>
      <c r="AO159" s="259"/>
      <c r="AP159" s="259"/>
      <c r="AQ159" s="259"/>
      <c r="AR159" s="259"/>
      <c r="AS159" s="259"/>
    </row>
    <row r="160" spans="1:45" x14ac:dyDescent="0.25">
      <c r="A160" s="396"/>
      <c r="B160" s="396"/>
      <c r="C160" s="396"/>
      <c r="D160" s="396"/>
      <c r="E160" s="396"/>
      <c r="F160" s="396"/>
      <c r="G160" s="396"/>
      <c r="H160" s="396"/>
      <c r="I160" s="396"/>
      <c r="J160" s="396"/>
      <c r="K160" s="396"/>
      <c r="L160" s="396"/>
      <c r="M160" s="396"/>
      <c r="N160" s="396"/>
      <c r="O160" s="396"/>
      <c r="P160" s="396"/>
      <c r="Q160" s="259"/>
      <c r="R160" s="259"/>
      <c r="S160" s="259"/>
      <c r="T160" s="259"/>
      <c r="U160" s="259"/>
      <c r="V160" s="259"/>
      <c r="W160" s="259"/>
      <c r="X160" s="259"/>
      <c r="Y160" s="259"/>
      <c r="Z160" s="259"/>
      <c r="AA160" s="259"/>
      <c r="AB160" s="259"/>
      <c r="AC160" s="259"/>
      <c r="AD160" s="259"/>
      <c r="AE160" s="259"/>
      <c r="AF160" s="259"/>
      <c r="AG160" s="259"/>
      <c r="AH160" s="259"/>
      <c r="AI160" s="259"/>
      <c r="AJ160" s="259"/>
      <c r="AK160" s="259"/>
      <c r="AL160" s="259"/>
      <c r="AM160" s="259"/>
      <c r="AN160" s="259"/>
      <c r="AO160" s="259"/>
      <c r="AP160" s="259"/>
      <c r="AQ160" s="259"/>
      <c r="AR160" s="259"/>
      <c r="AS160" s="259"/>
    </row>
    <row r="161" spans="1:45" x14ac:dyDescent="0.25">
      <c r="A161" s="396"/>
      <c r="B161" s="396"/>
      <c r="C161" s="396"/>
      <c r="D161" s="396"/>
      <c r="E161" s="396"/>
      <c r="F161" s="396"/>
      <c r="G161" s="396"/>
      <c r="H161" s="396"/>
      <c r="I161" s="396"/>
      <c r="J161" s="396"/>
      <c r="K161" s="396"/>
      <c r="L161" s="396"/>
      <c r="M161" s="396"/>
      <c r="N161" s="396"/>
      <c r="O161" s="396"/>
      <c r="P161" s="396"/>
      <c r="Q161" s="259"/>
      <c r="R161" s="259"/>
      <c r="S161" s="259"/>
      <c r="T161" s="259"/>
      <c r="U161" s="259"/>
      <c r="V161" s="259"/>
      <c r="W161" s="259"/>
      <c r="X161" s="259"/>
      <c r="Y161" s="259"/>
      <c r="Z161" s="259"/>
      <c r="AA161" s="259"/>
      <c r="AB161" s="259"/>
      <c r="AC161" s="259"/>
      <c r="AD161" s="259"/>
      <c r="AE161" s="259"/>
      <c r="AF161" s="259"/>
      <c r="AG161" s="259"/>
      <c r="AH161" s="259"/>
      <c r="AI161" s="259"/>
      <c r="AJ161" s="259"/>
      <c r="AK161" s="259"/>
      <c r="AL161" s="259"/>
      <c r="AM161" s="259"/>
      <c r="AN161" s="259"/>
      <c r="AO161" s="259"/>
      <c r="AP161" s="259"/>
      <c r="AQ161" s="259"/>
      <c r="AR161" s="259"/>
      <c r="AS161" s="259"/>
    </row>
    <row r="162" spans="1:45" x14ac:dyDescent="0.25">
      <c r="A162" s="396"/>
      <c r="B162" s="396"/>
      <c r="C162" s="396"/>
      <c r="D162" s="396"/>
      <c r="E162" s="396"/>
      <c r="F162" s="396"/>
      <c r="G162" s="396"/>
      <c r="H162" s="396"/>
      <c r="I162" s="396"/>
      <c r="J162" s="396"/>
      <c r="K162" s="396"/>
      <c r="L162" s="396"/>
      <c r="M162" s="396"/>
      <c r="N162" s="396"/>
      <c r="O162" s="396"/>
      <c r="P162" s="396"/>
      <c r="Q162" s="259"/>
      <c r="R162" s="259"/>
      <c r="S162" s="259"/>
      <c r="T162" s="259"/>
      <c r="U162" s="259"/>
      <c r="V162" s="259"/>
      <c r="W162" s="259"/>
      <c r="X162" s="259"/>
      <c r="Y162" s="259"/>
      <c r="Z162" s="259"/>
      <c r="AA162" s="259"/>
      <c r="AB162" s="259"/>
      <c r="AC162" s="259"/>
      <c r="AD162" s="259"/>
      <c r="AE162" s="259"/>
      <c r="AF162" s="259"/>
      <c r="AG162" s="259"/>
      <c r="AH162" s="259"/>
      <c r="AI162" s="259"/>
      <c r="AJ162" s="259"/>
      <c r="AK162" s="259"/>
      <c r="AL162" s="259"/>
      <c r="AM162" s="259"/>
      <c r="AN162" s="259"/>
      <c r="AO162" s="259"/>
      <c r="AP162" s="259"/>
      <c r="AQ162" s="259"/>
      <c r="AR162" s="259"/>
      <c r="AS162" s="259"/>
    </row>
    <row r="163" spans="1:45" x14ac:dyDescent="0.25">
      <c r="A163" s="396"/>
      <c r="B163" s="396"/>
      <c r="C163" s="396"/>
      <c r="D163" s="396"/>
      <c r="E163" s="396"/>
      <c r="F163" s="396"/>
      <c r="G163" s="396"/>
      <c r="H163" s="396"/>
      <c r="I163" s="396"/>
      <c r="J163" s="396"/>
      <c r="K163" s="396"/>
      <c r="L163" s="396"/>
      <c r="M163" s="396"/>
      <c r="N163" s="396"/>
      <c r="O163" s="396"/>
      <c r="P163" s="396"/>
      <c r="Q163" s="259"/>
      <c r="R163" s="259"/>
      <c r="S163" s="259"/>
      <c r="T163" s="259"/>
      <c r="U163" s="259"/>
      <c r="V163" s="259"/>
      <c r="W163" s="259"/>
      <c r="X163" s="259"/>
      <c r="Y163" s="259"/>
      <c r="Z163" s="259"/>
      <c r="AA163" s="259"/>
      <c r="AB163" s="259"/>
      <c r="AC163" s="259"/>
      <c r="AD163" s="259"/>
      <c r="AE163" s="259"/>
      <c r="AF163" s="259"/>
      <c r="AG163" s="259"/>
      <c r="AH163" s="259"/>
      <c r="AI163" s="259"/>
      <c r="AJ163" s="259"/>
      <c r="AK163" s="259"/>
      <c r="AL163" s="259"/>
      <c r="AM163" s="259"/>
      <c r="AN163" s="259"/>
      <c r="AO163" s="259"/>
      <c r="AP163" s="259"/>
      <c r="AQ163" s="259"/>
      <c r="AR163" s="259"/>
      <c r="AS163" s="259"/>
    </row>
    <row r="164" spans="1:45" x14ac:dyDescent="0.25">
      <c r="A164" s="396"/>
      <c r="B164" s="396"/>
      <c r="C164" s="396"/>
      <c r="D164" s="396"/>
      <c r="E164" s="396"/>
      <c r="F164" s="396"/>
      <c r="G164" s="396"/>
      <c r="H164" s="396"/>
      <c r="I164" s="396"/>
      <c r="J164" s="396"/>
      <c r="K164" s="396"/>
      <c r="L164" s="396"/>
      <c r="M164" s="396"/>
      <c r="N164" s="396"/>
      <c r="O164" s="396"/>
      <c r="P164" s="396"/>
      <c r="Q164" s="259"/>
      <c r="R164" s="259"/>
      <c r="S164" s="259"/>
      <c r="T164" s="259"/>
      <c r="U164" s="259"/>
      <c r="V164" s="259"/>
      <c r="W164" s="259"/>
      <c r="X164" s="259"/>
      <c r="Y164" s="259"/>
      <c r="Z164" s="259"/>
      <c r="AA164" s="259"/>
      <c r="AB164" s="259"/>
      <c r="AC164" s="259"/>
      <c r="AD164" s="259"/>
      <c r="AE164" s="259"/>
      <c r="AF164" s="259"/>
      <c r="AG164" s="259"/>
      <c r="AH164" s="259"/>
      <c r="AI164" s="259"/>
      <c r="AJ164" s="259"/>
      <c r="AK164" s="259"/>
      <c r="AL164" s="259"/>
      <c r="AM164" s="259"/>
      <c r="AN164" s="259"/>
      <c r="AO164" s="259"/>
      <c r="AP164" s="259"/>
      <c r="AQ164" s="259"/>
      <c r="AR164" s="259"/>
      <c r="AS164" s="259"/>
    </row>
    <row r="165" spans="1:45" x14ac:dyDescent="0.25">
      <c r="A165" s="396"/>
      <c r="B165" s="396"/>
      <c r="C165" s="396"/>
      <c r="D165" s="396"/>
      <c r="E165" s="396"/>
      <c r="F165" s="396"/>
      <c r="G165" s="396"/>
      <c r="H165" s="396"/>
      <c r="I165" s="396"/>
      <c r="J165" s="396"/>
      <c r="K165" s="396"/>
      <c r="L165" s="396"/>
      <c r="M165" s="396"/>
      <c r="N165" s="396"/>
      <c r="O165" s="396"/>
      <c r="P165" s="396"/>
      <c r="Q165" s="259"/>
      <c r="R165" s="259"/>
      <c r="S165" s="259"/>
      <c r="T165" s="259"/>
      <c r="U165" s="259"/>
      <c r="V165" s="259"/>
      <c r="W165" s="259"/>
      <c r="X165" s="259"/>
      <c r="Y165" s="259"/>
      <c r="Z165" s="259"/>
      <c r="AA165" s="259"/>
      <c r="AB165" s="259"/>
      <c r="AC165" s="259"/>
      <c r="AD165" s="259"/>
      <c r="AE165" s="259"/>
      <c r="AF165" s="259"/>
      <c r="AG165" s="259"/>
      <c r="AH165" s="259"/>
      <c r="AI165" s="259"/>
      <c r="AJ165" s="259"/>
      <c r="AK165" s="259"/>
      <c r="AL165" s="259"/>
      <c r="AM165" s="259"/>
      <c r="AN165" s="259"/>
      <c r="AO165" s="259"/>
      <c r="AP165" s="259"/>
      <c r="AQ165" s="259"/>
      <c r="AR165" s="259"/>
      <c r="AS165" s="259"/>
    </row>
    <row r="166" spans="1:45" x14ac:dyDescent="0.25">
      <c r="A166" s="396"/>
      <c r="B166" s="396"/>
      <c r="C166" s="396"/>
      <c r="D166" s="396"/>
      <c r="E166" s="396"/>
      <c r="F166" s="396"/>
      <c r="G166" s="396"/>
      <c r="H166" s="396"/>
      <c r="I166" s="396"/>
      <c r="J166" s="396"/>
      <c r="K166" s="396"/>
      <c r="L166" s="396"/>
      <c r="M166" s="396"/>
      <c r="N166" s="396"/>
      <c r="O166" s="396"/>
      <c r="P166" s="396"/>
      <c r="Q166" s="259"/>
      <c r="R166" s="259"/>
      <c r="S166" s="259"/>
      <c r="T166" s="259"/>
      <c r="U166" s="259"/>
      <c r="V166" s="259"/>
      <c r="W166" s="259"/>
      <c r="X166" s="259"/>
      <c r="Y166" s="259"/>
      <c r="Z166" s="259"/>
      <c r="AA166" s="259"/>
      <c r="AB166" s="259"/>
      <c r="AC166" s="259"/>
      <c r="AD166" s="259"/>
      <c r="AE166" s="259"/>
      <c r="AF166" s="259"/>
      <c r="AG166" s="259"/>
      <c r="AH166" s="259"/>
      <c r="AI166" s="259"/>
      <c r="AJ166" s="259"/>
      <c r="AK166" s="259"/>
      <c r="AL166" s="259"/>
      <c r="AM166" s="259"/>
      <c r="AN166" s="259"/>
      <c r="AO166" s="259"/>
      <c r="AP166" s="259"/>
      <c r="AQ166" s="259"/>
      <c r="AR166" s="259"/>
      <c r="AS166" s="259"/>
    </row>
    <row r="167" spans="1:45" x14ac:dyDescent="0.25">
      <c r="A167" s="396"/>
      <c r="B167" s="396"/>
      <c r="C167" s="396"/>
      <c r="D167" s="396"/>
      <c r="E167" s="396"/>
      <c r="F167" s="396"/>
      <c r="G167" s="396"/>
      <c r="H167" s="396"/>
      <c r="I167" s="396"/>
      <c r="J167" s="396"/>
      <c r="K167" s="396"/>
      <c r="L167" s="396"/>
      <c r="M167" s="396"/>
      <c r="N167" s="396"/>
      <c r="O167" s="396"/>
      <c r="P167" s="396"/>
      <c r="Q167" s="259"/>
      <c r="R167" s="259"/>
      <c r="S167" s="259"/>
      <c r="T167" s="259"/>
      <c r="U167" s="259"/>
      <c r="V167" s="259"/>
      <c r="W167" s="259"/>
      <c r="X167" s="259"/>
      <c r="Y167" s="259"/>
      <c r="Z167" s="259"/>
      <c r="AA167" s="259"/>
      <c r="AB167" s="259"/>
      <c r="AC167" s="259"/>
      <c r="AD167" s="259"/>
      <c r="AE167" s="259"/>
      <c r="AF167" s="259"/>
      <c r="AG167" s="259"/>
      <c r="AH167" s="259"/>
      <c r="AI167" s="259"/>
      <c r="AJ167" s="259"/>
      <c r="AK167" s="259"/>
      <c r="AL167" s="259"/>
      <c r="AM167" s="259"/>
      <c r="AN167" s="259"/>
      <c r="AO167" s="259"/>
      <c r="AP167" s="259"/>
      <c r="AQ167" s="259"/>
      <c r="AR167" s="259"/>
      <c r="AS167" s="259"/>
    </row>
    <row r="168" spans="1:45" x14ac:dyDescent="0.25">
      <c r="A168" s="396"/>
      <c r="B168" s="396"/>
      <c r="C168" s="396"/>
      <c r="D168" s="396"/>
      <c r="E168" s="396"/>
      <c r="F168" s="396"/>
      <c r="G168" s="396"/>
      <c r="H168" s="396"/>
      <c r="I168" s="396"/>
      <c r="J168" s="396"/>
      <c r="K168" s="396"/>
      <c r="L168" s="396"/>
      <c r="M168" s="396"/>
      <c r="N168" s="396"/>
      <c r="O168" s="396"/>
      <c r="P168" s="396"/>
      <c r="Q168" s="259"/>
      <c r="R168" s="259"/>
      <c r="S168" s="259"/>
      <c r="T168" s="259"/>
      <c r="U168" s="259"/>
      <c r="V168" s="259"/>
      <c r="W168" s="259"/>
      <c r="X168" s="259"/>
      <c r="Y168" s="259"/>
      <c r="Z168" s="259"/>
      <c r="AA168" s="259"/>
      <c r="AB168" s="259"/>
      <c r="AC168" s="259"/>
      <c r="AD168" s="259"/>
      <c r="AE168" s="259"/>
      <c r="AF168" s="259"/>
      <c r="AG168" s="259"/>
      <c r="AH168" s="259"/>
      <c r="AI168" s="259"/>
      <c r="AJ168" s="259"/>
      <c r="AK168" s="259"/>
      <c r="AL168" s="259"/>
      <c r="AM168" s="259"/>
      <c r="AN168" s="259"/>
      <c r="AO168" s="259"/>
      <c r="AP168" s="259"/>
      <c r="AQ168" s="259"/>
      <c r="AR168" s="259"/>
      <c r="AS168" s="259"/>
    </row>
    <row r="169" spans="1:45" x14ac:dyDescent="0.25">
      <c r="A169" s="396"/>
      <c r="B169" s="396"/>
      <c r="C169" s="396"/>
      <c r="D169" s="396"/>
      <c r="E169" s="396"/>
      <c r="F169" s="396"/>
      <c r="G169" s="396"/>
      <c r="H169" s="396"/>
      <c r="I169" s="396"/>
      <c r="J169" s="396"/>
      <c r="K169" s="396"/>
      <c r="L169" s="396"/>
      <c r="M169" s="396"/>
      <c r="N169" s="396"/>
      <c r="O169" s="396"/>
      <c r="P169" s="396"/>
      <c r="Q169" s="259"/>
      <c r="R169" s="259"/>
      <c r="S169" s="259"/>
      <c r="T169" s="259"/>
      <c r="U169" s="259"/>
      <c r="V169" s="259"/>
      <c r="W169" s="259"/>
      <c r="X169" s="259"/>
      <c r="Y169" s="259"/>
      <c r="Z169" s="259"/>
      <c r="AA169" s="259"/>
      <c r="AB169" s="259"/>
      <c r="AC169" s="259"/>
      <c r="AD169" s="259"/>
      <c r="AE169" s="259"/>
      <c r="AF169" s="259"/>
      <c r="AG169" s="259"/>
      <c r="AH169" s="259"/>
      <c r="AI169" s="259"/>
      <c r="AJ169" s="259"/>
      <c r="AK169" s="259"/>
      <c r="AL169" s="259"/>
      <c r="AM169" s="259"/>
      <c r="AN169" s="259"/>
      <c r="AO169" s="259"/>
      <c r="AP169" s="259"/>
      <c r="AQ169" s="259"/>
      <c r="AR169" s="259"/>
      <c r="AS169" s="259"/>
    </row>
    <row r="170" spans="1:45" x14ac:dyDescent="0.25">
      <c r="A170" s="396"/>
      <c r="B170" s="396"/>
      <c r="C170" s="396"/>
      <c r="D170" s="396"/>
      <c r="E170" s="396"/>
      <c r="F170" s="396"/>
      <c r="G170" s="396"/>
      <c r="H170" s="396"/>
      <c r="I170" s="396"/>
      <c r="J170" s="396"/>
      <c r="K170" s="396"/>
      <c r="L170" s="396"/>
      <c r="M170" s="396"/>
      <c r="N170" s="396"/>
      <c r="O170" s="396"/>
      <c r="P170" s="396"/>
      <c r="Q170" s="259"/>
      <c r="R170" s="259"/>
      <c r="S170" s="259"/>
      <c r="T170" s="259"/>
      <c r="U170" s="259"/>
      <c r="V170" s="259"/>
      <c r="W170" s="259"/>
      <c r="X170" s="259"/>
      <c r="Y170" s="259"/>
      <c r="Z170" s="259"/>
      <c r="AA170" s="259"/>
      <c r="AB170" s="259"/>
      <c r="AC170" s="259"/>
      <c r="AD170" s="259"/>
      <c r="AE170" s="259"/>
      <c r="AF170" s="259"/>
      <c r="AG170" s="259"/>
      <c r="AH170" s="259"/>
      <c r="AI170" s="259"/>
      <c r="AJ170" s="259"/>
      <c r="AK170" s="259"/>
      <c r="AL170" s="259"/>
      <c r="AM170" s="259"/>
      <c r="AN170" s="259"/>
      <c r="AO170" s="259"/>
      <c r="AP170" s="259"/>
      <c r="AQ170" s="259"/>
      <c r="AR170" s="259"/>
      <c r="AS170" s="259"/>
    </row>
    <row r="171" spans="1:45" x14ac:dyDescent="0.25">
      <c r="A171" s="396"/>
      <c r="B171" s="396"/>
      <c r="C171" s="396"/>
      <c r="D171" s="396"/>
      <c r="E171" s="396"/>
      <c r="F171" s="396"/>
      <c r="G171" s="396"/>
      <c r="H171" s="396"/>
      <c r="I171" s="396"/>
      <c r="J171" s="396"/>
      <c r="K171" s="396"/>
      <c r="L171" s="396"/>
      <c r="M171" s="396"/>
      <c r="N171" s="396"/>
      <c r="O171" s="396"/>
      <c r="P171" s="396"/>
      <c r="Q171" s="259"/>
      <c r="R171" s="259"/>
      <c r="S171" s="259"/>
      <c r="T171" s="259"/>
      <c r="U171" s="259"/>
      <c r="V171" s="259"/>
      <c r="W171" s="259"/>
      <c r="X171" s="259"/>
      <c r="Y171" s="259"/>
      <c r="Z171" s="259"/>
      <c r="AA171" s="259"/>
      <c r="AB171" s="259"/>
      <c r="AC171" s="259"/>
      <c r="AD171" s="259"/>
      <c r="AE171" s="259"/>
      <c r="AF171" s="259"/>
      <c r="AG171" s="259"/>
      <c r="AH171" s="259"/>
      <c r="AI171" s="259"/>
      <c r="AJ171" s="259"/>
      <c r="AK171" s="259"/>
      <c r="AL171" s="259"/>
      <c r="AM171" s="259"/>
      <c r="AN171" s="259"/>
      <c r="AO171" s="259"/>
      <c r="AP171" s="259"/>
      <c r="AQ171" s="259"/>
      <c r="AR171" s="259"/>
      <c r="AS171" s="259"/>
    </row>
    <row r="172" spans="1:45" x14ac:dyDescent="0.25">
      <c r="A172" s="396"/>
      <c r="B172" s="396"/>
      <c r="C172" s="396"/>
      <c r="D172" s="396"/>
      <c r="E172" s="396"/>
      <c r="F172" s="396"/>
      <c r="G172" s="396"/>
      <c r="H172" s="396"/>
      <c r="I172" s="396"/>
      <c r="J172" s="396"/>
      <c r="K172" s="396"/>
      <c r="L172" s="396"/>
      <c r="M172" s="396"/>
      <c r="N172" s="396"/>
      <c r="O172" s="396"/>
      <c r="P172" s="396"/>
      <c r="Q172" s="259"/>
      <c r="R172" s="259"/>
      <c r="S172" s="259"/>
      <c r="T172" s="259"/>
      <c r="U172" s="259"/>
      <c r="V172" s="259"/>
      <c r="W172" s="259"/>
      <c r="X172" s="259"/>
      <c r="Y172" s="259"/>
      <c r="Z172" s="259"/>
      <c r="AA172" s="259"/>
      <c r="AB172" s="259"/>
      <c r="AC172" s="259"/>
      <c r="AD172" s="259"/>
      <c r="AE172" s="259"/>
      <c r="AF172" s="259"/>
      <c r="AG172" s="259"/>
      <c r="AH172" s="259"/>
      <c r="AI172" s="259"/>
      <c r="AJ172" s="259"/>
      <c r="AK172" s="259"/>
      <c r="AL172" s="259"/>
      <c r="AM172" s="259"/>
      <c r="AN172" s="259"/>
      <c r="AO172" s="259"/>
      <c r="AP172" s="259"/>
      <c r="AQ172" s="259"/>
      <c r="AR172" s="259"/>
      <c r="AS172" s="259"/>
    </row>
    <row r="173" spans="1:45" x14ac:dyDescent="0.25">
      <c r="A173" s="396"/>
      <c r="B173" s="396"/>
      <c r="C173" s="396"/>
      <c r="D173" s="396"/>
      <c r="E173" s="396"/>
      <c r="F173" s="396"/>
      <c r="G173" s="396"/>
      <c r="H173" s="396"/>
      <c r="I173" s="396"/>
      <c r="J173" s="396"/>
      <c r="K173" s="396"/>
      <c r="L173" s="396"/>
      <c r="M173" s="396"/>
      <c r="N173" s="396"/>
      <c r="O173" s="396"/>
      <c r="P173" s="396"/>
      <c r="Q173" s="259"/>
      <c r="R173" s="259"/>
      <c r="S173" s="259"/>
      <c r="T173" s="259"/>
      <c r="U173" s="259"/>
      <c r="V173" s="259"/>
      <c r="W173" s="259"/>
      <c r="X173" s="259"/>
      <c r="Y173" s="259"/>
      <c r="Z173" s="259"/>
      <c r="AA173" s="259"/>
      <c r="AB173" s="259"/>
      <c r="AC173" s="259"/>
      <c r="AD173" s="259"/>
      <c r="AE173" s="259"/>
      <c r="AF173" s="259"/>
      <c r="AG173" s="259"/>
      <c r="AH173" s="259"/>
      <c r="AI173" s="259"/>
      <c r="AJ173" s="259"/>
      <c r="AK173" s="259"/>
      <c r="AL173" s="259"/>
      <c r="AM173" s="259"/>
      <c r="AN173" s="259"/>
      <c r="AO173" s="259"/>
      <c r="AP173" s="259"/>
      <c r="AQ173" s="259"/>
      <c r="AR173" s="259"/>
      <c r="AS173" s="259"/>
    </row>
    <row r="174" spans="1:45" x14ac:dyDescent="0.25">
      <c r="A174" s="396"/>
      <c r="B174" s="396"/>
      <c r="C174" s="396"/>
      <c r="D174" s="396"/>
      <c r="E174" s="396"/>
      <c r="F174" s="396"/>
      <c r="G174" s="396"/>
      <c r="H174" s="396"/>
      <c r="I174" s="396"/>
      <c r="J174" s="396"/>
      <c r="K174" s="396"/>
      <c r="L174" s="396"/>
      <c r="M174" s="396"/>
      <c r="N174" s="396"/>
      <c r="O174" s="396"/>
      <c r="P174" s="396"/>
      <c r="Q174" s="259"/>
      <c r="R174" s="259"/>
      <c r="S174" s="259"/>
      <c r="T174" s="259"/>
      <c r="U174" s="259"/>
      <c r="V174" s="259"/>
      <c r="W174" s="259"/>
      <c r="X174" s="259"/>
      <c r="Y174" s="259"/>
      <c r="Z174" s="259"/>
      <c r="AA174" s="259"/>
      <c r="AB174" s="259"/>
      <c r="AC174" s="259"/>
      <c r="AD174" s="259"/>
      <c r="AE174" s="259"/>
      <c r="AF174" s="259"/>
      <c r="AG174" s="259"/>
      <c r="AH174" s="259"/>
      <c r="AI174" s="259"/>
      <c r="AJ174" s="259"/>
      <c r="AK174" s="259"/>
      <c r="AL174" s="259"/>
      <c r="AM174" s="259"/>
      <c r="AN174" s="259"/>
      <c r="AO174" s="259"/>
      <c r="AP174" s="259"/>
      <c r="AQ174" s="259"/>
      <c r="AR174" s="259"/>
      <c r="AS174" s="259"/>
    </row>
    <row r="175" spans="1:45" x14ac:dyDescent="0.25">
      <c r="A175" s="396"/>
      <c r="B175" s="396"/>
      <c r="C175" s="396"/>
      <c r="D175" s="396"/>
      <c r="E175" s="396"/>
      <c r="F175" s="396"/>
      <c r="G175" s="396"/>
      <c r="H175" s="396"/>
      <c r="I175" s="396"/>
      <c r="J175" s="396"/>
      <c r="K175" s="396"/>
      <c r="L175" s="396"/>
      <c r="M175" s="396"/>
      <c r="N175" s="396"/>
      <c r="O175" s="396"/>
      <c r="P175" s="396"/>
      <c r="Q175" s="259"/>
      <c r="R175" s="259"/>
      <c r="S175" s="259"/>
      <c r="T175" s="259"/>
      <c r="U175" s="259"/>
      <c r="V175" s="259"/>
      <c r="W175" s="259"/>
      <c r="X175" s="259"/>
      <c r="Y175" s="259"/>
      <c r="Z175" s="259"/>
      <c r="AA175" s="259"/>
      <c r="AB175" s="259"/>
      <c r="AC175" s="259"/>
      <c r="AD175" s="259"/>
      <c r="AE175" s="259"/>
      <c r="AF175" s="259"/>
      <c r="AG175" s="259"/>
      <c r="AH175" s="259"/>
      <c r="AI175" s="259"/>
      <c r="AJ175" s="259"/>
      <c r="AK175" s="259"/>
      <c r="AL175" s="259"/>
      <c r="AM175" s="259"/>
      <c r="AN175" s="259"/>
      <c r="AO175" s="259"/>
      <c r="AP175" s="259"/>
      <c r="AQ175" s="259"/>
      <c r="AR175" s="259"/>
      <c r="AS175" s="259"/>
    </row>
    <row r="176" spans="1:45" x14ac:dyDescent="0.25">
      <c r="A176" s="396"/>
      <c r="B176" s="396"/>
      <c r="C176" s="396"/>
      <c r="D176" s="396"/>
      <c r="E176" s="396"/>
      <c r="F176" s="396"/>
      <c r="G176" s="396"/>
      <c r="H176" s="396"/>
      <c r="I176" s="396"/>
      <c r="J176" s="396"/>
      <c r="K176" s="396"/>
      <c r="L176" s="396"/>
      <c r="M176" s="396"/>
      <c r="N176" s="396"/>
      <c r="O176" s="396"/>
      <c r="P176" s="396"/>
      <c r="Q176" s="259"/>
      <c r="R176" s="259"/>
      <c r="S176" s="259"/>
      <c r="T176" s="259"/>
      <c r="U176" s="259"/>
      <c r="V176" s="259"/>
      <c r="W176" s="259"/>
      <c r="X176" s="259"/>
      <c r="Y176" s="259"/>
      <c r="Z176" s="259"/>
      <c r="AA176" s="259"/>
      <c r="AB176" s="259"/>
      <c r="AC176" s="259"/>
      <c r="AD176" s="259"/>
      <c r="AE176" s="259"/>
      <c r="AF176" s="259"/>
      <c r="AG176" s="259"/>
      <c r="AH176" s="259"/>
      <c r="AI176" s="259"/>
      <c r="AJ176" s="259"/>
      <c r="AK176" s="259"/>
      <c r="AL176" s="259"/>
      <c r="AM176" s="259"/>
      <c r="AN176" s="259"/>
      <c r="AO176" s="259"/>
      <c r="AP176" s="259"/>
      <c r="AQ176" s="259"/>
      <c r="AR176" s="259"/>
      <c r="AS176" s="259"/>
    </row>
    <row r="177" spans="1:45" x14ac:dyDescent="0.25">
      <c r="A177" s="396"/>
      <c r="B177" s="396"/>
      <c r="C177" s="396"/>
      <c r="D177" s="396"/>
      <c r="E177" s="396"/>
      <c r="F177" s="396"/>
      <c r="G177" s="396"/>
      <c r="H177" s="396"/>
      <c r="I177" s="396"/>
      <c r="J177" s="396"/>
      <c r="K177" s="396"/>
      <c r="L177" s="396"/>
      <c r="M177" s="396"/>
      <c r="N177" s="396"/>
      <c r="O177" s="396"/>
      <c r="P177" s="396"/>
      <c r="Q177" s="259"/>
      <c r="R177" s="259"/>
      <c r="S177" s="259"/>
      <c r="T177" s="259"/>
      <c r="U177" s="259"/>
      <c r="V177" s="259"/>
      <c r="W177" s="259"/>
      <c r="X177" s="259"/>
      <c r="Y177" s="259"/>
      <c r="Z177" s="259"/>
      <c r="AA177" s="259"/>
      <c r="AB177" s="259"/>
      <c r="AC177" s="259"/>
      <c r="AD177" s="259"/>
      <c r="AE177" s="259"/>
      <c r="AF177" s="259"/>
      <c r="AG177" s="259"/>
      <c r="AH177" s="259"/>
      <c r="AI177" s="259"/>
      <c r="AJ177" s="259"/>
      <c r="AK177" s="259"/>
      <c r="AL177" s="259"/>
      <c r="AM177" s="259"/>
      <c r="AN177" s="259"/>
      <c r="AO177" s="259"/>
      <c r="AP177" s="259"/>
      <c r="AQ177" s="259"/>
      <c r="AR177" s="259"/>
      <c r="AS177" s="259"/>
    </row>
    <row r="178" spans="1:45" x14ac:dyDescent="0.25">
      <c r="A178" s="396"/>
      <c r="B178" s="396"/>
      <c r="C178" s="396"/>
      <c r="D178" s="396"/>
      <c r="E178" s="396"/>
      <c r="F178" s="396"/>
      <c r="G178" s="396"/>
      <c r="H178" s="396"/>
      <c r="I178" s="396"/>
      <c r="J178" s="396"/>
      <c r="K178" s="396"/>
      <c r="L178" s="396"/>
      <c r="M178" s="396"/>
      <c r="N178" s="396"/>
      <c r="O178" s="396"/>
      <c r="P178" s="396"/>
      <c r="Q178" s="259"/>
      <c r="R178" s="259"/>
      <c r="S178" s="259"/>
      <c r="T178" s="259"/>
      <c r="U178" s="259"/>
      <c r="V178" s="259"/>
      <c r="W178" s="259"/>
      <c r="X178" s="259"/>
      <c r="Y178" s="259"/>
      <c r="Z178" s="259"/>
      <c r="AA178" s="259"/>
      <c r="AB178" s="259"/>
      <c r="AC178" s="259"/>
      <c r="AD178" s="259"/>
      <c r="AE178" s="259"/>
      <c r="AF178" s="259"/>
      <c r="AG178" s="259"/>
      <c r="AH178" s="259"/>
      <c r="AI178" s="259"/>
      <c r="AJ178" s="259"/>
      <c r="AK178" s="259"/>
      <c r="AL178" s="259"/>
      <c r="AM178" s="259"/>
      <c r="AN178" s="259"/>
      <c r="AO178" s="259"/>
      <c r="AP178" s="259"/>
      <c r="AQ178" s="259"/>
      <c r="AR178" s="259"/>
      <c r="AS178" s="259"/>
    </row>
    <row r="179" spans="1:45" x14ac:dyDescent="0.25">
      <c r="A179" s="396"/>
      <c r="B179" s="396"/>
      <c r="C179" s="396"/>
      <c r="D179" s="396"/>
      <c r="E179" s="396"/>
      <c r="F179" s="396"/>
      <c r="G179" s="396"/>
      <c r="H179" s="396"/>
      <c r="I179" s="396"/>
      <c r="J179" s="396"/>
      <c r="K179" s="396"/>
      <c r="L179" s="396"/>
      <c r="M179" s="396"/>
      <c r="N179" s="396"/>
      <c r="O179" s="396"/>
      <c r="P179" s="396"/>
      <c r="Q179" s="259"/>
      <c r="R179" s="259"/>
      <c r="S179" s="259"/>
      <c r="T179" s="259"/>
      <c r="U179" s="259"/>
      <c r="V179" s="259"/>
      <c r="W179" s="259"/>
      <c r="X179" s="259"/>
      <c r="Y179" s="259"/>
      <c r="Z179" s="259"/>
      <c r="AA179" s="259"/>
      <c r="AB179" s="259"/>
      <c r="AC179" s="259"/>
      <c r="AD179" s="259"/>
      <c r="AE179" s="259"/>
      <c r="AF179" s="259"/>
      <c r="AG179" s="259"/>
      <c r="AH179" s="259"/>
      <c r="AI179" s="259"/>
      <c r="AJ179" s="259"/>
      <c r="AK179" s="259"/>
      <c r="AL179" s="259"/>
      <c r="AM179" s="259"/>
      <c r="AN179" s="259"/>
      <c r="AO179" s="259"/>
      <c r="AP179" s="259"/>
      <c r="AQ179" s="259"/>
      <c r="AR179" s="259"/>
      <c r="AS179" s="259"/>
    </row>
    <row r="180" spans="1:45" x14ac:dyDescent="0.25">
      <c r="A180" s="396"/>
      <c r="B180" s="396"/>
      <c r="C180" s="396"/>
      <c r="D180" s="396"/>
      <c r="E180" s="396"/>
      <c r="F180" s="396"/>
      <c r="G180" s="396"/>
      <c r="H180" s="396"/>
      <c r="I180" s="396"/>
      <c r="J180" s="396"/>
      <c r="K180" s="396"/>
      <c r="L180" s="396"/>
      <c r="M180" s="396"/>
      <c r="N180" s="396"/>
      <c r="O180" s="396"/>
      <c r="P180" s="396"/>
      <c r="Q180" s="259"/>
      <c r="R180" s="259"/>
      <c r="S180" s="259"/>
      <c r="T180" s="259"/>
      <c r="U180" s="259"/>
      <c r="V180" s="259"/>
      <c r="W180" s="259"/>
      <c r="X180" s="259"/>
      <c r="Y180" s="259"/>
      <c r="Z180" s="259"/>
      <c r="AA180" s="259"/>
      <c r="AB180" s="259"/>
      <c r="AC180" s="259"/>
      <c r="AD180" s="259"/>
      <c r="AE180" s="259"/>
      <c r="AF180" s="259"/>
      <c r="AG180" s="259"/>
      <c r="AH180" s="259"/>
      <c r="AI180" s="259"/>
      <c r="AJ180" s="259"/>
      <c r="AK180" s="259"/>
      <c r="AL180" s="259"/>
      <c r="AM180" s="259"/>
      <c r="AN180" s="259"/>
      <c r="AO180" s="259"/>
      <c r="AP180" s="259"/>
      <c r="AQ180" s="259"/>
      <c r="AR180" s="259"/>
      <c r="AS180" s="259"/>
    </row>
    <row r="181" spans="1:45" x14ac:dyDescent="0.25">
      <c r="A181" s="396"/>
      <c r="B181" s="396"/>
      <c r="C181" s="396"/>
      <c r="D181" s="396"/>
      <c r="E181" s="396"/>
      <c r="F181" s="396"/>
      <c r="G181" s="396"/>
      <c r="H181" s="396"/>
      <c r="I181" s="396"/>
      <c r="J181" s="396"/>
      <c r="K181" s="396"/>
      <c r="L181" s="396"/>
      <c r="M181" s="396"/>
      <c r="N181" s="396"/>
      <c r="O181" s="396"/>
      <c r="P181" s="396"/>
      <c r="Q181" s="259"/>
      <c r="R181" s="259"/>
      <c r="S181" s="259"/>
      <c r="T181" s="259"/>
      <c r="U181" s="259"/>
      <c r="V181" s="259"/>
      <c r="W181" s="259"/>
      <c r="X181" s="259"/>
      <c r="Y181" s="259"/>
      <c r="Z181" s="259"/>
      <c r="AA181" s="259"/>
      <c r="AB181" s="259"/>
      <c r="AC181" s="259"/>
      <c r="AD181" s="259"/>
      <c r="AE181" s="259"/>
      <c r="AF181" s="259"/>
      <c r="AG181" s="259"/>
      <c r="AH181" s="259"/>
      <c r="AI181" s="259"/>
      <c r="AJ181" s="259"/>
      <c r="AK181" s="259"/>
      <c r="AL181" s="259"/>
      <c r="AM181" s="259"/>
      <c r="AN181" s="259"/>
      <c r="AO181" s="259"/>
      <c r="AP181" s="259"/>
      <c r="AQ181" s="259"/>
      <c r="AR181" s="259"/>
      <c r="AS181" s="259"/>
    </row>
    <row r="182" spans="1:45" x14ac:dyDescent="0.25">
      <c r="A182" s="396"/>
      <c r="B182" s="396"/>
      <c r="C182" s="396"/>
      <c r="D182" s="396"/>
      <c r="E182" s="396"/>
      <c r="F182" s="396"/>
      <c r="G182" s="396"/>
      <c r="H182" s="396"/>
      <c r="I182" s="396"/>
      <c r="J182" s="396"/>
      <c r="K182" s="396"/>
      <c r="L182" s="396"/>
      <c r="M182" s="396"/>
      <c r="N182" s="396"/>
      <c r="O182" s="396"/>
      <c r="P182" s="396"/>
      <c r="Q182" s="259"/>
      <c r="R182" s="259"/>
      <c r="S182" s="259"/>
      <c r="T182" s="259"/>
      <c r="U182" s="259"/>
      <c r="V182" s="259"/>
      <c r="W182" s="259"/>
      <c r="X182" s="259"/>
      <c r="Y182" s="259"/>
      <c r="Z182" s="259"/>
      <c r="AA182" s="259"/>
      <c r="AB182" s="259"/>
      <c r="AC182" s="259"/>
      <c r="AD182" s="259"/>
      <c r="AE182" s="259"/>
      <c r="AF182" s="259"/>
      <c r="AG182" s="259"/>
      <c r="AH182" s="259"/>
      <c r="AI182" s="259"/>
      <c r="AJ182" s="259"/>
      <c r="AK182" s="259"/>
      <c r="AL182" s="259"/>
      <c r="AM182" s="259"/>
      <c r="AN182" s="259"/>
      <c r="AO182" s="259"/>
      <c r="AP182" s="259"/>
      <c r="AQ182" s="259"/>
      <c r="AR182" s="259"/>
      <c r="AS182" s="259"/>
    </row>
    <row r="183" spans="1:45" x14ac:dyDescent="0.25">
      <c r="A183" s="396"/>
      <c r="B183" s="396"/>
      <c r="C183" s="396"/>
      <c r="D183" s="396"/>
      <c r="E183" s="396"/>
      <c r="F183" s="396"/>
      <c r="G183" s="396"/>
      <c r="H183" s="396"/>
      <c r="I183" s="396"/>
      <c r="J183" s="396"/>
      <c r="K183" s="396"/>
      <c r="L183" s="396"/>
      <c r="M183" s="396"/>
      <c r="N183" s="396"/>
      <c r="O183" s="396"/>
      <c r="P183" s="396"/>
      <c r="Q183" s="259"/>
      <c r="R183" s="259"/>
      <c r="S183" s="259"/>
      <c r="T183" s="259"/>
      <c r="U183" s="259"/>
      <c r="V183" s="259"/>
      <c r="W183" s="259"/>
      <c r="X183" s="259"/>
      <c r="Y183" s="259"/>
      <c r="Z183" s="259"/>
      <c r="AA183" s="259"/>
      <c r="AB183" s="259"/>
      <c r="AC183" s="259"/>
      <c r="AD183" s="259"/>
      <c r="AE183" s="259"/>
      <c r="AF183" s="259"/>
      <c r="AG183" s="259"/>
      <c r="AH183" s="259"/>
      <c r="AI183" s="259"/>
      <c r="AJ183" s="259"/>
      <c r="AK183" s="259"/>
      <c r="AL183" s="259"/>
      <c r="AM183" s="259"/>
      <c r="AN183" s="259"/>
      <c r="AO183" s="259"/>
      <c r="AP183" s="259"/>
      <c r="AQ183" s="259"/>
      <c r="AR183" s="259"/>
      <c r="AS183" s="259"/>
    </row>
    <row r="184" spans="1:45" x14ac:dyDescent="0.25">
      <c r="A184" s="396"/>
      <c r="B184" s="396"/>
      <c r="C184" s="396"/>
      <c r="D184" s="396"/>
      <c r="E184" s="396"/>
      <c r="F184" s="396"/>
      <c r="G184" s="396"/>
      <c r="H184" s="396"/>
      <c r="I184" s="396"/>
      <c r="J184" s="396"/>
      <c r="K184" s="396"/>
      <c r="L184" s="396"/>
      <c r="M184" s="396"/>
      <c r="N184" s="396"/>
      <c r="O184" s="396"/>
      <c r="P184" s="396"/>
      <c r="Q184" s="259"/>
      <c r="R184" s="259"/>
      <c r="S184" s="259"/>
      <c r="T184" s="259"/>
      <c r="U184" s="259"/>
      <c r="V184" s="259"/>
      <c r="W184" s="259"/>
      <c r="X184" s="259"/>
      <c r="Y184" s="259"/>
      <c r="Z184" s="259"/>
      <c r="AA184" s="259"/>
      <c r="AB184" s="259"/>
      <c r="AC184" s="259"/>
      <c r="AD184" s="259"/>
      <c r="AE184" s="259"/>
      <c r="AF184" s="259"/>
      <c r="AG184" s="259"/>
      <c r="AH184" s="259"/>
      <c r="AI184" s="259"/>
      <c r="AJ184" s="259"/>
      <c r="AK184" s="259"/>
      <c r="AL184" s="259"/>
      <c r="AM184" s="259"/>
      <c r="AN184" s="259"/>
      <c r="AO184" s="259"/>
      <c r="AP184" s="259"/>
      <c r="AQ184" s="259"/>
      <c r="AR184" s="259"/>
      <c r="AS184" s="259"/>
    </row>
    <row r="185" spans="1:45" x14ac:dyDescent="0.25">
      <c r="A185" s="396"/>
      <c r="B185" s="396"/>
      <c r="C185" s="396"/>
      <c r="D185" s="396"/>
      <c r="E185" s="396"/>
      <c r="F185" s="396"/>
      <c r="G185" s="396"/>
      <c r="H185" s="396"/>
      <c r="I185" s="396"/>
      <c r="J185" s="396"/>
      <c r="K185" s="396"/>
      <c r="L185" s="396"/>
      <c r="M185" s="396"/>
      <c r="N185" s="396"/>
      <c r="O185" s="396"/>
      <c r="P185" s="396"/>
      <c r="Q185" s="259"/>
      <c r="R185" s="259"/>
      <c r="S185" s="259"/>
      <c r="T185" s="259"/>
      <c r="U185" s="259"/>
      <c r="V185" s="259"/>
      <c r="W185" s="259"/>
      <c r="X185" s="259"/>
      <c r="Y185" s="259"/>
      <c r="Z185" s="259"/>
      <c r="AA185" s="259"/>
      <c r="AB185" s="259"/>
      <c r="AC185" s="259"/>
      <c r="AD185" s="259"/>
      <c r="AE185" s="259"/>
      <c r="AF185" s="259"/>
      <c r="AG185" s="259"/>
      <c r="AH185" s="259"/>
      <c r="AI185" s="259"/>
      <c r="AJ185" s="259"/>
      <c r="AK185" s="259"/>
      <c r="AL185" s="259"/>
      <c r="AM185" s="259"/>
      <c r="AN185" s="259"/>
      <c r="AO185" s="259"/>
      <c r="AP185" s="259"/>
      <c r="AQ185" s="259"/>
      <c r="AR185" s="259"/>
      <c r="AS185" s="259"/>
    </row>
    <row r="186" spans="1:45" x14ac:dyDescent="0.25">
      <c r="A186" s="396"/>
      <c r="B186" s="396"/>
      <c r="C186" s="396"/>
      <c r="D186" s="396"/>
      <c r="E186" s="396"/>
      <c r="F186" s="396"/>
      <c r="G186" s="396"/>
      <c r="H186" s="396"/>
      <c r="I186" s="396"/>
      <c r="J186" s="396"/>
      <c r="K186" s="396"/>
      <c r="L186" s="396"/>
      <c r="M186" s="396"/>
      <c r="N186" s="396"/>
      <c r="O186" s="396"/>
      <c r="P186" s="396"/>
      <c r="Q186" s="259"/>
      <c r="R186" s="259"/>
      <c r="S186" s="259"/>
      <c r="T186" s="259"/>
      <c r="U186" s="259"/>
      <c r="V186" s="259"/>
      <c r="W186" s="259"/>
      <c r="X186" s="259"/>
      <c r="Y186" s="259"/>
      <c r="Z186" s="259"/>
      <c r="AA186" s="259"/>
      <c r="AB186" s="259"/>
      <c r="AC186" s="259"/>
      <c r="AD186" s="259"/>
      <c r="AE186" s="259"/>
      <c r="AF186" s="259"/>
      <c r="AG186" s="259"/>
      <c r="AH186" s="259"/>
      <c r="AI186" s="259"/>
      <c r="AJ186" s="259"/>
      <c r="AK186" s="259"/>
      <c r="AL186" s="259"/>
      <c r="AM186" s="259"/>
      <c r="AN186" s="259"/>
      <c r="AO186" s="259"/>
      <c r="AP186" s="259"/>
      <c r="AQ186" s="259"/>
      <c r="AR186" s="259"/>
      <c r="AS186" s="259"/>
    </row>
    <row r="187" spans="1:45" x14ac:dyDescent="0.25">
      <c r="A187" s="396"/>
      <c r="B187" s="396"/>
      <c r="C187" s="396"/>
      <c r="D187" s="396"/>
      <c r="E187" s="396"/>
      <c r="F187" s="396"/>
      <c r="G187" s="396"/>
      <c r="H187" s="396"/>
      <c r="I187" s="396"/>
      <c r="J187" s="396"/>
      <c r="K187" s="396"/>
      <c r="L187" s="396"/>
      <c r="M187" s="396"/>
      <c r="N187" s="396"/>
      <c r="O187" s="396"/>
      <c r="P187" s="396"/>
      <c r="Q187" s="259"/>
      <c r="R187" s="259"/>
      <c r="S187" s="259"/>
      <c r="T187" s="259"/>
      <c r="U187" s="259"/>
      <c r="V187" s="259"/>
      <c r="W187" s="259"/>
      <c r="X187" s="259"/>
      <c r="Y187" s="259"/>
      <c r="Z187" s="259"/>
      <c r="AA187" s="259"/>
      <c r="AB187" s="259"/>
      <c r="AC187" s="259"/>
      <c r="AD187" s="259"/>
      <c r="AE187" s="259"/>
      <c r="AF187" s="259"/>
      <c r="AG187" s="259"/>
      <c r="AH187" s="259"/>
      <c r="AI187" s="259"/>
      <c r="AJ187" s="259"/>
      <c r="AK187" s="259"/>
      <c r="AL187" s="259"/>
      <c r="AM187" s="259"/>
      <c r="AN187" s="259"/>
      <c r="AO187" s="259"/>
      <c r="AP187" s="259"/>
      <c r="AQ187" s="259"/>
      <c r="AR187" s="259"/>
      <c r="AS187" s="259"/>
    </row>
    <row r="188" spans="1:45" x14ac:dyDescent="0.25">
      <c r="A188" s="396"/>
      <c r="B188" s="396"/>
      <c r="C188" s="396"/>
      <c r="D188" s="396"/>
      <c r="E188" s="396"/>
      <c r="F188" s="396"/>
      <c r="G188" s="396"/>
      <c r="H188" s="396"/>
      <c r="I188" s="396"/>
      <c r="J188" s="396"/>
      <c r="K188" s="396"/>
      <c r="L188" s="396"/>
      <c r="M188" s="396"/>
      <c r="N188" s="396"/>
      <c r="O188" s="396"/>
      <c r="P188" s="396"/>
      <c r="Q188" s="259"/>
      <c r="R188" s="259"/>
      <c r="S188" s="259"/>
      <c r="T188" s="259"/>
      <c r="U188" s="259"/>
      <c r="V188" s="259"/>
      <c r="W188" s="259"/>
      <c r="X188" s="259"/>
      <c r="Y188" s="259"/>
      <c r="Z188" s="259"/>
      <c r="AA188" s="259"/>
      <c r="AB188" s="259"/>
      <c r="AC188" s="259"/>
      <c r="AD188" s="259"/>
      <c r="AE188" s="259"/>
      <c r="AF188" s="259"/>
      <c r="AG188" s="259"/>
      <c r="AH188" s="259"/>
      <c r="AI188" s="259"/>
      <c r="AJ188" s="259"/>
      <c r="AK188" s="259"/>
      <c r="AL188" s="259"/>
      <c r="AM188" s="259"/>
      <c r="AN188" s="259"/>
      <c r="AO188" s="259"/>
      <c r="AP188" s="259"/>
      <c r="AQ188" s="259"/>
      <c r="AR188" s="259"/>
      <c r="AS188" s="259"/>
    </row>
    <row r="189" spans="1:45" x14ac:dyDescent="0.25">
      <c r="A189" s="396"/>
      <c r="B189" s="396"/>
      <c r="C189" s="396"/>
      <c r="D189" s="396"/>
      <c r="E189" s="396"/>
      <c r="F189" s="396"/>
      <c r="G189" s="396"/>
      <c r="H189" s="396"/>
      <c r="I189" s="396"/>
      <c r="J189" s="396"/>
      <c r="K189" s="396"/>
      <c r="L189" s="396"/>
      <c r="M189" s="396"/>
      <c r="N189" s="396"/>
      <c r="O189" s="396"/>
      <c r="P189" s="396"/>
      <c r="Q189" s="259"/>
      <c r="R189" s="259"/>
      <c r="S189" s="259"/>
      <c r="T189" s="259"/>
      <c r="U189" s="259"/>
      <c r="V189" s="259"/>
      <c r="W189" s="259"/>
      <c r="X189" s="259"/>
      <c r="Y189" s="259"/>
      <c r="Z189" s="259"/>
      <c r="AA189" s="259"/>
      <c r="AB189" s="259"/>
      <c r="AC189" s="259"/>
      <c r="AD189" s="259"/>
      <c r="AE189" s="259"/>
      <c r="AF189" s="259"/>
      <c r="AG189" s="259"/>
      <c r="AH189" s="259"/>
      <c r="AI189" s="259"/>
      <c r="AJ189" s="259"/>
      <c r="AK189" s="259"/>
      <c r="AL189" s="259"/>
      <c r="AM189" s="259"/>
      <c r="AN189" s="259"/>
      <c r="AO189" s="259"/>
      <c r="AP189" s="259"/>
      <c r="AQ189" s="259"/>
      <c r="AR189" s="259"/>
      <c r="AS189" s="259"/>
    </row>
    <row r="190" spans="1:45" x14ac:dyDescent="0.25">
      <c r="A190" s="396"/>
      <c r="B190" s="396"/>
      <c r="C190" s="396"/>
      <c r="D190" s="396"/>
      <c r="E190" s="396"/>
      <c r="F190" s="396"/>
      <c r="G190" s="396"/>
      <c r="H190" s="396"/>
      <c r="I190" s="396"/>
      <c r="J190" s="396"/>
      <c r="K190" s="396"/>
      <c r="L190" s="396"/>
      <c r="M190" s="396"/>
      <c r="N190" s="396"/>
      <c r="O190" s="396"/>
      <c r="P190" s="396"/>
      <c r="Q190" s="259"/>
      <c r="R190" s="259"/>
      <c r="S190" s="259"/>
      <c r="T190" s="259"/>
      <c r="U190" s="259"/>
      <c r="V190" s="259"/>
      <c r="W190" s="259"/>
      <c r="X190" s="259"/>
      <c r="Y190" s="259"/>
      <c r="Z190" s="259"/>
      <c r="AA190" s="259"/>
      <c r="AB190" s="259"/>
      <c r="AC190" s="259"/>
      <c r="AD190" s="259"/>
      <c r="AE190" s="259"/>
      <c r="AF190" s="259"/>
      <c r="AG190" s="259"/>
      <c r="AH190" s="259"/>
      <c r="AI190" s="259"/>
      <c r="AJ190" s="259"/>
      <c r="AK190" s="259"/>
      <c r="AL190" s="259"/>
      <c r="AM190" s="259"/>
      <c r="AN190" s="259"/>
      <c r="AO190" s="259"/>
      <c r="AP190" s="259"/>
      <c r="AQ190" s="259"/>
      <c r="AR190" s="259"/>
      <c r="AS190" s="259"/>
    </row>
    <row r="191" spans="1:45" x14ac:dyDescent="0.25">
      <c r="A191" s="396"/>
      <c r="B191" s="396"/>
      <c r="C191" s="396"/>
      <c r="D191" s="396"/>
      <c r="E191" s="396"/>
      <c r="F191" s="396"/>
      <c r="G191" s="396"/>
      <c r="H191" s="396"/>
      <c r="I191" s="396"/>
      <c r="J191" s="396"/>
      <c r="K191" s="396"/>
      <c r="L191" s="396"/>
      <c r="M191" s="396"/>
      <c r="N191" s="396"/>
      <c r="O191" s="396"/>
      <c r="P191" s="396"/>
      <c r="Q191" s="259"/>
      <c r="R191" s="259"/>
      <c r="S191" s="259"/>
      <c r="T191" s="259"/>
      <c r="U191" s="259"/>
      <c r="V191" s="259"/>
      <c r="W191" s="259"/>
      <c r="X191" s="259"/>
      <c r="Y191" s="259"/>
      <c r="Z191" s="259"/>
      <c r="AA191" s="259"/>
      <c r="AB191" s="259"/>
      <c r="AC191" s="259"/>
      <c r="AD191" s="259"/>
      <c r="AE191" s="259"/>
      <c r="AF191" s="259"/>
      <c r="AG191" s="259"/>
      <c r="AH191" s="259"/>
      <c r="AI191" s="259"/>
      <c r="AJ191" s="259"/>
      <c r="AK191" s="259"/>
      <c r="AL191" s="259"/>
      <c r="AM191" s="259"/>
      <c r="AN191" s="259"/>
      <c r="AO191" s="259"/>
      <c r="AP191" s="259"/>
      <c r="AQ191" s="259"/>
      <c r="AR191" s="259"/>
      <c r="AS191" s="259"/>
    </row>
    <row r="192" spans="1:45" x14ac:dyDescent="0.25">
      <c r="A192" s="396"/>
      <c r="B192" s="396"/>
      <c r="C192" s="396"/>
      <c r="D192" s="396"/>
      <c r="E192" s="396"/>
      <c r="F192" s="396"/>
      <c r="G192" s="396"/>
      <c r="H192" s="396"/>
      <c r="I192" s="396"/>
      <c r="J192" s="396"/>
      <c r="K192" s="396"/>
      <c r="L192" s="396"/>
      <c r="M192" s="396"/>
      <c r="N192" s="396"/>
      <c r="O192" s="396"/>
      <c r="P192" s="396"/>
      <c r="Q192" s="259"/>
      <c r="R192" s="259"/>
      <c r="S192" s="259"/>
      <c r="T192" s="259"/>
      <c r="U192" s="259"/>
      <c r="V192" s="259"/>
      <c r="W192" s="259"/>
      <c r="X192" s="259"/>
      <c r="Y192" s="259"/>
      <c r="Z192" s="259"/>
      <c r="AA192" s="259"/>
      <c r="AB192" s="259"/>
      <c r="AC192" s="259"/>
      <c r="AD192" s="259"/>
      <c r="AE192" s="259"/>
      <c r="AF192" s="259"/>
      <c r="AG192" s="259"/>
      <c r="AH192" s="259"/>
      <c r="AI192" s="259"/>
      <c r="AJ192" s="259"/>
      <c r="AK192" s="259"/>
      <c r="AL192" s="259"/>
      <c r="AM192" s="259"/>
      <c r="AN192" s="259"/>
      <c r="AO192" s="259"/>
      <c r="AP192" s="259"/>
      <c r="AQ192" s="259"/>
      <c r="AR192" s="259"/>
      <c r="AS192" s="259"/>
    </row>
    <row r="193" spans="1:45" x14ac:dyDescent="0.25">
      <c r="A193" s="396"/>
      <c r="B193" s="396"/>
      <c r="C193" s="396"/>
      <c r="D193" s="396"/>
      <c r="E193" s="396"/>
      <c r="F193" s="396"/>
      <c r="G193" s="396"/>
      <c r="H193" s="396"/>
      <c r="I193" s="396"/>
      <c r="J193" s="396"/>
      <c r="K193" s="396"/>
      <c r="L193" s="396"/>
      <c r="M193" s="396"/>
      <c r="N193" s="396"/>
      <c r="O193" s="396"/>
      <c r="P193" s="396"/>
      <c r="Q193" s="259"/>
      <c r="R193" s="259"/>
      <c r="S193" s="259"/>
      <c r="T193" s="259"/>
      <c r="U193" s="259"/>
      <c r="V193" s="259"/>
      <c r="W193" s="259"/>
      <c r="X193" s="259"/>
      <c r="Y193" s="259"/>
      <c r="Z193" s="259"/>
      <c r="AA193" s="259"/>
      <c r="AB193" s="259"/>
      <c r="AC193" s="259"/>
      <c r="AD193" s="259"/>
      <c r="AE193" s="259"/>
      <c r="AF193" s="259"/>
      <c r="AG193" s="259"/>
      <c r="AH193" s="259"/>
      <c r="AI193" s="259"/>
      <c r="AJ193" s="259"/>
      <c r="AK193" s="259"/>
      <c r="AL193" s="259"/>
      <c r="AM193" s="259"/>
      <c r="AN193" s="259"/>
      <c r="AO193" s="259"/>
      <c r="AP193" s="259"/>
      <c r="AQ193" s="259"/>
      <c r="AR193" s="259"/>
      <c r="AS193" s="259"/>
    </row>
    <row r="194" spans="1:45" x14ac:dyDescent="0.25">
      <c r="A194" s="396"/>
      <c r="B194" s="396"/>
      <c r="C194" s="396"/>
      <c r="D194" s="396"/>
      <c r="E194" s="396"/>
      <c r="F194" s="396"/>
      <c r="G194" s="396"/>
      <c r="H194" s="396"/>
      <c r="I194" s="396"/>
      <c r="J194" s="396"/>
      <c r="K194" s="396"/>
      <c r="L194" s="396"/>
      <c r="M194" s="396"/>
      <c r="N194" s="396"/>
      <c r="O194" s="396"/>
      <c r="P194" s="396"/>
      <c r="Q194" s="259"/>
      <c r="R194" s="259"/>
      <c r="S194" s="259"/>
      <c r="T194" s="259"/>
      <c r="U194" s="259"/>
      <c r="V194" s="259"/>
      <c r="W194" s="259"/>
      <c r="X194" s="259"/>
      <c r="Y194" s="259"/>
      <c r="Z194" s="259"/>
      <c r="AA194" s="259"/>
      <c r="AB194" s="259"/>
      <c r="AC194" s="259"/>
      <c r="AD194" s="259"/>
      <c r="AE194" s="259"/>
      <c r="AF194" s="259"/>
      <c r="AG194" s="259"/>
      <c r="AH194" s="259"/>
      <c r="AI194" s="259"/>
      <c r="AJ194" s="259"/>
      <c r="AK194" s="259"/>
      <c r="AL194" s="259"/>
      <c r="AM194" s="259"/>
      <c r="AN194" s="259"/>
      <c r="AO194" s="259"/>
      <c r="AP194" s="259"/>
      <c r="AQ194" s="259"/>
      <c r="AR194" s="259"/>
      <c r="AS194" s="259"/>
    </row>
    <row r="195" spans="1:45" x14ac:dyDescent="0.25">
      <c r="A195" s="396"/>
      <c r="B195" s="396"/>
      <c r="C195" s="396"/>
      <c r="D195" s="396"/>
      <c r="E195" s="396"/>
      <c r="F195" s="396"/>
      <c r="G195" s="396"/>
      <c r="H195" s="396"/>
      <c r="I195" s="396"/>
      <c r="J195" s="396"/>
      <c r="K195" s="396"/>
      <c r="L195" s="396"/>
      <c r="M195" s="396"/>
      <c r="N195" s="396"/>
      <c r="O195" s="396"/>
      <c r="P195" s="396"/>
      <c r="Q195" s="259"/>
      <c r="R195" s="259"/>
      <c r="S195" s="259"/>
      <c r="T195" s="259"/>
      <c r="U195" s="259"/>
      <c r="V195" s="259"/>
      <c r="W195" s="259"/>
      <c r="X195" s="259"/>
      <c r="Y195" s="259"/>
      <c r="Z195" s="259"/>
      <c r="AA195" s="259"/>
      <c r="AB195" s="259"/>
      <c r="AC195" s="259"/>
      <c r="AD195" s="259"/>
      <c r="AE195" s="259"/>
      <c r="AF195" s="259"/>
      <c r="AG195" s="259"/>
      <c r="AH195" s="259"/>
      <c r="AI195" s="259"/>
      <c r="AJ195" s="259"/>
      <c r="AK195" s="259"/>
      <c r="AL195" s="259"/>
      <c r="AM195" s="259"/>
      <c r="AN195" s="259"/>
      <c r="AO195" s="259"/>
      <c r="AP195" s="259"/>
      <c r="AQ195" s="259"/>
      <c r="AR195" s="259"/>
      <c r="AS195" s="259"/>
    </row>
    <row r="196" spans="1:45" x14ac:dyDescent="0.25">
      <c r="A196" s="396"/>
      <c r="B196" s="396"/>
      <c r="C196" s="396"/>
      <c r="D196" s="396"/>
      <c r="E196" s="396"/>
      <c r="F196" s="396"/>
      <c r="G196" s="396"/>
      <c r="H196" s="396"/>
      <c r="I196" s="396"/>
      <c r="J196" s="396"/>
      <c r="K196" s="396"/>
      <c r="L196" s="396"/>
      <c r="M196" s="396"/>
      <c r="N196" s="396"/>
      <c r="O196" s="396"/>
      <c r="P196" s="396"/>
      <c r="Q196" s="259"/>
      <c r="R196" s="259"/>
      <c r="S196" s="259"/>
      <c r="T196" s="259"/>
      <c r="U196" s="259"/>
      <c r="V196" s="259"/>
      <c r="W196" s="259"/>
      <c r="X196" s="259"/>
      <c r="Y196" s="259"/>
      <c r="Z196" s="259"/>
      <c r="AA196" s="259"/>
      <c r="AB196" s="259"/>
      <c r="AC196" s="259"/>
      <c r="AD196" s="259"/>
      <c r="AE196" s="259"/>
      <c r="AF196" s="259"/>
      <c r="AG196" s="259"/>
      <c r="AH196" s="259"/>
      <c r="AI196" s="259"/>
      <c r="AJ196" s="259"/>
      <c r="AK196" s="259"/>
      <c r="AL196" s="259"/>
      <c r="AM196" s="259"/>
      <c r="AN196" s="259"/>
      <c r="AO196" s="259"/>
      <c r="AP196" s="259"/>
      <c r="AQ196" s="259"/>
      <c r="AR196" s="259"/>
      <c r="AS196" s="259"/>
    </row>
    <row r="197" spans="1:45" x14ac:dyDescent="0.25">
      <c r="A197" s="396"/>
      <c r="B197" s="396"/>
      <c r="C197" s="396"/>
      <c r="D197" s="396"/>
      <c r="E197" s="396"/>
      <c r="F197" s="396"/>
      <c r="G197" s="396"/>
      <c r="H197" s="396"/>
      <c r="I197" s="396"/>
      <c r="J197" s="396"/>
      <c r="K197" s="396"/>
      <c r="L197" s="396"/>
      <c r="M197" s="396"/>
      <c r="N197" s="396"/>
      <c r="O197" s="396"/>
      <c r="P197" s="396"/>
      <c r="Q197" s="259"/>
      <c r="R197" s="259"/>
      <c r="S197" s="259"/>
      <c r="T197" s="259"/>
      <c r="U197" s="259"/>
      <c r="V197" s="259"/>
      <c r="W197" s="259"/>
      <c r="X197" s="259"/>
      <c r="Y197" s="259"/>
      <c r="Z197" s="259"/>
      <c r="AA197" s="259"/>
      <c r="AB197" s="259"/>
      <c r="AC197" s="259"/>
      <c r="AD197" s="259"/>
      <c r="AE197" s="259"/>
      <c r="AF197" s="259"/>
      <c r="AG197" s="259"/>
      <c r="AH197" s="259"/>
      <c r="AI197" s="259"/>
      <c r="AJ197" s="259"/>
      <c r="AK197" s="259"/>
      <c r="AL197" s="259"/>
      <c r="AM197" s="259"/>
      <c r="AN197" s="259"/>
      <c r="AO197" s="259"/>
      <c r="AP197" s="259"/>
      <c r="AQ197" s="259"/>
      <c r="AR197" s="259"/>
      <c r="AS197" s="259"/>
    </row>
    <row r="198" spans="1:45" x14ac:dyDescent="0.25">
      <c r="A198" s="396"/>
      <c r="B198" s="396"/>
      <c r="C198" s="396"/>
      <c r="D198" s="396"/>
      <c r="E198" s="396"/>
      <c r="F198" s="396"/>
      <c r="G198" s="396"/>
      <c r="H198" s="396"/>
      <c r="I198" s="396"/>
      <c r="J198" s="396"/>
      <c r="K198" s="396"/>
      <c r="L198" s="396"/>
      <c r="M198" s="396"/>
      <c r="N198" s="396"/>
      <c r="O198" s="396"/>
      <c r="P198" s="396"/>
      <c r="Q198" s="259"/>
      <c r="R198" s="259"/>
      <c r="S198" s="259"/>
      <c r="T198" s="259"/>
      <c r="U198" s="259"/>
      <c r="V198" s="259"/>
      <c r="W198" s="259"/>
      <c r="X198" s="259"/>
      <c r="Y198" s="259"/>
      <c r="Z198" s="259"/>
      <c r="AA198" s="259"/>
      <c r="AB198" s="259"/>
      <c r="AC198" s="259"/>
      <c r="AD198" s="259"/>
      <c r="AE198" s="259"/>
      <c r="AF198" s="259"/>
      <c r="AG198" s="259"/>
      <c r="AH198" s="259"/>
      <c r="AI198" s="259"/>
      <c r="AJ198" s="259"/>
      <c r="AK198" s="259"/>
      <c r="AL198" s="259"/>
      <c r="AM198" s="259"/>
      <c r="AN198" s="259"/>
      <c r="AO198" s="259"/>
      <c r="AP198" s="259"/>
      <c r="AQ198" s="259"/>
      <c r="AR198" s="259"/>
      <c r="AS198" s="259"/>
    </row>
    <row r="199" spans="1:45" x14ac:dyDescent="0.25">
      <c r="A199" s="396"/>
      <c r="B199" s="396"/>
      <c r="C199" s="396"/>
      <c r="D199" s="396"/>
      <c r="E199" s="396"/>
      <c r="F199" s="396"/>
      <c r="G199" s="396"/>
      <c r="H199" s="396"/>
      <c r="I199" s="396"/>
      <c r="J199" s="396"/>
      <c r="K199" s="396"/>
      <c r="L199" s="396"/>
      <c r="M199" s="396"/>
      <c r="N199" s="396"/>
      <c r="O199" s="396"/>
      <c r="P199" s="396"/>
      <c r="Q199" s="259"/>
      <c r="R199" s="259"/>
      <c r="S199" s="259"/>
      <c r="T199" s="259"/>
      <c r="U199" s="259"/>
      <c r="V199" s="259"/>
      <c r="W199" s="259"/>
      <c r="X199" s="259"/>
      <c r="Y199" s="259"/>
      <c r="Z199" s="259"/>
      <c r="AA199" s="259"/>
      <c r="AB199" s="259"/>
      <c r="AC199" s="259"/>
      <c r="AD199" s="259"/>
      <c r="AE199" s="259"/>
      <c r="AF199" s="259"/>
      <c r="AG199" s="259"/>
      <c r="AH199" s="259"/>
      <c r="AI199" s="259"/>
      <c r="AJ199" s="259"/>
      <c r="AK199" s="259"/>
      <c r="AL199" s="259"/>
      <c r="AM199" s="259"/>
      <c r="AN199" s="259"/>
      <c r="AO199" s="259"/>
      <c r="AP199" s="259"/>
      <c r="AQ199" s="259"/>
      <c r="AR199" s="259"/>
      <c r="AS199" s="259"/>
    </row>
    <row r="200" spans="1:45" x14ac:dyDescent="0.25">
      <c r="A200" s="396"/>
      <c r="B200" s="396"/>
      <c r="C200" s="396"/>
      <c r="D200" s="396"/>
      <c r="E200" s="396"/>
      <c r="F200" s="396"/>
      <c r="G200" s="396"/>
      <c r="H200" s="396"/>
      <c r="I200" s="396"/>
      <c r="J200" s="396"/>
      <c r="K200" s="396"/>
      <c r="L200" s="396"/>
      <c r="M200" s="396"/>
      <c r="N200" s="396"/>
      <c r="O200" s="396"/>
      <c r="P200" s="396"/>
      <c r="Q200" s="259"/>
      <c r="R200" s="259"/>
      <c r="S200" s="259"/>
      <c r="T200" s="259"/>
      <c r="U200" s="259"/>
      <c r="V200" s="259"/>
      <c r="W200" s="259"/>
      <c r="X200" s="259"/>
      <c r="Y200" s="259"/>
      <c r="Z200" s="259"/>
      <c r="AA200" s="259"/>
      <c r="AB200" s="259"/>
      <c r="AC200" s="259"/>
      <c r="AD200" s="259"/>
      <c r="AE200" s="259"/>
      <c r="AF200" s="259"/>
      <c r="AG200" s="259"/>
      <c r="AH200" s="259"/>
      <c r="AI200" s="259"/>
      <c r="AJ200" s="259"/>
      <c r="AK200" s="259"/>
      <c r="AL200" s="259"/>
      <c r="AM200" s="259"/>
      <c r="AN200" s="259"/>
      <c r="AO200" s="259"/>
      <c r="AP200" s="259"/>
      <c r="AQ200" s="259"/>
      <c r="AR200" s="259"/>
      <c r="AS200" s="259"/>
    </row>
    <row r="201" spans="1:45" x14ac:dyDescent="0.25">
      <c r="A201" s="396"/>
      <c r="B201" s="396"/>
      <c r="C201" s="396"/>
      <c r="D201" s="396"/>
      <c r="E201" s="396"/>
      <c r="F201" s="396"/>
      <c r="G201" s="396"/>
      <c r="H201" s="396"/>
      <c r="I201" s="396"/>
      <c r="J201" s="396"/>
      <c r="K201" s="396"/>
      <c r="L201" s="396"/>
      <c r="M201" s="396"/>
      <c r="N201" s="396"/>
      <c r="O201" s="396"/>
      <c r="P201" s="396"/>
      <c r="Q201" s="259"/>
      <c r="R201" s="259"/>
      <c r="S201" s="259"/>
      <c r="T201" s="259"/>
      <c r="U201" s="259"/>
      <c r="V201" s="259"/>
      <c r="W201" s="259"/>
      <c r="X201" s="259"/>
      <c r="Y201" s="259"/>
      <c r="Z201" s="259"/>
      <c r="AA201" s="259"/>
      <c r="AB201" s="259"/>
      <c r="AC201" s="259"/>
      <c r="AD201" s="259"/>
      <c r="AE201" s="259"/>
      <c r="AF201" s="259"/>
      <c r="AG201" s="259"/>
      <c r="AH201" s="259"/>
      <c r="AI201" s="259"/>
      <c r="AJ201" s="259"/>
      <c r="AK201" s="259"/>
      <c r="AL201" s="259"/>
      <c r="AM201" s="259"/>
      <c r="AN201" s="259"/>
      <c r="AO201" s="259"/>
      <c r="AP201" s="259"/>
      <c r="AQ201" s="259"/>
      <c r="AR201" s="259"/>
      <c r="AS201" s="259"/>
    </row>
    <row r="202" spans="1:45" x14ac:dyDescent="0.25">
      <c r="A202" s="396"/>
      <c r="B202" s="396"/>
      <c r="C202" s="396"/>
      <c r="D202" s="396"/>
      <c r="E202" s="396"/>
      <c r="F202" s="396"/>
      <c r="G202" s="396"/>
      <c r="H202" s="396"/>
      <c r="I202" s="396"/>
      <c r="J202" s="396"/>
      <c r="K202" s="396"/>
      <c r="L202" s="396"/>
      <c r="M202" s="396"/>
      <c r="N202" s="396"/>
      <c r="O202" s="396"/>
      <c r="P202" s="396"/>
      <c r="Q202" s="259"/>
      <c r="R202" s="259"/>
      <c r="S202" s="259"/>
      <c r="T202" s="259"/>
      <c r="U202" s="259"/>
      <c r="V202" s="259"/>
      <c r="W202" s="259"/>
      <c r="X202" s="259"/>
      <c r="Y202" s="259"/>
      <c r="Z202" s="259"/>
      <c r="AA202" s="259"/>
      <c r="AB202" s="259"/>
      <c r="AC202" s="259"/>
      <c r="AD202" s="259"/>
      <c r="AE202" s="259"/>
      <c r="AF202" s="259"/>
      <c r="AG202" s="259"/>
      <c r="AH202" s="259"/>
      <c r="AI202" s="259"/>
      <c r="AJ202" s="259"/>
      <c r="AK202" s="259"/>
      <c r="AL202" s="259"/>
      <c r="AM202" s="259"/>
      <c r="AN202" s="259"/>
      <c r="AO202" s="259"/>
      <c r="AP202" s="259"/>
      <c r="AQ202" s="259"/>
      <c r="AR202" s="259"/>
      <c r="AS202" s="259"/>
    </row>
    <row r="203" spans="1:45" x14ac:dyDescent="0.25">
      <c r="A203" s="396"/>
      <c r="B203" s="396"/>
      <c r="C203" s="396"/>
      <c r="D203" s="396"/>
      <c r="E203" s="396"/>
      <c r="F203" s="396"/>
      <c r="G203" s="396"/>
      <c r="H203" s="396"/>
      <c r="I203" s="396"/>
      <c r="J203" s="396"/>
      <c r="K203" s="396"/>
      <c r="L203" s="396"/>
      <c r="M203" s="396"/>
      <c r="N203" s="396"/>
      <c r="O203" s="396"/>
      <c r="P203" s="396"/>
      <c r="Q203" s="259"/>
      <c r="R203" s="259"/>
      <c r="S203" s="259"/>
      <c r="T203" s="259"/>
      <c r="U203" s="259"/>
      <c r="V203" s="259"/>
      <c r="W203" s="259"/>
      <c r="X203" s="259"/>
      <c r="Y203" s="259"/>
      <c r="Z203" s="259"/>
      <c r="AA203" s="259"/>
      <c r="AB203" s="259"/>
      <c r="AC203" s="259"/>
      <c r="AD203" s="259"/>
      <c r="AE203" s="259"/>
      <c r="AF203" s="259"/>
      <c r="AG203" s="259"/>
      <c r="AH203" s="259"/>
      <c r="AI203" s="259"/>
      <c r="AJ203" s="259"/>
      <c r="AK203" s="259"/>
      <c r="AL203" s="259"/>
      <c r="AM203" s="259"/>
      <c r="AN203" s="259"/>
      <c r="AO203" s="259"/>
      <c r="AP203" s="259"/>
      <c r="AQ203" s="259"/>
      <c r="AR203" s="259"/>
      <c r="AS203" s="259"/>
    </row>
    <row r="204" spans="1:45" x14ac:dyDescent="0.25">
      <c r="A204" s="396"/>
      <c r="B204" s="396"/>
      <c r="C204" s="396"/>
      <c r="D204" s="396"/>
      <c r="E204" s="396"/>
      <c r="F204" s="396"/>
      <c r="G204" s="396"/>
      <c r="H204" s="396"/>
      <c r="I204" s="396"/>
      <c r="J204" s="396"/>
      <c r="K204" s="396"/>
      <c r="L204" s="396"/>
      <c r="M204" s="396"/>
      <c r="N204" s="396"/>
      <c r="O204" s="396"/>
      <c r="P204" s="396"/>
      <c r="Q204" s="259"/>
      <c r="R204" s="259"/>
      <c r="S204" s="259"/>
      <c r="T204" s="259"/>
      <c r="U204" s="259"/>
      <c r="V204" s="259"/>
      <c r="W204" s="259"/>
      <c r="X204" s="259"/>
      <c r="Y204" s="259"/>
      <c r="Z204" s="259"/>
      <c r="AA204" s="259"/>
      <c r="AB204" s="259"/>
      <c r="AC204" s="259"/>
      <c r="AD204" s="259"/>
      <c r="AE204" s="259"/>
      <c r="AF204" s="259"/>
      <c r="AG204" s="259"/>
      <c r="AH204" s="259"/>
      <c r="AI204" s="259"/>
      <c r="AJ204" s="259"/>
      <c r="AK204" s="259"/>
      <c r="AL204" s="259"/>
      <c r="AM204" s="259"/>
      <c r="AN204" s="259"/>
      <c r="AO204" s="259"/>
      <c r="AP204" s="259"/>
      <c r="AQ204" s="259"/>
      <c r="AR204" s="259"/>
      <c r="AS204" s="259"/>
    </row>
    <row r="205" spans="1:45" x14ac:dyDescent="0.25">
      <c r="A205" s="396"/>
      <c r="B205" s="396"/>
      <c r="C205" s="396"/>
      <c r="D205" s="396"/>
      <c r="E205" s="396"/>
      <c r="F205" s="396"/>
      <c r="G205" s="396"/>
      <c r="H205" s="396"/>
      <c r="I205" s="396"/>
      <c r="J205" s="396"/>
      <c r="K205" s="396"/>
      <c r="L205" s="396"/>
      <c r="M205" s="396"/>
      <c r="N205" s="396"/>
      <c r="O205" s="396"/>
      <c r="P205" s="396"/>
      <c r="Q205" s="259"/>
      <c r="R205" s="259"/>
      <c r="S205" s="259"/>
      <c r="T205" s="259"/>
      <c r="U205" s="259"/>
      <c r="V205" s="259"/>
      <c r="W205" s="259"/>
      <c r="X205" s="259"/>
      <c r="Y205" s="259"/>
      <c r="Z205" s="259"/>
      <c r="AA205" s="259"/>
      <c r="AB205" s="259"/>
      <c r="AC205" s="259"/>
      <c r="AD205" s="259"/>
      <c r="AE205" s="259"/>
      <c r="AF205" s="259"/>
      <c r="AG205" s="259"/>
      <c r="AH205" s="259"/>
      <c r="AI205" s="259"/>
      <c r="AJ205" s="259"/>
      <c r="AK205" s="259"/>
      <c r="AL205" s="259"/>
      <c r="AM205" s="259"/>
      <c r="AN205" s="259"/>
      <c r="AO205" s="259"/>
      <c r="AP205" s="259"/>
      <c r="AQ205" s="259"/>
      <c r="AR205" s="259"/>
      <c r="AS205" s="259"/>
    </row>
    <row r="206" spans="1:45" x14ac:dyDescent="0.25">
      <c r="A206" s="396"/>
      <c r="B206" s="396"/>
      <c r="C206" s="396"/>
      <c r="D206" s="396"/>
      <c r="E206" s="396"/>
      <c r="F206" s="396"/>
      <c r="G206" s="396"/>
      <c r="H206" s="396"/>
      <c r="I206" s="396"/>
      <c r="J206" s="396"/>
      <c r="K206" s="396"/>
      <c r="L206" s="396"/>
      <c r="M206" s="396"/>
      <c r="N206" s="396"/>
      <c r="O206" s="396"/>
      <c r="P206" s="396"/>
      <c r="Q206" s="259"/>
      <c r="R206" s="259"/>
      <c r="S206" s="259"/>
      <c r="T206" s="259"/>
      <c r="U206" s="259"/>
      <c r="V206" s="259"/>
      <c r="W206" s="259"/>
      <c r="X206" s="259"/>
      <c r="Y206" s="259"/>
      <c r="Z206" s="259"/>
      <c r="AA206" s="259"/>
      <c r="AB206" s="259"/>
      <c r="AC206" s="259"/>
      <c r="AD206" s="259"/>
      <c r="AE206" s="259"/>
      <c r="AF206" s="259"/>
      <c r="AG206" s="259"/>
      <c r="AH206" s="259"/>
      <c r="AI206" s="259"/>
      <c r="AJ206" s="259"/>
      <c r="AK206" s="259"/>
      <c r="AL206" s="259"/>
      <c r="AM206" s="259"/>
      <c r="AN206" s="259"/>
      <c r="AO206" s="259"/>
      <c r="AP206" s="259"/>
      <c r="AQ206" s="259"/>
      <c r="AR206" s="259"/>
      <c r="AS206" s="259"/>
    </row>
    <row r="207" spans="1:45" x14ac:dyDescent="0.25">
      <c r="A207" s="396"/>
      <c r="B207" s="396"/>
      <c r="C207" s="396"/>
      <c r="D207" s="396"/>
      <c r="E207" s="396"/>
      <c r="F207" s="396"/>
      <c r="G207" s="396"/>
      <c r="H207" s="396"/>
      <c r="I207" s="396"/>
      <c r="J207" s="396"/>
      <c r="K207" s="396"/>
      <c r="L207" s="396"/>
      <c r="M207" s="396"/>
      <c r="N207" s="396"/>
      <c r="O207" s="396"/>
      <c r="P207" s="396"/>
      <c r="Q207" s="259"/>
      <c r="R207" s="259"/>
      <c r="S207" s="259"/>
      <c r="T207" s="259"/>
      <c r="U207" s="259"/>
      <c r="V207" s="259"/>
      <c r="W207" s="259"/>
      <c r="X207" s="259"/>
      <c r="Y207" s="259"/>
      <c r="Z207" s="259"/>
      <c r="AA207" s="259"/>
      <c r="AB207" s="259"/>
      <c r="AC207" s="259"/>
      <c r="AD207" s="259"/>
      <c r="AE207" s="259"/>
      <c r="AF207" s="259"/>
      <c r="AG207" s="259"/>
      <c r="AH207" s="259"/>
      <c r="AI207" s="259"/>
      <c r="AJ207" s="259"/>
      <c r="AK207" s="259"/>
      <c r="AL207" s="259"/>
      <c r="AM207" s="259"/>
      <c r="AN207" s="259"/>
      <c r="AO207" s="259"/>
      <c r="AP207" s="259"/>
      <c r="AQ207" s="259"/>
      <c r="AR207" s="259"/>
      <c r="AS207" s="259"/>
    </row>
    <row r="208" spans="1:45" x14ac:dyDescent="0.25">
      <c r="A208" s="396"/>
      <c r="B208" s="396"/>
      <c r="C208" s="396"/>
      <c r="D208" s="396"/>
      <c r="E208" s="396"/>
      <c r="F208" s="396"/>
      <c r="G208" s="396"/>
      <c r="H208" s="396"/>
      <c r="I208" s="396"/>
      <c r="J208" s="396"/>
      <c r="K208" s="396"/>
      <c r="L208" s="396"/>
      <c r="M208" s="396"/>
      <c r="N208" s="396"/>
      <c r="O208" s="396"/>
      <c r="P208" s="396"/>
      <c r="Q208" s="259"/>
      <c r="R208" s="259"/>
      <c r="S208" s="259"/>
      <c r="T208" s="259"/>
      <c r="U208" s="259"/>
      <c r="V208" s="259"/>
      <c r="W208" s="259"/>
      <c r="X208" s="259"/>
      <c r="Y208" s="259"/>
      <c r="Z208" s="259"/>
      <c r="AA208" s="259"/>
      <c r="AB208" s="259"/>
      <c r="AC208" s="259"/>
      <c r="AD208" s="259"/>
      <c r="AE208" s="259"/>
      <c r="AF208" s="259"/>
      <c r="AG208" s="259"/>
      <c r="AH208" s="259"/>
      <c r="AI208" s="259"/>
      <c r="AJ208" s="259"/>
      <c r="AK208" s="259"/>
      <c r="AL208" s="259"/>
      <c r="AM208" s="259"/>
      <c r="AN208" s="259"/>
      <c r="AO208" s="259"/>
      <c r="AP208" s="259"/>
      <c r="AQ208" s="259"/>
      <c r="AR208" s="259"/>
      <c r="AS208" s="259"/>
    </row>
    <row r="209" spans="1:45" x14ac:dyDescent="0.25">
      <c r="A209" s="396"/>
      <c r="B209" s="396"/>
      <c r="C209" s="396"/>
      <c r="D209" s="396"/>
      <c r="E209" s="396"/>
      <c r="F209" s="396"/>
      <c r="G209" s="396"/>
      <c r="H209" s="396"/>
      <c r="I209" s="396"/>
      <c r="J209" s="396"/>
      <c r="K209" s="396"/>
      <c r="L209" s="396"/>
      <c r="M209" s="396"/>
      <c r="N209" s="396"/>
      <c r="O209" s="396"/>
      <c r="P209" s="396"/>
      <c r="Q209" s="259"/>
      <c r="R209" s="259"/>
      <c r="S209" s="259"/>
      <c r="T209" s="259"/>
      <c r="U209" s="259"/>
      <c r="V209" s="259"/>
      <c r="W209" s="259"/>
      <c r="X209" s="259"/>
      <c r="Y209" s="259"/>
      <c r="Z209" s="259"/>
      <c r="AA209" s="259"/>
      <c r="AB209" s="259"/>
      <c r="AC209" s="259"/>
      <c r="AD209" s="259"/>
      <c r="AE209" s="259"/>
      <c r="AF209" s="259"/>
      <c r="AG209" s="259"/>
      <c r="AH209" s="259"/>
      <c r="AI209" s="259"/>
      <c r="AJ209" s="259"/>
      <c r="AK209" s="259"/>
      <c r="AL209" s="259"/>
      <c r="AM209" s="259"/>
      <c r="AN209" s="259"/>
      <c r="AO209" s="259"/>
      <c r="AP209" s="259"/>
      <c r="AQ209" s="259"/>
      <c r="AR209" s="259"/>
      <c r="AS209" s="259"/>
    </row>
    <row r="210" spans="1:45" x14ac:dyDescent="0.25">
      <c r="A210" s="396"/>
      <c r="B210" s="396"/>
      <c r="C210" s="396"/>
      <c r="D210" s="396"/>
      <c r="E210" s="396"/>
      <c r="F210" s="396"/>
      <c r="G210" s="396"/>
      <c r="H210" s="396"/>
      <c r="I210" s="396"/>
      <c r="J210" s="396"/>
      <c r="K210" s="396"/>
      <c r="L210" s="396"/>
      <c r="M210" s="396"/>
      <c r="N210" s="396"/>
      <c r="O210" s="396"/>
      <c r="P210" s="396"/>
      <c r="Q210" s="259"/>
      <c r="R210" s="259"/>
      <c r="S210" s="259"/>
      <c r="T210" s="259"/>
      <c r="U210" s="259"/>
      <c r="V210" s="259"/>
      <c r="W210" s="259"/>
      <c r="X210" s="259"/>
      <c r="Y210" s="259"/>
      <c r="Z210" s="259"/>
      <c r="AA210" s="259"/>
      <c r="AB210" s="259"/>
      <c r="AC210" s="259"/>
      <c r="AD210" s="259"/>
      <c r="AE210" s="259"/>
      <c r="AF210" s="259"/>
      <c r="AG210" s="259"/>
      <c r="AH210" s="259"/>
      <c r="AI210" s="259"/>
      <c r="AJ210" s="259"/>
      <c r="AK210" s="259"/>
      <c r="AL210" s="259"/>
      <c r="AM210" s="259"/>
      <c r="AN210" s="259"/>
      <c r="AO210" s="259"/>
      <c r="AP210" s="259"/>
      <c r="AQ210" s="259"/>
      <c r="AR210" s="259"/>
      <c r="AS210" s="259"/>
    </row>
    <row r="211" spans="1:45" x14ac:dyDescent="0.25">
      <c r="A211" s="396"/>
      <c r="B211" s="396"/>
      <c r="C211" s="396"/>
      <c r="D211" s="396"/>
      <c r="E211" s="396"/>
      <c r="F211" s="396"/>
      <c r="G211" s="396"/>
      <c r="H211" s="396"/>
      <c r="I211" s="396"/>
      <c r="J211" s="396"/>
      <c r="K211" s="396"/>
      <c r="L211" s="396"/>
      <c r="M211" s="396"/>
      <c r="N211" s="396"/>
      <c r="O211" s="396"/>
      <c r="P211" s="396"/>
      <c r="Q211" s="259"/>
      <c r="R211" s="259"/>
      <c r="S211" s="259"/>
      <c r="T211" s="259"/>
      <c r="U211" s="259"/>
      <c r="V211" s="259"/>
      <c r="W211" s="259"/>
      <c r="X211" s="259"/>
      <c r="Y211" s="259"/>
      <c r="Z211" s="259"/>
      <c r="AA211" s="259"/>
      <c r="AB211" s="259"/>
      <c r="AC211" s="259"/>
      <c r="AD211" s="259"/>
      <c r="AE211" s="259"/>
      <c r="AF211" s="259"/>
      <c r="AG211" s="259"/>
      <c r="AH211" s="259"/>
      <c r="AI211" s="259"/>
      <c r="AJ211" s="259"/>
      <c r="AK211" s="259"/>
      <c r="AL211" s="259"/>
      <c r="AM211" s="259"/>
      <c r="AN211" s="259"/>
      <c r="AO211" s="259"/>
      <c r="AP211" s="259"/>
      <c r="AQ211" s="259"/>
      <c r="AR211" s="259"/>
      <c r="AS211" s="259"/>
    </row>
    <row r="212" spans="1:45" x14ac:dyDescent="0.25">
      <c r="A212" s="396"/>
      <c r="B212" s="396"/>
      <c r="C212" s="396"/>
      <c r="D212" s="396"/>
      <c r="E212" s="396"/>
      <c r="F212" s="396"/>
      <c r="G212" s="396"/>
      <c r="H212" s="396"/>
      <c r="I212" s="396"/>
      <c r="J212" s="396"/>
      <c r="K212" s="396"/>
      <c r="L212" s="396"/>
      <c r="M212" s="396"/>
      <c r="N212" s="396"/>
      <c r="O212" s="396"/>
      <c r="P212" s="396"/>
      <c r="Q212" s="259"/>
      <c r="R212" s="259"/>
      <c r="S212" s="259"/>
      <c r="T212" s="259"/>
      <c r="U212" s="259"/>
      <c r="V212" s="259"/>
      <c r="W212" s="259"/>
      <c r="X212" s="259"/>
      <c r="Y212" s="259"/>
      <c r="Z212" s="259"/>
      <c r="AA212" s="259"/>
      <c r="AB212" s="259"/>
      <c r="AC212" s="259"/>
      <c r="AD212" s="259"/>
      <c r="AE212" s="259"/>
      <c r="AF212" s="259"/>
      <c r="AG212" s="259"/>
      <c r="AH212" s="259"/>
      <c r="AI212" s="259"/>
      <c r="AJ212" s="259"/>
      <c r="AK212" s="259"/>
      <c r="AL212" s="259"/>
      <c r="AM212" s="259"/>
      <c r="AN212" s="259"/>
      <c r="AO212" s="259"/>
      <c r="AP212" s="259"/>
      <c r="AQ212" s="259"/>
      <c r="AR212" s="259"/>
      <c r="AS212" s="259"/>
    </row>
    <row r="213" spans="1:45" x14ac:dyDescent="0.25">
      <c r="A213" s="396"/>
      <c r="B213" s="396"/>
      <c r="C213" s="396"/>
      <c r="D213" s="396"/>
      <c r="E213" s="396"/>
      <c r="F213" s="396"/>
      <c r="G213" s="396"/>
      <c r="H213" s="396"/>
      <c r="I213" s="396"/>
      <c r="J213" s="396"/>
      <c r="K213" s="396"/>
      <c r="L213" s="396"/>
      <c r="M213" s="396"/>
      <c r="N213" s="396"/>
      <c r="O213" s="396"/>
      <c r="P213" s="396"/>
      <c r="Q213" s="259"/>
      <c r="R213" s="259"/>
      <c r="S213" s="259"/>
      <c r="T213" s="259"/>
      <c r="U213" s="259"/>
      <c r="V213" s="259"/>
      <c r="W213" s="259"/>
      <c r="X213" s="259"/>
      <c r="Y213" s="259"/>
      <c r="Z213" s="259"/>
      <c r="AA213" s="259"/>
      <c r="AB213" s="259"/>
      <c r="AC213" s="259"/>
      <c r="AD213" s="259"/>
      <c r="AE213" s="259"/>
      <c r="AF213" s="259"/>
      <c r="AG213" s="259"/>
      <c r="AH213" s="259"/>
      <c r="AI213" s="259"/>
      <c r="AJ213" s="259"/>
      <c r="AK213" s="259"/>
      <c r="AL213" s="259"/>
      <c r="AM213" s="259"/>
      <c r="AN213" s="259"/>
      <c r="AO213" s="259"/>
      <c r="AP213" s="259"/>
      <c r="AQ213" s="259"/>
      <c r="AR213" s="259"/>
      <c r="AS213" s="259"/>
    </row>
    <row r="214" spans="1:45" x14ac:dyDescent="0.25">
      <c r="A214" s="396"/>
      <c r="B214" s="396"/>
      <c r="C214" s="396"/>
      <c r="D214" s="396"/>
      <c r="E214" s="396"/>
      <c r="F214" s="396"/>
      <c r="G214" s="396"/>
      <c r="H214" s="396"/>
      <c r="I214" s="396"/>
      <c r="J214" s="396"/>
      <c r="K214" s="396"/>
      <c r="L214" s="396"/>
      <c r="M214" s="396"/>
      <c r="N214" s="396"/>
      <c r="O214" s="396"/>
      <c r="P214" s="396"/>
      <c r="Q214" s="259"/>
      <c r="R214" s="259"/>
      <c r="S214" s="259"/>
      <c r="T214" s="259"/>
      <c r="U214" s="259"/>
      <c r="V214" s="259"/>
      <c r="W214" s="259"/>
      <c r="X214" s="259"/>
      <c r="Y214" s="259"/>
      <c r="Z214" s="259"/>
      <c r="AA214" s="259"/>
      <c r="AB214" s="259"/>
      <c r="AC214" s="259"/>
      <c r="AD214" s="259"/>
      <c r="AE214" s="259"/>
      <c r="AF214" s="259"/>
      <c r="AG214" s="259"/>
      <c r="AH214" s="259"/>
      <c r="AI214" s="259"/>
      <c r="AJ214" s="259"/>
      <c r="AK214" s="259"/>
      <c r="AL214" s="259"/>
      <c r="AM214" s="259"/>
      <c r="AN214" s="259"/>
      <c r="AO214" s="259"/>
      <c r="AP214" s="259"/>
      <c r="AQ214" s="259"/>
      <c r="AR214" s="259"/>
      <c r="AS214" s="259"/>
    </row>
    <row r="215" spans="1:45" x14ac:dyDescent="0.25">
      <c r="A215" s="396"/>
      <c r="B215" s="396"/>
      <c r="C215" s="396"/>
      <c r="D215" s="396"/>
      <c r="E215" s="396"/>
      <c r="F215" s="396"/>
      <c r="G215" s="396"/>
      <c r="H215" s="396"/>
      <c r="I215" s="396"/>
      <c r="J215" s="396"/>
      <c r="K215" s="396"/>
      <c r="L215" s="396"/>
      <c r="M215" s="396"/>
      <c r="N215" s="396"/>
      <c r="O215" s="396"/>
      <c r="P215" s="396"/>
      <c r="Q215" s="259"/>
      <c r="R215" s="259"/>
      <c r="S215" s="259"/>
      <c r="T215" s="259"/>
      <c r="U215" s="259"/>
      <c r="V215" s="259"/>
      <c r="W215" s="259"/>
      <c r="X215" s="259"/>
      <c r="Y215" s="259"/>
      <c r="Z215" s="259"/>
      <c r="AA215" s="259"/>
      <c r="AB215" s="259"/>
      <c r="AC215" s="259"/>
      <c r="AD215" s="259"/>
      <c r="AE215" s="259"/>
      <c r="AF215" s="259"/>
      <c r="AG215" s="259"/>
      <c r="AH215" s="259"/>
      <c r="AI215" s="259"/>
      <c r="AJ215" s="259"/>
      <c r="AK215" s="259"/>
      <c r="AL215" s="259"/>
      <c r="AM215" s="259"/>
      <c r="AN215" s="259"/>
      <c r="AO215" s="259"/>
      <c r="AP215" s="259"/>
      <c r="AQ215" s="259"/>
      <c r="AR215" s="259"/>
      <c r="AS215" s="259"/>
    </row>
    <row r="216" spans="1:45" x14ac:dyDescent="0.25">
      <c r="A216" s="396"/>
      <c r="B216" s="396"/>
      <c r="C216" s="396"/>
      <c r="D216" s="396"/>
      <c r="E216" s="396"/>
      <c r="F216" s="396"/>
      <c r="G216" s="396"/>
      <c r="H216" s="396"/>
      <c r="I216" s="396"/>
      <c r="J216" s="396"/>
      <c r="K216" s="396"/>
      <c r="L216" s="396"/>
      <c r="M216" s="396"/>
      <c r="N216" s="396"/>
      <c r="O216" s="396"/>
      <c r="P216" s="396"/>
      <c r="Q216" s="259"/>
      <c r="R216" s="259"/>
      <c r="S216" s="259"/>
      <c r="T216" s="259"/>
      <c r="U216" s="259"/>
      <c r="V216" s="259"/>
      <c r="W216" s="259"/>
      <c r="X216" s="259"/>
      <c r="Y216" s="259"/>
      <c r="Z216" s="259"/>
      <c r="AA216" s="259"/>
      <c r="AB216" s="259"/>
      <c r="AC216" s="259"/>
      <c r="AD216" s="259"/>
      <c r="AE216" s="259"/>
      <c r="AF216" s="259"/>
      <c r="AG216" s="259"/>
      <c r="AH216" s="259"/>
      <c r="AI216" s="259"/>
      <c r="AJ216" s="259"/>
      <c r="AK216" s="259"/>
      <c r="AL216" s="259"/>
      <c r="AM216" s="259"/>
      <c r="AN216" s="259"/>
      <c r="AO216" s="259"/>
      <c r="AP216" s="259"/>
      <c r="AQ216" s="259"/>
      <c r="AR216" s="259"/>
      <c r="AS216" s="259"/>
    </row>
    <row r="217" spans="1:45" x14ac:dyDescent="0.25">
      <c r="A217" s="396"/>
      <c r="B217" s="396"/>
      <c r="C217" s="396"/>
      <c r="D217" s="396"/>
      <c r="E217" s="396"/>
      <c r="F217" s="396"/>
      <c r="G217" s="396"/>
      <c r="H217" s="396"/>
      <c r="I217" s="396"/>
      <c r="J217" s="396"/>
      <c r="K217" s="396"/>
      <c r="L217" s="396"/>
      <c r="M217" s="396"/>
      <c r="N217" s="396"/>
      <c r="O217" s="396"/>
      <c r="P217" s="396"/>
      <c r="Q217" s="259"/>
      <c r="R217" s="259"/>
      <c r="S217" s="259"/>
      <c r="T217" s="259"/>
      <c r="U217" s="259"/>
      <c r="V217" s="259"/>
      <c r="W217" s="259"/>
      <c r="X217" s="259"/>
      <c r="Y217" s="259"/>
      <c r="Z217" s="259"/>
      <c r="AA217" s="259"/>
      <c r="AB217" s="259"/>
      <c r="AC217" s="259"/>
      <c r="AD217" s="259"/>
      <c r="AE217" s="259"/>
      <c r="AF217" s="259"/>
      <c r="AG217" s="259"/>
      <c r="AH217" s="259"/>
      <c r="AI217" s="259"/>
      <c r="AJ217" s="259"/>
      <c r="AK217" s="259"/>
      <c r="AL217" s="259"/>
      <c r="AM217" s="259"/>
      <c r="AN217" s="259"/>
      <c r="AO217" s="259"/>
      <c r="AP217" s="259"/>
      <c r="AQ217" s="259"/>
      <c r="AR217" s="259"/>
      <c r="AS217" s="259"/>
    </row>
    <row r="218" spans="1:45" x14ac:dyDescent="0.25">
      <c r="A218" s="396"/>
      <c r="B218" s="396"/>
      <c r="C218" s="396"/>
      <c r="D218" s="396"/>
      <c r="E218" s="396"/>
      <c r="F218" s="396"/>
      <c r="G218" s="396"/>
      <c r="H218" s="396"/>
      <c r="I218" s="396"/>
      <c r="J218" s="396"/>
      <c r="K218" s="396"/>
      <c r="L218" s="396"/>
      <c r="M218" s="396"/>
      <c r="N218" s="396"/>
      <c r="O218" s="396"/>
      <c r="P218" s="396"/>
      <c r="Q218" s="259"/>
      <c r="R218" s="259"/>
      <c r="S218" s="259"/>
      <c r="T218" s="259"/>
      <c r="U218" s="259"/>
      <c r="V218" s="259"/>
      <c r="W218" s="259"/>
      <c r="X218" s="259"/>
      <c r="Y218" s="259"/>
      <c r="Z218" s="259"/>
      <c r="AA218" s="259"/>
      <c r="AB218" s="259"/>
      <c r="AC218" s="259"/>
      <c r="AD218" s="259"/>
      <c r="AE218" s="259"/>
      <c r="AF218" s="259"/>
      <c r="AG218" s="259"/>
      <c r="AH218" s="259"/>
      <c r="AI218" s="259"/>
      <c r="AJ218" s="259"/>
      <c r="AK218" s="259"/>
      <c r="AL218" s="259"/>
      <c r="AM218" s="259"/>
      <c r="AN218" s="259"/>
      <c r="AO218" s="259"/>
      <c r="AP218" s="259"/>
      <c r="AQ218" s="259"/>
      <c r="AR218" s="259"/>
      <c r="AS218" s="259"/>
    </row>
    <row r="219" spans="1:45" x14ac:dyDescent="0.25">
      <c r="A219" s="396"/>
      <c r="B219" s="396"/>
      <c r="C219" s="396"/>
      <c r="D219" s="396"/>
      <c r="E219" s="396"/>
      <c r="F219" s="396"/>
      <c r="G219" s="396"/>
      <c r="H219" s="396"/>
      <c r="I219" s="396"/>
      <c r="J219" s="396"/>
      <c r="K219" s="396"/>
      <c r="L219" s="396"/>
      <c r="M219" s="396"/>
      <c r="N219" s="396"/>
      <c r="O219" s="396"/>
      <c r="P219" s="396"/>
      <c r="Q219" s="259"/>
      <c r="R219" s="259"/>
      <c r="S219" s="259"/>
      <c r="T219" s="259"/>
      <c r="U219" s="259"/>
      <c r="V219" s="259"/>
      <c r="W219" s="259"/>
      <c r="X219" s="259"/>
      <c r="Y219" s="259"/>
      <c r="Z219" s="259"/>
      <c r="AA219" s="259"/>
      <c r="AB219" s="259"/>
      <c r="AC219" s="259"/>
      <c r="AD219" s="259"/>
      <c r="AE219" s="259"/>
      <c r="AF219" s="259"/>
      <c r="AG219" s="259"/>
      <c r="AH219" s="259"/>
      <c r="AI219" s="259"/>
      <c r="AJ219" s="259"/>
      <c r="AK219" s="259"/>
      <c r="AL219" s="259"/>
      <c r="AM219" s="259"/>
      <c r="AN219" s="259"/>
      <c r="AO219" s="259"/>
      <c r="AP219" s="259"/>
      <c r="AQ219" s="259"/>
      <c r="AR219" s="259"/>
      <c r="AS219" s="259"/>
    </row>
    <row r="220" spans="1:45" x14ac:dyDescent="0.25">
      <c r="A220" s="396"/>
      <c r="B220" s="396"/>
      <c r="C220" s="396"/>
      <c r="D220" s="396"/>
      <c r="E220" s="396"/>
      <c r="F220" s="396"/>
      <c r="G220" s="396"/>
      <c r="H220" s="396"/>
      <c r="I220" s="396"/>
      <c r="J220" s="396"/>
      <c r="K220" s="396"/>
      <c r="L220" s="396"/>
      <c r="M220" s="396"/>
      <c r="N220" s="396"/>
      <c r="O220" s="396"/>
      <c r="P220" s="396"/>
      <c r="Q220" s="259"/>
      <c r="R220" s="259"/>
      <c r="S220" s="259"/>
      <c r="T220" s="259"/>
      <c r="U220" s="259"/>
      <c r="V220" s="259"/>
      <c r="W220" s="259"/>
      <c r="X220" s="259"/>
      <c r="Y220" s="259"/>
      <c r="Z220" s="259"/>
      <c r="AA220" s="259"/>
      <c r="AB220" s="259"/>
      <c r="AC220" s="259"/>
      <c r="AD220" s="259"/>
      <c r="AE220" s="259"/>
      <c r="AF220" s="259"/>
      <c r="AG220" s="259"/>
      <c r="AH220" s="259"/>
      <c r="AI220" s="259"/>
      <c r="AJ220" s="259"/>
      <c r="AK220" s="259"/>
      <c r="AL220" s="259"/>
      <c r="AM220" s="259"/>
      <c r="AN220" s="259"/>
      <c r="AO220" s="259"/>
      <c r="AP220" s="259"/>
      <c r="AQ220" s="259"/>
      <c r="AR220" s="259"/>
      <c r="AS220" s="259"/>
    </row>
    <row r="221" spans="1:45" x14ac:dyDescent="0.25">
      <c r="A221" s="396"/>
      <c r="B221" s="396"/>
      <c r="C221" s="396"/>
      <c r="D221" s="396"/>
      <c r="E221" s="396"/>
      <c r="F221" s="396"/>
      <c r="G221" s="396"/>
      <c r="H221" s="396"/>
      <c r="I221" s="396"/>
      <c r="J221" s="396"/>
      <c r="K221" s="396"/>
      <c r="L221" s="396"/>
      <c r="M221" s="396"/>
      <c r="N221" s="396"/>
      <c r="O221" s="396"/>
      <c r="P221" s="396"/>
      <c r="Q221" s="259"/>
      <c r="R221" s="259"/>
      <c r="S221" s="259"/>
      <c r="T221" s="259"/>
      <c r="U221" s="259"/>
      <c r="V221" s="259"/>
      <c r="W221" s="259"/>
      <c r="X221" s="259"/>
      <c r="Y221" s="259"/>
      <c r="Z221" s="259"/>
      <c r="AA221" s="259"/>
      <c r="AB221" s="259"/>
      <c r="AC221" s="259"/>
      <c r="AD221" s="259"/>
      <c r="AE221" s="259"/>
      <c r="AF221" s="259"/>
      <c r="AG221" s="259"/>
      <c r="AH221" s="259"/>
      <c r="AI221" s="259"/>
      <c r="AJ221" s="259"/>
      <c r="AK221" s="259"/>
      <c r="AL221" s="259"/>
      <c r="AM221" s="259"/>
      <c r="AN221" s="259"/>
      <c r="AO221" s="259"/>
      <c r="AP221" s="259"/>
      <c r="AQ221" s="259"/>
      <c r="AR221" s="259"/>
      <c r="AS221" s="259"/>
    </row>
    <row r="222" spans="1:45" x14ac:dyDescent="0.25">
      <c r="A222" s="396"/>
      <c r="B222" s="396"/>
      <c r="C222" s="396"/>
      <c r="D222" s="396"/>
      <c r="E222" s="396"/>
      <c r="F222" s="396"/>
      <c r="G222" s="396"/>
      <c r="H222" s="396"/>
      <c r="I222" s="396"/>
      <c r="J222" s="396"/>
      <c r="K222" s="396"/>
      <c r="L222" s="396"/>
      <c r="M222" s="396"/>
      <c r="N222" s="396"/>
      <c r="O222" s="396"/>
      <c r="P222" s="396"/>
      <c r="Q222" s="259"/>
      <c r="R222" s="259"/>
      <c r="S222" s="259"/>
      <c r="T222" s="259"/>
      <c r="U222" s="259"/>
      <c r="V222" s="259"/>
      <c r="W222" s="259"/>
      <c r="X222" s="259"/>
      <c r="Y222" s="259"/>
      <c r="Z222" s="259"/>
      <c r="AA222" s="259"/>
      <c r="AB222" s="259"/>
      <c r="AC222" s="259"/>
      <c r="AD222" s="259"/>
      <c r="AE222" s="259"/>
      <c r="AF222" s="259"/>
      <c r="AG222" s="259"/>
      <c r="AH222" s="259"/>
      <c r="AI222" s="259"/>
      <c r="AJ222" s="259"/>
      <c r="AK222" s="259"/>
      <c r="AL222" s="259"/>
      <c r="AM222" s="259"/>
      <c r="AN222" s="259"/>
      <c r="AO222" s="259"/>
      <c r="AP222" s="259"/>
      <c r="AQ222" s="259"/>
      <c r="AR222" s="259"/>
      <c r="AS222" s="259"/>
    </row>
    <row r="223" spans="1:45" x14ac:dyDescent="0.25">
      <c r="A223" s="396"/>
      <c r="B223" s="396"/>
      <c r="C223" s="396"/>
      <c r="D223" s="396"/>
      <c r="E223" s="396"/>
      <c r="F223" s="396"/>
      <c r="G223" s="396"/>
      <c r="H223" s="396"/>
      <c r="I223" s="396"/>
      <c r="J223" s="396"/>
      <c r="K223" s="396"/>
      <c r="L223" s="396"/>
      <c r="M223" s="396"/>
      <c r="N223" s="396"/>
      <c r="O223" s="396"/>
      <c r="P223" s="396"/>
      <c r="Q223" s="259"/>
      <c r="R223" s="259"/>
      <c r="S223" s="259"/>
      <c r="T223" s="259"/>
      <c r="U223" s="259"/>
      <c r="V223" s="259"/>
      <c r="W223" s="259"/>
      <c r="X223" s="259"/>
      <c r="Y223" s="259"/>
      <c r="Z223" s="259"/>
      <c r="AA223" s="259"/>
      <c r="AB223" s="259"/>
      <c r="AC223" s="259"/>
      <c r="AD223" s="259"/>
      <c r="AE223" s="259"/>
      <c r="AF223" s="259"/>
      <c r="AG223" s="259"/>
      <c r="AH223" s="259"/>
      <c r="AI223" s="259"/>
      <c r="AJ223" s="259"/>
      <c r="AK223" s="259"/>
      <c r="AL223" s="259"/>
      <c r="AM223" s="259"/>
      <c r="AN223" s="259"/>
      <c r="AO223" s="259"/>
      <c r="AP223" s="259"/>
      <c r="AQ223" s="259"/>
      <c r="AR223" s="259"/>
      <c r="AS223" s="259"/>
    </row>
    <row r="224" spans="1:45" x14ac:dyDescent="0.25">
      <c r="A224" s="396"/>
      <c r="B224" s="396"/>
      <c r="C224" s="396"/>
      <c r="D224" s="396"/>
      <c r="E224" s="396"/>
      <c r="F224" s="396"/>
      <c r="G224" s="396"/>
      <c r="H224" s="396"/>
      <c r="I224" s="396"/>
      <c r="J224" s="396"/>
      <c r="K224" s="396"/>
      <c r="L224" s="396"/>
      <c r="M224" s="396"/>
      <c r="N224" s="396"/>
      <c r="O224" s="396"/>
      <c r="P224" s="396"/>
      <c r="Q224" s="259"/>
      <c r="R224" s="259"/>
      <c r="S224" s="259"/>
      <c r="T224" s="259"/>
      <c r="U224" s="259"/>
      <c r="V224" s="259"/>
      <c r="W224" s="259"/>
      <c r="X224" s="259"/>
      <c r="Y224" s="259"/>
      <c r="Z224" s="259"/>
      <c r="AA224" s="259"/>
      <c r="AB224" s="259"/>
      <c r="AC224" s="259"/>
      <c r="AD224" s="259"/>
      <c r="AE224" s="259"/>
      <c r="AF224" s="259"/>
      <c r="AG224" s="259"/>
      <c r="AH224" s="259"/>
      <c r="AI224" s="259"/>
      <c r="AJ224" s="259"/>
      <c r="AK224" s="259"/>
      <c r="AL224" s="259"/>
      <c r="AM224" s="259"/>
      <c r="AN224" s="259"/>
      <c r="AO224" s="259"/>
      <c r="AP224" s="259"/>
      <c r="AQ224" s="259"/>
      <c r="AR224" s="259"/>
      <c r="AS224" s="259"/>
    </row>
    <row r="225" spans="1:45" x14ac:dyDescent="0.25">
      <c r="A225" s="396"/>
      <c r="B225" s="396"/>
      <c r="C225" s="396"/>
      <c r="D225" s="396"/>
      <c r="E225" s="396"/>
      <c r="F225" s="396"/>
      <c r="G225" s="396"/>
      <c r="H225" s="396"/>
      <c r="I225" s="396"/>
      <c r="J225" s="396"/>
      <c r="K225" s="396"/>
      <c r="L225" s="396"/>
      <c r="M225" s="396"/>
      <c r="N225" s="396"/>
      <c r="O225" s="396"/>
      <c r="P225" s="396"/>
      <c r="Q225" s="259"/>
      <c r="R225" s="259"/>
      <c r="S225" s="259"/>
      <c r="T225" s="259"/>
      <c r="U225" s="259"/>
      <c r="V225" s="259"/>
      <c r="W225" s="259"/>
      <c r="X225" s="259"/>
      <c r="Y225" s="259"/>
      <c r="Z225" s="259"/>
      <c r="AA225" s="259"/>
      <c r="AB225" s="259"/>
      <c r="AC225" s="259"/>
      <c r="AD225" s="259"/>
      <c r="AE225" s="259"/>
      <c r="AF225" s="259"/>
      <c r="AG225" s="259"/>
      <c r="AH225" s="259"/>
      <c r="AI225" s="259"/>
      <c r="AJ225" s="259"/>
      <c r="AK225" s="259"/>
      <c r="AL225" s="259"/>
      <c r="AM225" s="259"/>
      <c r="AN225" s="259"/>
      <c r="AO225" s="259"/>
      <c r="AP225" s="259"/>
      <c r="AQ225" s="259"/>
      <c r="AR225" s="259"/>
      <c r="AS225" s="259"/>
    </row>
    <row r="226" spans="1:45" x14ac:dyDescent="0.25">
      <c r="A226" s="396"/>
      <c r="B226" s="396"/>
      <c r="C226" s="396"/>
      <c r="D226" s="396"/>
      <c r="E226" s="396"/>
      <c r="F226" s="396"/>
      <c r="G226" s="396"/>
      <c r="H226" s="396"/>
      <c r="I226" s="396"/>
      <c r="J226" s="396"/>
      <c r="K226" s="396"/>
      <c r="L226" s="396"/>
      <c r="M226" s="396"/>
      <c r="N226" s="396"/>
      <c r="O226" s="396"/>
      <c r="P226" s="396"/>
      <c r="Q226" s="259"/>
      <c r="R226" s="259"/>
      <c r="S226" s="259"/>
      <c r="T226" s="259"/>
      <c r="U226" s="259"/>
      <c r="V226" s="259"/>
      <c r="W226" s="259"/>
      <c r="X226" s="259"/>
      <c r="Y226" s="259"/>
      <c r="Z226" s="259"/>
      <c r="AA226" s="259"/>
      <c r="AB226" s="259"/>
      <c r="AC226" s="259"/>
      <c r="AD226" s="259"/>
      <c r="AE226" s="259"/>
      <c r="AF226" s="259"/>
      <c r="AG226" s="259"/>
      <c r="AH226" s="259"/>
      <c r="AI226" s="259"/>
      <c r="AJ226" s="259"/>
      <c r="AK226" s="259"/>
      <c r="AL226" s="259"/>
      <c r="AM226" s="259"/>
      <c r="AN226" s="259"/>
      <c r="AO226" s="259"/>
      <c r="AP226" s="259"/>
      <c r="AQ226" s="259"/>
      <c r="AR226" s="259"/>
      <c r="AS226" s="259"/>
    </row>
    <row r="227" spans="1:45" x14ac:dyDescent="0.25">
      <c r="A227" s="396"/>
      <c r="B227" s="396"/>
      <c r="C227" s="396"/>
      <c r="D227" s="396"/>
      <c r="E227" s="396"/>
      <c r="F227" s="396"/>
      <c r="G227" s="396"/>
      <c r="H227" s="396"/>
      <c r="I227" s="396"/>
      <c r="J227" s="396"/>
      <c r="K227" s="396"/>
      <c r="L227" s="396"/>
      <c r="M227" s="396"/>
      <c r="N227" s="396"/>
      <c r="O227" s="396"/>
      <c r="P227" s="396"/>
      <c r="Q227" s="259"/>
      <c r="R227" s="259"/>
      <c r="S227" s="259"/>
      <c r="T227" s="259"/>
      <c r="U227" s="259"/>
      <c r="V227" s="259"/>
      <c r="W227" s="259"/>
      <c r="X227" s="259"/>
      <c r="Y227" s="259"/>
      <c r="Z227" s="259"/>
      <c r="AA227" s="259"/>
      <c r="AB227" s="259"/>
      <c r="AC227" s="259"/>
      <c r="AD227" s="259"/>
      <c r="AE227" s="259"/>
      <c r="AF227" s="259"/>
      <c r="AG227" s="259"/>
      <c r="AH227" s="259"/>
      <c r="AI227" s="259"/>
      <c r="AJ227" s="259"/>
      <c r="AK227" s="259"/>
      <c r="AL227" s="259"/>
      <c r="AM227" s="259"/>
      <c r="AN227" s="259"/>
      <c r="AO227" s="259"/>
      <c r="AP227" s="259"/>
      <c r="AQ227" s="259"/>
      <c r="AR227" s="259"/>
      <c r="AS227" s="259"/>
    </row>
    <row r="228" spans="1:45" x14ac:dyDescent="0.25">
      <c r="A228" s="396"/>
      <c r="B228" s="396"/>
      <c r="C228" s="396"/>
      <c r="D228" s="396"/>
      <c r="E228" s="396"/>
      <c r="F228" s="396"/>
      <c r="G228" s="396"/>
      <c r="H228" s="396"/>
      <c r="I228" s="396"/>
      <c r="J228" s="396"/>
      <c r="K228" s="396"/>
      <c r="L228" s="396"/>
      <c r="M228" s="396"/>
      <c r="N228" s="396"/>
      <c r="O228" s="396"/>
      <c r="P228" s="396"/>
      <c r="Q228" s="259"/>
      <c r="R228" s="259"/>
      <c r="S228" s="259"/>
      <c r="T228" s="259"/>
      <c r="U228" s="259"/>
      <c r="V228" s="259"/>
      <c r="W228" s="259"/>
      <c r="X228" s="259"/>
      <c r="Y228" s="259"/>
      <c r="Z228" s="259"/>
      <c r="AA228" s="259"/>
      <c r="AB228" s="259"/>
      <c r="AC228" s="259"/>
      <c r="AD228" s="259"/>
      <c r="AE228" s="259"/>
      <c r="AF228" s="259"/>
      <c r="AG228" s="259"/>
      <c r="AH228" s="259"/>
      <c r="AI228" s="259"/>
      <c r="AJ228" s="259"/>
      <c r="AK228" s="259"/>
      <c r="AL228" s="259"/>
      <c r="AM228" s="259"/>
      <c r="AN228" s="259"/>
      <c r="AO228" s="259"/>
      <c r="AP228" s="259"/>
      <c r="AQ228" s="259"/>
      <c r="AR228" s="259"/>
      <c r="AS228" s="259"/>
    </row>
    <row r="229" spans="1:45" x14ac:dyDescent="0.25">
      <c r="A229" s="396"/>
      <c r="B229" s="396"/>
      <c r="C229" s="396"/>
      <c r="D229" s="396"/>
      <c r="E229" s="396"/>
      <c r="F229" s="396"/>
      <c r="G229" s="396"/>
      <c r="H229" s="396"/>
      <c r="I229" s="396"/>
      <c r="J229" s="396"/>
      <c r="K229" s="396"/>
      <c r="L229" s="396"/>
      <c r="M229" s="396"/>
      <c r="N229" s="396"/>
      <c r="O229" s="396"/>
      <c r="P229" s="396"/>
      <c r="Q229" s="259"/>
      <c r="R229" s="259"/>
      <c r="S229" s="259"/>
      <c r="T229" s="259"/>
      <c r="U229" s="259"/>
      <c r="V229" s="259"/>
      <c r="W229" s="259"/>
      <c r="X229" s="259"/>
      <c r="Y229" s="259"/>
      <c r="Z229" s="259"/>
      <c r="AA229" s="259"/>
      <c r="AB229" s="259"/>
      <c r="AC229" s="259"/>
      <c r="AD229" s="259"/>
      <c r="AE229" s="259"/>
      <c r="AF229" s="259"/>
      <c r="AG229" s="259"/>
      <c r="AH229" s="259"/>
      <c r="AI229" s="259"/>
      <c r="AJ229" s="259"/>
      <c r="AK229" s="259"/>
      <c r="AL229" s="259"/>
      <c r="AM229" s="259"/>
      <c r="AN229" s="259"/>
      <c r="AO229" s="259"/>
      <c r="AP229" s="259"/>
      <c r="AQ229" s="259"/>
      <c r="AR229" s="259"/>
      <c r="AS229" s="259"/>
    </row>
    <row r="230" spans="1:45" x14ac:dyDescent="0.25">
      <c r="A230" s="396"/>
      <c r="B230" s="396"/>
      <c r="C230" s="396"/>
      <c r="D230" s="396"/>
      <c r="E230" s="396"/>
      <c r="F230" s="396"/>
      <c r="G230" s="396"/>
      <c r="H230" s="396"/>
      <c r="I230" s="396"/>
      <c r="J230" s="396"/>
      <c r="K230" s="396"/>
      <c r="L230" s="396"/>
      <c r="M230" s="396"/>
      <c r="N230" s="396"/>
      <c r="O230" s="396"/>
      <c r="P230" s="396"/>
      <c r="Q230" s="259"/>
      <c r="R230" s="259"/>
      <c r="S230" s="259"/>
      <c r="T230" s="259"/>
      <c r="U230" s="259"/>
      <c r="V230" s="259"/>
      <c r="W230" s="259"/>
      <c r="X230" s="259"/>
      <c r="Y230" s="259"/>
      <c r="Z230" s="259"/>
      <c r="AA230" s="259"/>
      <c r="AB230" s="259"/>
      <c r="AC230" s="259"/>
      <c r="AD230" s="259"/>
      <c r="AE230" s="259"/>
      <c r="AF230" s="259"/>
      <c r="AG230" s="259"/>
      <c r="AH230" s="259"/>
      <c r="AI230" s="259"/>
      <c r="AJ230" s="259"/>
      <c r="AK230" s="259"/>
      <c r="AL230" s="259"/>
      <c r="AM230" s="259"/>
      <c r="AN230" s="259"/>
      <c r="AO230" s="259"/>
      <c r="AP230" s="259"/>
      <c r="AQ230" s="259"/>
      <c r="AR230" s="259"/>
      <c r="AS230" s="259"/>
    </row>
    <row r="231" spans="1:45" x14ac:dyDescent="0.25">
      <c r="A231" s="396"/>
      <c r="B231" s="396"/>
      <c r="C231" s="396"/>
      <c r="D231" s="396"/>
      <c r="E231" s="396"/>
      <c r="F231" s="396"/>
      <c r="G231" s="396"/>
      <c r="H231" s="396"/>
      <c r="I231" s="396"/>
      <c r="J231" s="396"/>
      <c r="K231" s="396"/>
      <c r="L231" s="396"/>
      <c r="M231" s="396"/>
      <c r="N231" s="396"/>
      <c r="O231" s="396"/>
      <c r="P231" s="396"/>
      <c r="Q231" s="259"/>
      <c r="R231" s="259"/>
      <c r="S231" s="259"/>
      <c r="T231" s="259"/>
      <c r="U231" s="259"/>
      <c r="V231" s="259"/>
      <c r="W231" s="259"/>
      <c r="X231" s="259"/>
      <c r="Y231" s="259"/>
      <c r="Z231" s="259"/>
      <c r="AA231" s="259"/>
      <c r="AB231" s="259"/>
      <c r="AC231" s="259"/>
      <c r="AD231" s="259"/>
      <c r="AE231" s="259"/>
      <c r="AF231" s="259"/>
      <c r="AG231" s="259"/>
      <c r="AH231" s="259"/>
      <c r="AI231" s="259"/>
      <c r="AJ231" s="259"/>
      <c r="AK231" s="259"/>
      <c r="AL231" s="259"/>
      <c r="AM231" s="259"/>
      <c r="AN231" s="259"/>
      <c r="AO231" s="259"/>
      <c r="AP231" s="259"/>
      <c r="AQ231" s="259"/>
      <c r="AR231" s="259"/>
      <c r="AS231" s="259"/>
    </row>
    <row r="232" spans="1:45" x14ac:dyDescent="0.25">
      <c r="A232" s="396"/>
      <c r="B232" s="396"/>
      <c r="C232" s="396"/>
      <c r="D232" s="396"/>
      <c r="E232" s="396"/>
      <c r="F232" s="396"/>
      <c r="G232" s="396"/>
      <c r="H232" s="396"/>
      <c r="I232" s="396"/>
      <c r="J232" s="396"/>
      <c r="K232" s="396"/>
      <c r="L232" s="396"/>
      <c r="M232" s="396"/>
      <c r="N232" s="396"/>
      <c r="O232" s="396"/>
      <c r="P232" s="396"/>
      <c r="Q232" s="259"/>
      <c r="R232" s="259"/>
      <c r="S232" s="259"/>
      <c r="T232" s="259"/>
      <c r="U232" s="259"/>
      <c r="V232" s="259"/>
      <c r="W232" s="259"/>
      <c r="X232" s="259"/>
      <c r="Y232" s="259"/>
      <c r="Z232" s="259"/>
      <c r="AA232" s="259"/>
      <c r="AB232" s="259"/>
      <c r="AC232" s="259"/>
      <c r="AD232" s="259"/>
      <c r="AE232" s="259"/>
      <c r="AF232" s="259"/>
      <c r="AG232" s="259"/>
      <c r="AH232" s="259"/>
      <c r="AI232" s="259"/>
      <c r="AJ232" s="259"/>
      <c r="AK232" s="259"/>
      <c r="AL232" s="259"/>
      <c r="AM232" s="259"/>
      <c r="AN232" s="259"/>
      <c r="AO232" s="259"/>
      <c r="AP232" s="259"/>
      <c r="AQ232" s="259"/>
      <c r="AR232" s="259"/>
      <c r="AS232" s="259"/>
    </row>
    <row r="233" spans="1:45" x14ac:dyDescent="0.25">
      <c r="A233" s="396"/>
      <c r="B233" s="396"/>
      <c r="C233" s="396"/>
      <c r="D233" s="396"/>
      <c r="E233" s="396"/>
      <c r="F233" s="396"/>
      <c r="G233" s="396"/>
      <c r="H233" s="396"/>
      <c r="I233" s="396"/>
      <c r="J233" s="396"/>
      <c r="K233" s="396"/>
      <c r="L233" s="396"/>
      <c r="M233" s="396"/>
      <c r="N233" s="396"/>
      <c r="O233" s="396"/>
      <c r="P233" s="396"/>
      <c r="Q233" s="259"/>
      <c r="R233" s="259"/>
      <c r="S233" s="259"/>
      <c r="T233" s="259"/>
      <c r="U233" s="259"/>
      <c r="V233" s="259"/>
      <c r="W233" s="259"/>
      <c r="X233" s="259"/>
      <c r="Y233" s="259"/>
      <c r="Z233" s="259"/>
      <c r="AA233" s="259"/>
      <c r="AB233" s="259"/>
      <c r="AC233" s="259"/>
      <c r="AD233" s="259"/>
      <c r="AE233" s="259"/>
      <c r="AF233" s="259"/>
      <c r="AG233" s="259"/>
      <c r="AH233" s="259"/>
      <c r="AI233" s="259"/>
      <c r="AJ233" s="259"/>
      <c r="AK233" s="259"/>
      <c r="AL233" s="259"/>
      <c r="AM233" s="259"/>
      <c r="AN233" s="259"/>
      <c r="AO233" s="259"/>
      <c r="AP233" s="259"/>
      <c r="AQ233" s="259"/>
      <c r="AR233" s="259"/>
      <c r="AS233" s="259"/>
    </row>
    <row r="234" spans="1:45" x14ac:dyDescent="0.25">
      <c r="A234" s="396"/>
      <c r="B234" s="396"/>
      <c r="C234" s="396"/>
      <c r="D234" s="396"/>
      <c r="E234" s="396"/>
      <c r="F234" s="396"/>
      <c r="G234" s="396"/>
      <c r="H234" s="396"/>
      <c r="I234" s="396"/>
      <c r="J234" s="396"/>
      <c r="K234" s="396"/>
      <c r="L234" s="396"/>
      <c r="M234" s="396"/>
      <c r="N234" s="396"/>
      <c r="O234" s="396"/>
      <c r="P234" s="396"/>
      <c r="Q234" s="259"/>
      <c r="R234" s="259"/>
      <c r="S234" s="259"/>
      <c r="T234" s="259"/>
      <c r="U234" s="259"/>
      <c r="V234" s="259"/>
      <c r="W234" s="259"/>
      <c r="X234" s="259"/>
      <c r="Y234" s="259"/>
      <c r="Z234" s="259"/>
      <c r="AA234" s="259"/>
      <c r="AB234" s="259"/>
      <c r="AC234" s="259"/>
      <c r="AD234" s="259"/>
      <c r="AE234" s="259"/>
      <c r="AF234" s="259"/>
      <c r="AG234" s="259"/>
      <c r="AH234" s="259"/>
      <c r="AI234" s="259"/>
      <c r="AJ234" s="259"/>
      <c r="AK234" s="259"/>
      <c r="AL234" s="259"/>
      <c r="AM234" s="259"/>
      <c r="AN234" s="259"/>
      <c r="AO234" s="259"/>
      <c r="AP234" s="259"/>
      <c r="AQ234" s="259"/>
      <c r="AR234" s="259"/>
      <c r="AS234" s="259"/>
    </row>
    <row r="235" spans="1:45" x14ac:dyDescent="0.25">
      <c r="A235" s="396"/>
      <c r="B235" s="396"/>
      <c r="C235" s="396"/>
      <c r="D235" s="396"/>
      <c r="E235" s="396"/>
      <c r="F235" s="396"/>
      <c r="G235" s="396"/>
      <c r="H235" s="396"/>
      <c r="I235" s="396"/>
      <c r="J235" s="396"/>
      <c r="K235" s="396"/>
      <c r="L235" s="396"/>
      <c r="M235" s="396"/>
      <c r="N235" s="396"/>
      <c r="O235" s="396"/>
      <c r="P235" s="396"/>
      <c r="Q235" s="259"/>
      <c r="R235" s="259"/>
      <c r="S235" s="259"/>
      <c r="T235" s="259"/>
      <c r="U235" s="259"/>
      <c r="V235" s="259"/>
      <c r="W235" s="259"/>
      <c r="X235" s="259"/>
      <c r="Y235" s="259"/>
      <c r="Z235" s="259"/>
      <c r="AA235" s="259"/>
      <c r="AB235" s="259"/>
      <c r="AC235" s="259"/>
      <c r="AD235" s="259"/>
      <c r="AE235" s="259"/>
      <c r="AF235" s="259"/>
      <c r="AG235" s="259"/>
      <c r="AH235" s="259"/>
      <c r="AI235" s="259"/>
      <c r="AJ235" s="259"/>
      <c r="AK235" s="259"/>
      <c r="AL235" s="259"/>
      <c r="AM235" s="259"/>
      <c r="AN235" s="259"/>
      <c r="AO235" s="259"/>
      <c r="AP235" s="259"/>
      <c r="AQ235" s="259"/>
      <c r="AR235" s="259"/>
      <c r="AS235" s="259"/>
    </row>
    <row r="236" spans="1:45" x14ac:dyDescent="0.25">
      <c r="A236" s="396"/>
      <c r="B236" s="396"/>
      <c r="C236" s="396"/>
      <c r="D236" s="396"/>
      <c r="E236" s="396"/>
      <c r="F236" s="396"/>
      <c r="G236" s="396"/>
      <c r="H236" s="396"/>
      <c r="I236" s="396"/>
      <c r="J236" s="396"/>
      <c r="K236" s="396"/>
      <c r="L236" s="396"/>
      <c r="M236" s="396"/>
      <c r="N236" s="396"/>
      <c r="O236" s="396"/>
      <c r="P236" s="396"/>
      <c r="Q236" s="259"/>
      <c r="R236" s="259"/>
      <c r="S236" s="259"/>
      <c r="T236" s="259"/>
      <c r="U236" s="259"/>
      <c r="V236" s="259"/>
      <c r="W236" s="259"/>
      <c r="X236" s="259"/>
      <c r="Y236" s="259"/>
      <c r="Z236" s="259"/>
      <c r="AA236" s="259"/>
      <c r="AB236" s="259"/>
      <c r="AC236" s="259"/>
      <c r="AD236" s="259"/>
      <c r="AE236" s="259"/>
      <c r="AF236" s="259"/>
      <c r="AG236" s="259"/>
      <c r="AH236" s="259"/>
      <c r="AI236" s="259"/>
      <c r="AJ236" s="259"/>
      <c r="AK236" s="259"/>
      <c r="AL236" s="259"/>
      <c r="AM236" s="259"/>
      <c r="AN236" s="259"/>
      <c r="AO236" s="259"/>
      <c r="AP236" s="259"/>
      <c r="AQ236" s="259"/>
      <c r="AR236" s="259"/>
      <c r="AS236" s="259"/>
    </row>
    <row r="237" spans="1:45" x14ac:dyDescent="0.25">
      <c r="A237" s="396"/>
      <c r="B237" s="396"/>
      <c r="C237" s="396"/>
      <c r="D237" s="396"/>
      <c r="E237" s="396"/>
      <c r="F237" s="396"/>
      <c r="G237" s="396"/>
      <c r="H237" s="396"/>
      <c r="I237" s="396"/>
      <c r="J237" s="396"/>
      <c r="K237" s="396"/>
      <c r="L237" s="396"/>
      <c r="M237" s="396"/>
      <c r="N237" s="396"/>
      <c r="O237" s="396"/>
      <c r="P237" s="396"/>
      <c r="Q237" s="259"/>
      <c r="R237" s="259"/>
      <c r="S237" s="259"/>
      <c r="T237" s="259"/>
      <c r="U237" s="259"/>
      <c r="V237" s="259"/>
      <c r="W237" s="259"/>
      <c r="X237" s="259"/>
      <c r="Y237" s="259"/>
      <c r="Z237" s="259"/>
      <c r="AA237" s="259"/>
      <c r="AB237" s="259"/>
      <c r="AC237" s="259"/>
      <c r="AD237" s="259"/>
      <c r="AE237" s="259"/>
      <c r="AF237" s="259"/>
      <c r="AG237" s="259"/>
      <c r="AH237" s="259"/>
      <c r="AI237" s="259"/>
      <c r="AJ237" s="259"/>
      <c r="AK237" s="259"/>
      <c r="AL237" s="259"/>
      <c r="AM237" s="259"/>
      <c r="AN237" s="259"/>
      <c r="AO237" s="259"/>
      <c r="AP237" s="259"/>
      <c r="AQ237" s="259"/>
      <c r="AR237" s="259"/>
      <c r="AS237" s="259"/>
    </row>
    <row r="238" spans="1:45" x14ac:dyDescent="0.25">
      <c r="A238" s="396"/>
      <c r="B238" s="396"/>
      <c r="C238" s="396"/>
      <c r="D238" s="396"/>
      <c r="E238" s="396"/>
      <c r="F238" s="396"/>
      <c r="G238" s="396"/>
      <c r="H238" s="396"/>
      <c r="I238" s="396"/>
      <c r="J238" s="396"/>
      <c r="K238" s="396"/>
      <c r="L238" s="396"/>
      <c r="M238" s="396"/>
      <c r="N238" s="396"/>
      <c r="O238" s="396"/>
      <c r="P238" s="396"/>
      <c r="Q238" s="259"/>
      <c r="R238" s="259"/>
      <c r="S238" s="259"/>
      <c r="T238" s="259"/>
      <c r="U238" s="259"/>
      <c r="V238" s="259"/>
      <c r="W238" s="259"/>
      <c r="X238" s="259"/>
      <c r="Y238" s="259"/>
      <c r="Z238" s="259"/>
      <c r="AA238" s="259"/>
      <c r="AB238" s="259"/>
      <c r="AC238" s="259"/>
      <c r="AD238" s="259"/>
      <c r="AE238" s="259"/>
      <c r="AF238" s="259"/>
      <c r="AG238" s="259"/>
      <c r="AH238" s="259"/>
      <c r="AI238" s="259"/>
      <c r="AJ238" s="259"/>
      <c r="AK238" s="259"/>
      <c r="AL238" s="259"/>
      <c r="AM238" s="259"/>
      <c r="AN238" s="259"/>
      <c r="AO238" s="259"/>
      <c r="AP238" s="259"/>
      <c r="AQ238" s="259"/>
      <c r="AR238" s="259"/>
      <c r="AS238" s="259"/>
    </row>
    <row r="239" spans="1:45" x14ac:dyDescent="0.25">
      <c r="A239" s="396"/>
      <c r="B239" s="396"/>
      <c r="C239" s="396"/>
      <c r="D239" s="396"/>
      <c r="E239" s="396"/>
      <c r="F239" s="396"/>
      <c r="G239" s="396"/>
      <c r="H239" s="396"/>
      <c r="I239" s="396"/>
      <c r="J239" s="396"/>
      <c r="K239" s="396"/>
      <c r="L239" s="396"/>
      <c r="M239" s="396"/>
      <c r="N239" s="396"/>
      <c r="O239" s="396"/>
      <c r="P239" s="396"/>
      <c r="Q239" s="259"/>
      <c r="R239" s="259"/>
      <c r="S239" s="259"/>
      <c r="T239" s="259"/>
      <c r="U239" s="259"/>
      <c r="V239" s="259"/>
      <c r="W239" s="259"/>
      <c r="X239" s="259"/>
      <c r="Y239" s="259"/>
      <c r="Z239" s="259"/>
      <c r="AA239" s="259"/>
      <c r="AB239" s="259"/>
      <c r="AC239" s="259"/>
      <c r="AD239" s="259"/>
      <c r="AE239" s="259"/>
      <c r="AF239" s="259"/>
      <c r="AG239" s="259"/>
      <c r="AH239" s="259"/>
      <c r="AI239" s="259"/>
      <c r="AJ239" s="259"/>
      <c r="AK239" s="259"/>
      <c r="AL239" s="259"/>
      <c r="AM239" s="259"/>
      <c r="AN239" s="259"/>
      <c r="AO239" s="259"/>
      <c r="AP239" s="259"/>
      <c r="AQ239" s="259"/>
      <c r="AR239" s="259"/>
      <c r="AS239" s="259"/>
    </row>
    <row r="240" spans="1:45" x14ac:dyDescent="0.25">
      <c r="A240" s="396"/>
      <c r="B240" s="396"/>
      <c r="C240" s="396"/>
      <c r="D240" s="396"/>
      <c r="E240" s="396"/>
      <c r="F240" s="396"/>
      <c r="G240" s="396"/>
      <c r="H240" s="396"/>
      <c r="I240" s="396"/>
      <c r="J240" s="396"/>
      <c r="K240" s="396"/>
      <c r="L240" s="396"/>
      <c r="M240" s="396"/>
      <c r="N240" s="396"/>
      <c r="O240" s="396"/>
      <c r="P240" s="396"/>
      <c r="Q240" s="259"/>
      <c r="R240" s="259"/>
      <c r="S240" s="259"/>
      <c r="T240" s="259"/>
      <c r="U240" s="259"/>
      <c r="V240" s="259"/>
      <c r="W240" s="259"/>
      <c r="X240" s="259"/>
      <c r="Y240" s="259"/>
      <c r="Z240" s="259"/>
      <c r="AA240" s="259"/>
      <c r="AB240" s="259"/>
      <c r="AC240" s="259"/>
      <c r="AD240" s="259"/>
      <c r="AE240" s="259"/>
      <c r="AF240" s="259"/>
      <c r="AG240" s="259"/>
      <c r="AH240" s="259"/>
      <c r="AI240" s="259"/>
      <c r="AJ240" s="259"/>
      <c r="AK240" s="259"/>
      <c r="AL240" s="259"/>
      <c r="AM240" s="259"/>
      <c r="AN240" s="259"/>
      <c r="AO240" s="259"/>
      <c r="AP240" s="259"/>
      <c r="AQ240" s="259"/>
      <c r="AR240" s="259"/>
      <c r="AS240" s="259"/>
    </row>
    <row r="241" spans="1:45" x14ac:dyDescent="0.25">
      <c r="A241" s="396"/>
      <c r="B241" s="396"/>
      <c r="C241" s="396"/>
      <c r="D241" s="396"/>
      <c r="E241" s="396"/>
      <c r="F241" s="396"/>
      <c r="G241" s="396"/>
      <c r="H241" s="396"/>
      <c r="I241" s="396"/>
      <c r="J241" s="396"/>
      <c r="K241" s="396"/>
      <c r="L241" s="396"/>
      <c r="M241" s="396"/>
      <c r="N241" s="396"/>
      <c r="O241" s="396"/>
      <c r="P241" s="396"/>
      <c r="Q241" s="259"/>
      <c r="R241" s="259"/>
      <c r="S241" s="259"/>
      <c r="T241" s="259"/>
      <c r="U241" s="259"/>
      <c r="V241" s="259"/>
      <c r="W241" s="259"/>
      <c r="X241" s="259"/>
      <c r="Y241" s="259"/>
      <c r="Z241" s="259"/>
      <c r="AA241" s="259"/>
      <c r="AB241" s="259"/>
      <c r="AC241" s="259"/>
      <c r="AD241" s="259"/>
      <c r="AE241" s="259"/>
      <c r="AF241" s="259"/>
      <c r="AG241" s="259"/>
      <c r="AH241" s="259"/>
      <c r="AI241" s="259"/>
      <c r="AJ241" s="259"/>
      <c r="AK241" s="259"/>
      <c r="AL241" s="259"/>
      <c r="AM241" s="259"/>
      <c r="AN241" s="259"/>
      <c r="AO241" s="259"/>
      <c r="AP241" s="259"/>
      <c r="AQ241" s="259"/>
      <c r="AR241" s="259"/>
      <c r="AS241" s="259"/>
    </row>
    <row r="242" spans="1:45" x14ac:dyDescent="0.25">
      <c r="A242" s="396"/>
      <c r="B242" s="396"/>
      <c r="C242" s="396"/>
      <c r="D242" s="396"/>
      <c r="E242" s="396"/>
      <c r="F242" s="396"/>
      <c r="G242" s="396"/>
      <c r="H242" s="396"/>
      <c r="I242" s="396"/>
      <c r="J242" s="396"/>
      <c r="K242" s="396"/>
      <c r="L242" s="396"/>
      <c r="M242" s="396"/>
      <c r="N242" s="396"/>
      <c r="O242" s="396"/>
      <c r="P242" s="396"/>
      <c r="Q242" s="259"/>
      <c r="R242" s="259"/>
      <c r="S242" s="259"/>
      <c r="T242" s="259"/>
      <c r="U242" s="259"/>
      <c r="V242" s="259"/>
      <c r="W242" s="259"/>
      <c r="X242" s="259"/>
      <c r="Y242" s="259"/>
      <c r="Z242" s="259"/>
      <c r="AA242" s="259"/>
      <c r="AB242" s="259"/>
      <c r="AC242" s="259"/>
      <c r="AD242" s="259"/>
      <c r="AE242" s="259"/>
      <c r="AF242" s="259"/>
      <c r="AG242" s="259"/>
      <c r="AH242" s="259"/>
      <c r="AI242" s="259"/>
      <c r="AJ242" s="259"/>
      <c r="AK242" s="259"/>
      <c r="AL242" s="259"/>
      <c r="AM242" s="259"/>
      <c r="AN242" s="259"/>
      <c r="AO242" s="259"/>
      <c r="AP242" s="259"/>
      <c r="AQ242" s="259"/>
      <c r="AR242" s="259"/>
      <c r="AS242" s="259"/>
    </row>
    <row r="243" spans="1:45" x14ac:dyDescent="0.25">
      <c r="A243" s="396"/>
      <c r="B243" s="396"/>
      <c r="C243" s="396"/>
      <c r="D243" s="396"/>
      <c r="E243" s="396"/>
      <c r="F243" s="396"/>
      <c r="G243" s="396"/>
      <c r="H243" s="396"/>
      <c r="I243" s="396"/>
      <c r="J243" s="396"/>
      <c r="K243" s="396"/>
      <c r="L243" s="396"/>
      <c r="M243" s="396"/>
      <c r="N243" s="396"/>
      <c r="O243" s="396"/>
      <c r="P243" s="396"/>
      <c r="Q243" s="259"/>
      <c r="R243" s="259"/>
      <c r="S243" s="259"/>
      <c r="T243" s="259"/>
      <c r="U243" s="259"/>
      <c r="V243" s="259"/>
      <c r="W243" s="259"/>
      <c r="X243" s="259"/>
      <c r="Y243" s="259"/>
      <c r="Z243" s="259"/>
      <c r="AA243" s="259"/>
      <c r="AB243" s="259"/>
      <c r="AC243" s="259"/>
      <c r="AD243" s="259"/>
      <c r="AE243" s="259"/>
      <c r="AF243" s="259"/>
      <c r="AG243" s="259"/>
      <c r="AH243" s="259"/>
      <c r="AI243" s="259"/>
      <c r="AJ243" s="259"/>
      <c r="AK243" s="259"/>
      <c r="AL243" s="259"/>
      <c r="AM243" s="259"/>
      <c r="AN243" s="259"/>
      <c r="AO243" s="259"/>
      <c r="AP243" s="259"/>
      <c r="AQ243" s="259"/>
      <c r="AR243" s="259"/>
      <c r="AS243" s="259"/>
    </row>
    <row r="244" spans="1:45" x14ac:dyDescent="0.25">
      <c r="A244" s="396"/>
      <c r="B244" s="396"/>
      <c r="C244" s="396"/>
      <c r="D244" s="396"/>
      <c r="E244" s="396"/>
      <c r="F244" s="396"/>
      <c r="G244" s="396"/>
      <c r="H244" s="396"/>
      <c r="I244" s="396"/>
      <c r="J244" s="396"/>
      <c r="K244" s="396"/>
      <c r="L244" s="396"/>
      <c r="M244" s="396"/>
      <c r="N244" s="396"/>
      <c r="O244" s="396"/>
      <c r="P244" s="396"/>
      <c r="Q244" s="259"/>
      <c r="R244" s="259"/>
      <c r="S244" s="259"/>
      <c r="T244" s="259"/>
      <c r="U244" s="259"/>
      <c r="V244" s="259"/>
      <c r="W244" s="259"/>
      <c r="X244" s="259"/>
      <c r="Y244" s="259"/>
      <c r="Z244" s="259"/>
      <c r="AA244" s="259"/>
      <c r="AB244" s="259"/>
      <c r="AC244" s="259"/>
      <c r="AD244" s="259"/>
      <c r="AE244" s="259"/>
      <c r="AF244" s="259"/>
      <c r="AG244" s="259"/>
      <c r="AH244" s="259"/>
      <c r="AI244" s="259"/>
      <c r="AJ244" s="259"/>
      <c r="AK244" s="259"/>
      <c r="AL244" s="259"/>
      <c r="AM244" s="259"/>
      <c r="AN244" s="259"/>
      <c r="AO244" s="259"/>
      <c r="AP244" s="259"/>
      <c r="AQ244" s="259"/>
      <c r="AR244" s="259"/>
      <c r="AS244" s="259"/>
    </row>
    <row r="245" spans="1:45" x14ac:dyDescent="0.25">
      <c r="A245" s="396"/>
      <c r="B245" s="396"/>
      <c r="C245" s="396"/>
      <c r="D245" s="396"/>
      <c r="E245" s="396"/>
      <c r="F245" s="396"/>
      <c r="G245" s="396"/>
      <c r="H245" s="396"/>
      <c r="I245" s="396"/>
      <c r="J245" s="396"/>
      <c r="K245" s="396"/>
      <c r="L245" s="396"/>
      <c r="M245" s="396"/>
      <c r="N245" s="396"/>
      <c r="O245" s="396"/>
      <c r="P245" s="396"/>
      <c r="Q245" s="259"/>
      <c r="R245" s="259"/>
      <c r="S245" s="259"/>
      <c r="T245" s="259"/>
      <c r="U245" s="259"/>
      <c r="V245" s="259"/>
      <c r="W245" s="259"/>
      <c r="X245" s="259"/>
      <c r="Y245" s="259"/>
      <c r="Z245" s="259"/>
      <c r="AA245" s="259"/>
      <c r="AB245" s="259"/>
      <c r="AC245" s="259"/>
      <c r="AD245" s="259"/>
      <c r="AE245" s="259"/>
      <c r="AF245" s="259"/>
      <c r="AG245" s="259"/>
      <c r="AH245" s="259"/>
      <c r="AI245" s="259"/>
      <c r="AJ245" s="259"/>
      <c r="AK245" s="259"/>
      <c r="AL245" s="259"/>
      <c r="AM245" s="259"/>
      <c r="AN245" s="259"/>
      <c r="AO245" s="259"/>
      <c r="AP245" s="259"/>
      <c r="AQ245" s="259"/>
      <c r="AR245" s="259"/>
      <c r="AS245" s="259"/>
    </row>
    <row r="246" spans="1:45" x14ac:dyDescent="0.25">
      <c r="A246" s="396"/>
      <c r="B246" s="396"/>
      <c r="C246" s="396"/>
      <c r="D246" s="396"/>
      <c r="E246" s="396"/>
      <c r="F246" s="396"/>
      <c r="G246" s="396"/>
      <c r="H246" s="396"/>
      <c r="I246" s="396"/>
      <c r="J246" s="396"/>
      <c r="K246" s="396"/>
      <c r="L246" s="396"/>
      <c r="M246" s="396"/>
      <c r="N246" s="396"/>
      <c r="O246" s="396"/>
      <c r="P246" s="396"/>
      <c r="Q246" s="259"/>
      <c r="R246" s="259"/>
      <c r="S246" s="259"/>
      <c r="T246" s="259"/>
      <c r="U246" s="259"/>
      <c r="V246" s="259"/>
      <c r="W246" s="259"/>
      <c r="X246" s="259"/>
      <c r="Y246" s="259"/>
      <c r="Z246" s="259"/>
      <c r="AA246" s="259"/>
      <c r="AB246" s="259"/>
      <c r="AC246" s="259"/>
      <c r="AD246" s="259"/>
      <c r="AE246" s="259"/>
      <c r="AF246" s="259"/>
      <c r="AG246" s="259"/>
      <c r="AH246" s="259"/>
      <c r="AI246" s="259"/>
      <c r="AJ246" s="259"/>
      <c r="AK246" s="259"/>
      <c r="AL246" s="259"/>
      <c r="AM246" s="259"/>
      <c r="AN246" s="259"/>
      <c r="AO246" s="259"/>
      <c r="AP246" s="259"/>
      <c r="AQ246" s="259"/>
      <c r="AR246" s="259"/>
      <c r="AS246" s="259"/>
    </row>
    <row r="247" spans="1:45" x14ac:dyDescent="0.25">
      <c r="A247" s="396"/>
      <c r="B247" s="396"/>
      <c r="C247" s="396"/>
      <c r="D247" s="396"/>
      <c r="E247" s="396"/>
      <c r="F247" s="396"/>
      <c r="G247" s="396"/>
      <c r="H247" s="396"/>
      <c r="I247" s="396"/>
      <c r="J247" s="396"/>
      <c r="K247" s="396"/>
      <c r="L247" s="396"/>
      <c r="M247" s="396"/>
      <c r="N247" s="396"/>
      <c r="O247" s="396"/>
      <c r="P247" s="396"/>
      <c r="Q247" s="259"/>
      <c r="R247" s="259"/>
      <c r="S247" s="259"/>
      <c r="T247" s="259"/>
      <c r="U247" s="259"/>
      <c r="V247" s="259"/>
      <c r="W247" s="259"/>
      <c r="X247" s="259"/>
      <c r="Y247" s="259"/>
      <c r="Z247" s="259"/>
      <c r="AA247" s="259"/>
      <c r="AB247" s="259"/>
      <c r="AC247" s="259"/>
      <c r="AD247" s="259"/>
      <c r="AE247" s="259"/>
      <c r="AF247" s="259"/>
      <c r="AG247" s="259"/>
      <c r="AH247" s="259"/>
      <c r="AI247" s="259"/>
      <c r="AJ247" s="259"/>
      <c r="AK247" s="259"/>
      <c r="AL247" s="259"/>
      <c r="AM247" s="259"/>
      <c r="AN247" s="259"/>
      <c r="AO247" s="259"/>
      <c r="AP247" s="259"/>
      <c r="AQ247" s="259"/>
      <c r="AR247" s="259"/>
      <c r="AS247" s="259"/>
    </row>
    <row r="248" spans="1:45" x14ac:dyDescent="0.25">
      <c r="A248" s="396"/>
      <c r="B248" s="396"/>
      <c r="C248" s="396"/>
      <c r="D248" s="396"/>
      <c r="E248" s="396"/>
      <c r="F248" s="396"/>
      <c r="G248" s="396"/>
      <c r="H248" s="396"/>
      <c r="I248" s="396"/>
      <c r="J248" s="396"/>
      <c r="K248" s="396"/>
      <c r="L248" s="396"/>
      <c r="M248" s="396"/>
      <c r="N248" s="396"/>
      <c r="O248" s="396"/>
      <c r="P248" s="396"/>
      <c r="Q248" s="259"/>
      <c r="R248" s="259"/>
      <c r="S248" s="259"/>
      <c r="T248" s="259"/>
      <c r="U248" s="259"/>
      <c r="V248" s="259"/>
      <c r="W248" s="259"/>
      <c r="X248" s="259"/>
      <c r="Y248" s="259"/>
      <c r="Z248" s="259"/>
      <c r="AA248" s="259"/>
      <c r="AB248" s="259"/>
      <c r="AC248" s="259"/>
      <c r="AD248" s="259"/>
      <c r="AE248" s="259"/>
      <c r="AF248" s="259"/>
      <c r="AG248" s="259"/>
      <c r="AH248" s="259"/>
      <c r="AI248" s="259"/>
      <c r="AJ248" s="259"/>
      <c r="AK248" s="259"/>
      <c r="AL248" s="259"/>
      <c r="AM248" s="259"/>
      <c r="AN248" s="259"/>
      <c r="AO248" s="259"/>
      <c r="AP248" s="259"/>
      <c r="AQ248" s="259"/>
      <c r="AR248" s="259"/>
      <c r="AS248" s="259"/>
    </row>
    <row r="249" spans="1:45" x14ac:dyDescent="0.25">
      <c r="A249" s="396"/>
      <c r="B249" s="396"/>
      <c r="C249" s="396"/>
      <c r="D249" s="396"/>
      <c r="E249" s="396"/>
      <c r="F249" s="396"/>
      <c r="G249" s="396"/>
      <c r="H249" s="396"/>
      <c r="I249" s="396"/>
      <c r="J249" s="396"/>
      <c r="K249" s="396"/>
      <c r="L249" s="396"/>
      <c r="M249" s="396"/>
      <c r="N249" s="396"/>
      <c r="O249" s="396"/>
      <c r="P249" s="396"/>
      <c r="Q249" s="259"/>
      <c r="R249" s="259"/>
      <c r="S249" s="259"/>
      <c r="T249" s="259"/>
      <c r="U249" s="259"/>
      <c r="V249" s="259"/>
      <c r="W249" s="259"/>
      <c r="X249" s="259"/>
      <c r="Y249" s="259"/>
      <c r="Z249" s="259"/>
      <c r="AA249" s="259"/>
      <c r="AB249" s="259"/>
      <c r="AC249" s="259"/>
      <c r="AD249" s="259"/>
      <c r="AE249" s="259"/>
      <c r="AF249" s="259"/>
      <c r="AG249" s="259"/>
      <c r="AH249" s="259"/>
      <c r="AI249" s="259"/>
      <c r="AJ249" s="259"/>
      <c r="AK249" s="259"/>
      <c r="AL249" s="259"/>
      <c r="AM249" s="259"/>
      <c r="AN249" s="259"/>
      <c r="AO249" s="259"/>
      <c r="AP249" s="259"/>
      <c r="AQ249" s="259"/>
      <c r="AR249" s="259"/>
      <c r="AS249" s="259"/>
    </row>
    <row r="250" spans="1:45" x14ac:dyDescent="0.25">
      <c r="A250" s="396"/>
      <c r="B250" s="396"/>
      <c r="C250" s="396"/>
      <c r="D250" s="396"/>
      <c r="E250" s="396"/>
      <c r="F250" s="396"/>
      <c r="G250" s="396"/>
      <c r="H250" s="396"/>
      <c r="I250" s="396"/>
      <c r="J250" s="396"/>
      <c r="K250" s="396"/>
      <c r="L250" s="396"/>
      <c r="M250" s="396"/>
      <c r="N250" s="396"/>
      <c r="O250" s="396"/>
      <c r="P250" s="396"/>
      <c r="Q250" s="259"/>
      <c r="R250" s="259"/>
      <c r="S250" s="259"/>
      <c r="T250" s="259"/>
      <c r="U250" s="259"/>
      <c r="V250" s="259"/>
      <c r="W250" s="259"/>
      <c r="X250" s="259"/>
      <c r="Y250" s="259"/>
      <c r="Z250" s="259"/>
      <c r="AA250" s="259"/>
      <c r="AB250" s="259"/>
      <c r="AC250" s="259"/>
      <c r="AD250" s="259"/>
      <c r="AE250" s="259"/>
      <c r="AF250" s="259"/>
      <c r="AG250" s="259"/>
      <c r="AH250" s="259"/>
      <c r="AI250" s="259"/>
      <c r="AJ250" s="259"/>
      <c r="AK250" s="259"/>
      <c r="AL250" s="259"/>
      <c r="AM250" s="259"/>
      <c r="AN250" s="259"/>
      <c r="AO250" s="259"/>
      <c r="AP250" s="259"/>
      <c r="AQ250" s="259"/>
      <c r="AR250" s="259"/>
      <c r="AS250" s="259"/>
    </row>
    <row r="251" spans="1:45" x14ac:dyDescent="0.25">
      <c r="A251" s="396"/>
      <c r="B251" s="396"/>
      <c r="C251" s="396"/>
      <c r="D251" s="396"/>
      <c r="E251" s="396"/>
      <c r="F251" s="396"/>
      <c r="G251" s="396"/>
      <c r="H251" s="396"/>
      <c r="I251" s="396"/>
      <c r="J251" s="396"/>
      <c r="K251" s="396"/>
      <c r="L251" s="396"/>
      <c r="M251" s="396"/>
      <c r="N251" s="396"/>
      <c r="O251" s="396"/>
      <c r="P251" s="396"/>
      <c r="Q251" s="259"/>
      <c r="R251" s="259"/>
      <c r="S251" s="259"/>
      <c r="T251" s="259"/>
      <c r="U251" s="259"/>
      <c r="V251" s="259"/>
      <c r="W251" s="259"/>
      <c r="X251" s="259"/>
      <c r="Y251" s="259"/>
      <c r="Z251" s="259"/>
      <c r="AA251" s="259"/>
      <c r="AB251" s="259"/>
      <c r="AC251" s="259"/>
      <c r="AD251" s="259"/>
      <c r="AE251" s="259"/>
      <c r="AF251" s="259"/>
      <c r="AG251" s="259"/>
      <c r="AH251" s="259"/>
      <c r="AI251" s="259"/>
      <c r="AJ251" s="259"/>
      <c r="AK251" s="259"/>
      <c r="AL251" s="259"/>
      <c r="AM251" s="259"/>
      <c r="AN251" s="259"/>
      <c r="AO251" s="259"/>
      <c r="AP251" s="259"/>
      <c r="AQ251" s="259"/>
      <c r="AR251" s="259"/>
      <c r="AS251" s="259"/>
    </row>
    <row r="252" spans="1:45" x14ac:dyDescent="0.25">
      <c r="A252" s="396"/>
      <c r="B252" s="396"/>
      <c r="C252" s="396"/>
      <c r="D252" s="396"/>
      <c r="E252" s="396"/>
      <c r="F252" s="396"/>
      <c r="G252" s="396"/>
      <c r="H252" s="396"/>
      <c r="I252" s="396"/>
      <c r="J252" s="396"/>
      <c r="K252" s="396"/>
      <c r="L252" s="396"/>
      <c r="M252" s="396"/>
      <c r="N252" s="396"/>
      <c r="O252" s="396"/>
      <c r="P252" s="396"/>
      <c r="Q252" s="259"/>
      <c r="R252" s="259"/>
      <c r="S252" s="259"/>
      <c r="T252" s="259"/>
      <c r="U252" s="259"/>
      <c r="V252" s="259"/>
      <c r="W252" s="259"/>
      <c r="X252" s="259"/>
      <c r="Y252" s="259"/>
      <c r="Z252" s="259"/>
      <c r="AA252" s="259"/>
      <c r="AB252" s="259"/>
      <c r="AC252" s="259"/>
      <c r="AD252" s="259"/>
      <c r="AE252" s="259"/>
      <c r="AF252" s="259"/>
      <c r="AG252" s="259"/>
      <c r="AH252" s="259"/>
      <c r="AI252" s="259"/>
      <c r="AJ252" s="259"/>
      <c r="AK252" s="259"/>
      <c r="AL252" s="259"/>
      <c r="AM252" s="259"/>
      <c r="AN252" s="259"/>
      <c r="AO252" s="259"/>
      <c r="AP252" s="259"/>
      <c r="AQ252" s="259"/>
      <c r="AR252" s="259"/>
      <c r="AS252" s="259"/>
    </row>
    <row r="253" spans="1:45" x14ac:dyDescent="0.25">
      <c r="A253" s="396"/>
      <c r="B253" s="396"/>
      <c r="C253" s="396"/>
      <c r="D253" s="396"/>
      <c r="E253" s="396"/>
      <c r="F253" s="396"/>
      <c r="G253" s="396"/>
      <c r="H253" s="396"/>
      <c r="I253" s="396"/>
      <c r="J253" s="396"/>
      <c r="K253" s="396"/>
      <c r="L253" s="396"/>
      <c r="M253" s="396"/>
      <c r="N253" s="396"/>
      <c r="O253" s="396"/>
      <c r="P253" s="396"/>
      <c r="Q253" s="259"/>
      <c r="R253" s="259"/>
      <c r="S253" s="259"/>
      <c r="T253" s="259"/>
      <c r="U253" s="259"/>
      <c r="V253" s="259"/>
      <c r="W253" s="259"/>
      <c r="X253" s="259"/>
      <c r="Y253" s="259"/>
      <c r="Z253" s="259"/>
      <c r="AA253" s="259"/>
      <c r="AB253" s="259"/>
      <c r="AC253" s="259"/>
      <c r="AD253" s="259"/>
      <c r="AE253" s="259"/>
      <c r="AF253" s="259"/>
      <c r="AG253" s="259"/>
      <c r="AH253" s="259"/>
      <c r="AI253" s="259"/>
      <c r="AJ253" s="259"/>
      <c r="AK253" s="259"/>
      <c r="AL253" s="259"/>
      <c r="AM253" s="259"/>
      <c r="AN253" s="259"/>
      <c r="AO253" s="259"/>
      <c r="AP253" s="259"/>
      <c r="AQ253" s="259"/>
      <c r="AR253" s="259"/>
      <c r="AS253" s="259"/>
    </row>
    <row r="254" spans="1:45" x14ac:dyDescent="0.25">
      <c r="A254" s="396"/>
      <c r="B254" s="396"/>
      <c r="C254" s="396"/>
      <c r="D254" s="396"/>
      <c r="E254" s="396"/>
      <c r="F254" s="396"/>
      <c r="G254" s="396"/>
      <c r="H254" s="396"/>
      <c r="I254" s="396"/>
      <c r="J254" s="396"/>
      <c r="K254" s="396"/>
      <c r="L254" s="396"/>
      <c r="M254" s="396"/>
      <c r="N254" s="396"/>
      <c r="O254" s="396"/>
      <c r="P254" s="396"/>
      <c r="Q254" s="259"/>
      <c r="R254" s="259"/>
      <c r="S254" s="259"/>
      <c r="T254" s="259"/>
      <c r="U254" s="259"/>
      <c r="V254" s="259"/>
      <c r="W254" s="259"/>
      <c r="X254" s="259"/>
      <c r="Y254" s="259"/>
      <c r="Z254" s="259"/>
      <c r="AA254" s="259"/>
      <c r="AB254" s="259"/>
      <c r="AC254" s="259"/>
      <c r="AD254" s="259"/>
      <c r="AE254" s="259"/>
      <c r="AF254" s="259"/>
      <c r="AG254" s="259"/>
      <c r="AH254" s="259"/>
      <c r="AI254" s="259"/>
      <c r="AJ254" s="259"/>
      <c r="AK254" s="259"/>
      <c r="AL254" s="259"/>
      <c r="AM254" s="259"/>
      <c r="AN254" s="259"/>
      <c r="AO254" s="259"/>
      <c r="AP254" s="259"/>
      <c r="AQ254" s="259"/>
      <c r="AR254" s="259"/>
      <c r="AS254" s="259"/>
    </row>
    <row r="255" spans="1:45" x14ac:dyDescent="0.25">
      <c r="A255" s="396"/>
      <c r="B255" s="396"/>
      <c r="C255" s="396"/>
      <c r="D255" s="396"/>
      <c r="E255" s="396"/>
      <c r="F255" s="396"/>
      <c r="G255" s="396"/>
      <c r="H255" s="396"/>
      <c r="I255" s="396"/>
      <c r="J255" s="396"/>
      <c r="K255" s="396"/>
      <c r="L255" s="396"/>
      <c r="M255" s="396"/>
      <c r="N255" s="396"/>
      <c r="O255" s="396"/>
      <c r="P255" s="396"/>
      <c r="Q255" s="259"/>
      <c r="R255" s="259"/>
      <c r="S255" s="259"/>
      <c r="T255" s="259"/>
      <c r="U255" s="259"/>
      <c r="V255" s="259"/>
      <c r="W255" s="259"/>
      <c r="X255" s="259"/>
      <c r="Y255" s="259"/>
      <c r="Z255" s="259"/>
      <c r="AA255" s="259"/>
      <c r="AB255" s="259"/>
      <c r="AC255" s="259"/>
      <c r="AD255" s="259"/>
      <c r="AE255" s="259"/>
      <c r="AF255" s="259"/>
      <c r="AG255" s="259"/>
      <c r="AH255" s="259"/>
      <c r="AI255" s="259"/>
      <c r="AJ255" s="259"/>
      <c r="AK255" s="259"/>
      <c r="AL255" s="259"/>
      <c r="AM255" s="259"/>
      <c r="AN255" s="259"/>
      <c r="AO255" s="259"/>
      <c r="AP255" s="259"/>
      <c r="AQ255" s="259"/>
      <c r="AR255" s="259"/>
      <c r="AS255" s="259"/>
    </row>
    <row r="256" spans="1:45" x14ac:dyDescent="0.25">
      <c r="A256" s="396"/>
      <c r="B256" s="396"/>
      <c r="C256" s="396"/>
      <c r="D256" s="396"/>
      <c r="E256" s="396"/>
      <c r="F256" s="396"/>
      <c r="G256" s="396"/>
      <c r="H256" s="396"/>
      <c r="I256" s="396"/>
      <c r="J256" s="396"/>
      <c r="K256" s="396"/>
      <c r="L256" s="396"/>
      <c r="M256" s="396"/>
      <c r="N256" s="396"/>
      <c r="O256" s="396"/>
      <c r="P256" s="396"/>
      <c r="Q256" s="259"/>
      <c r="R256" s="259"/>
      <c r="S256" s="259"/>
      <c r="T256" s="259"/>
      <c r="U256" s="259"/>
      <c r="V256" s="259"/>
      <c r="W256" s="259"/>
      <c r="X256" s="259"/>
      <c r="Y256" s="259"/>
      <c r="Z256" s="259"/>
      <c r="AA256" s="259"/>
      <c r="AB256" s="259"/>
      <c r="AC256" s="259"/>
      <c r="AD256" s="259"/>
      <c r="AE256" s="259"/>
      <c r="AF256" s="259"/>
      <c r="AG256" s="259"/>
      <c r="AH256" s="259"/>
      <c r="AI256" s="259"/>
      <c r="AJ256" s="259"/>
      <c r="AK256" s="259"/>
      <c r="AL256" s="259"/>
      <c r="AM256" s="259"/>
      <c r="AN256" s="259"/>
      <c r="AO256" s="259"/>
      <c r="AP256" s="259"/>
      <c r="AQ256" s="259"/>
      <c r="AR256" s="259"/>
      <c r="AS256" s="259"/>
    </row>
    <row r="257" spans="1:45" x14ac:dyDescent="0.25">
      <c r="A257" s="396"/>
      <c r="B257" s="396"/>
      <c r="C257" s="396"/>
      <c r="D257" s="396"/>
      <c r="E257" s="396"/>
      <c r="F257" s="396"/>
      <c r="G257" s="396"/>
      <c r="H257" s="396"/>
      <c r="I257" s="396"/>
      <c r="J257" s="396"/>
      <c r="K257" s="396"/>
      <c r="L257" s="396"/>
      <c r="M257" s="396"/>
      <c r="N257" s="396"/>
      <c r="O257" s="396"/>
      <c r="P257" s="396"/>
      <c r="Q257" s="259"/>
      <c r="R257" s="259"/>
      <c r="S257" s="259"/>
      <c r="T257" s="259"/>
      <c r="U257" s="259"/>
      <c r="V257" s="259"/>
      <c r="W257" s="259"/>
      <c r="X257" s="259"/>
      <c r="Y257" s="259"/>
      <c r="Z257" s="259"/>
      <c r="AA257" s="259"/>
      <c r="AB257" s="259"/>
      <c r="AC257" s="259"/>
      <c r="AD257" s="259"/>
      <c r="AE257" s="259"/>
      <c r="AF257" s="259"/>
      <c r="AG257" s="259"/>
      <c r="AH257" s="259"/>
      <c r="AI257" s="259"/>
      <c r="AJ257" s="259"/>
      <c r="AK257" s="259"/>
      <c r="AL257" s="259"/>
      <c r="AM257" s="259"/>
      <c r="AN257" s="259"/>
      <c r="AO257" s="259"/>
      <c r="AP257" s="259"/>
      <c r="AQ257" s="259"/>
      <c r="AR257" s="259"/>
      <c r="AS257" s="259"/>
    </row>
    <row r="258" spans="1:45" x14ac:dyDescent="0.25">
      <c r="A258" s="396"/>
      <c r="B258" s="396"/>
      <c r="C258" s="396"/>
      <c r="D258" s="396"/>
      <c r="E258" s="396"/>
      <c r="F258" s="396"/>
      <c r="G258" s="396"/>
      <c r="H258" s="396"/>
      <c r="I258" s="396"/>
      <c r="J258" s="396"/>
      <c r="K258" s="396"/>
      <c r="L258" s="396"/>
      <c r="M258" s="396"/>
      <c r="N258" s="396"/>
      <c r="O258" s="396"/>
      <c r="P258" s="396"/>
      <c r="Q258" s="259"/>
      <c r="R258" s="259"/>
      <c r="S258" s="259"/>
      <c r="T258" s="259"/>
      <c r="U258" s="259"/>
      <c r="V258" s="259"/>
      <c r="W258" s="259"/>
      <c r="X258" s="259"/>
      <c r="Y258" s="259"/>
      <c r="Z258" s="259"/>
      <c r="AA258" s="259"/>
      <c r="AB258" s="259"/>
      <c r="AC258" s="259"/>
      <c r="AD258" s="259"/>
      <c r="AE258" s="259"/>
      <c r="AF258" s="259"/>
      <c r="AG258" s="259"/>
      <c r="AH258" s="259"/>
      <c r="AI258" s="259"/>
      <c r="AJ258" s="259"/>
      <c r="AK258" s="259"/>
      <c r="AL258" s="259"/>
      <c r="AM258" s="259"/>
      <c r="AN258" s="259"/>
      <c r="AO258" s="259"/>
      <c r="AP258" s="259"/>
      <c r="AQ258" s="259"/>
      <c r="AR258" s="259"/>
      <c r="AS258" s="259"/>
    </row>
    <row r="259" spans="1:45" x14ac:dyDescent="0.25">
      <c r="A259" s="396"/>
      <c r="B259" s="396"/>
      <c r="C259" s="396"/>
      <c r="D259" s="396"/>
      <c r="E259" s="396"/>
      <c r="F259" s="396"/>
      <c r="G259" s="396"/>
      <c r="H259" s="396"/>
      <c r="I259" s="396"/>
      <c r="J259" s="396"/>
      <c r="K259" s="396"/>
      <c r="L259" s="396"/>
      <c r="M259" s="396"/>
      <c r="N259" s="396"/>
      <c r="O259" s="396"/>
      <c r="P259" s="396"/>
      <c r="Q259" s="259"/>
      <c r="R259" s="259"/>
      <c r="S259" s="259"/>
      <c r="T259" s="259"/>
      <c r="U259" s="259"/>
      <c r="V259" s="259"/>
      <c r="W259" s="259"/>
      <c r="X259" s="259"/>
      <c r="Y259" s="259"/>
      <c r="Z259" s="259"/>
      <c r="AA259" s="259"/>
      <c r="AB259" s="259"/>
      <c r="AC259" s="259"/>
      <c r="AD259" s="259"/>
      <c r="AE259" s="259"/>
      <c r="AF259" s="259"/>
      <c r="AG259" s="259"/>
      <c r="AH259" s="259"/>
      <c r="AI259" s="259"/>
      <c r="AJ259" s="259"/>
      <c r="AK259" s="259"/>
      <c r="AL259" s="259"/>
      <c r="AM259" s="259"/>
      <c r="AN259" s="259"/>
      <c r="AO259" s="259"/>
      <c r="AP259" s="259"/>
      <c r="AQ259" s="259"/>
      <c r="AR259" s="259"/>
      <c r="AS259" s="259"/>
    </row>
    <row r="260" spans="1:45" x14ac:dyDescent="0.25">
      <c r="A260" s="396"/>
      <c r="B260" s="396"/>
      <c r="C260" s="396"/>
      <c r="D260" s="396"/>
      <c r="E260" s="396"/>
      <c r="F260" s="396"/>
      <c r="G260" s="396"/>
      <c r="H260" s="396"/>
      <c r="I260" s="396"/>
      <c r="J260" s="396"/>
      <c r="K260" s="396"/>
      <c r="L260" s="396"/>
      <c r="M260" s="396"/>
      <c r="N260" s="396"/>
      <c r="O260" s="396"/>
      <c r="P260" s="396"/>
      <c r="Q260" s="259"/>
      <c r="R260" s="259"/>
      <c r="S260" s="259"/>
      <c r="T260" s="259"/>
      <c r="U260" s="259"/>
      <c r="V260" s="259"/>
      <c r="W260" s="259"/>
      <c r="X260" s="259"/>
      <c r="Y260" s="259"/>
      <c r="Z260" s="259"/>
      <c r="AA260" s="259"/>
      <c r="AB260" s="259"/>
      <c r="AC260" s="259"/>
      <c r="AD260" s="259"/>
      <c r="AE260" s="259"/>
      <c r="AF260" s="259"/>
      <c r="AG260" s="259"/>
      <c r="AH260" s="259"/>
      <c r="AI260" s="259"/>
      <c r="AJ260" s="259"/>
      <c r="AK260" s="259"/>
      <c r="AL260" s="259"/>
      <c r="AM260" s="259"/>
      <c r="AN260" s="259"/>
      <c r="AO260" s="259"/>
      <c r="AP260" s="259"/>
      <c r="AQ260" s="259"/>
      <c r="AR260" s="259"/>
      <c r="AS260" s="259"/>
    </row>
    <row r="261" spans="1:45" x14ac:dyDescent="0.25">
      <c r="A261" s="396"/>
      <c r="B261" s="396"/>
      <c r="C261" s="396"/>
      <c r="D261" s="396"/>
      <c r="E261" s="396"/>
      <c r="F261" s="396"/>
      <c r="G261" s="396"/>
      <c r="H261" s="396"/>
      <c r="I261" s="396"/>
      <c r="J261" s="396"/>
      <c r="K261" s="396"/>
      <c r="L261" s="396"/>
      <c r="M261" s="396"/>
      <c r="N261" s="396"/>
      <c r="O261" s="396"/>
      <c r="P261" s="396"/>
      <c r="Q261" s="259"/>
      <c r="R261" s="259"/>
      <c r="S261" s="259"/>
      <c r="T261" s="259"/>
      <c r="U261" s="259"/>
      <c r="V261" s="259"/>
      <c r="W261" s="259"/>
      <c r="X261" s="259"/>
      <c r="Y261" s="259"/>
      <c r="Z261" s="259"/>
      <c r="AA261" s="259"/>
      <c r="AB261" s="259"/>
      <c r="AC261" s="259"/>
      <c r="AD261" s="259"/>
      <c r="AE261" s="259"/>
      <c r="AF261" s="259"/>
      <c r="AG261" s="259"/>
      <c r="AH261" s="259"/>
      <c r="AI261" s="259"/>
      <c r="AJ261" s="259"/>
      <c r="AK261" s="259"/>
      <c r="AL261" s="259"/>
      <c r="AM261" s="259"/>
      <c r="AN261" s="259"/>
      <c r="AO261" s="259"/>
      <c r="AP261" s="259"/>
      <c r="AQ261" s="259"/>
      <c r="AR261" s="259"/>
      <c r="AS261" s="259"/>
    </row>
    <row r="262" spans="1:45" x14ac:dyDescent="0.25">
      <c r="A262" s="396"/>
      <c r="B262" s="396"/>
      <c r="C262" s="396"/>
      <c r="D262" s="396"/>
      <c r="E262" s="396"/>
      <c r="F262" s="396"/>
      <c r="G262" s="396"/>
      <c r="H262" s="396"/>
      <c r="I262" s="396"/>
      <c r="J262" s="396"/>
      <c r="K262" s="396"/>
      <c r="L262" s="396"/>
      <c r="M262" s="396"/>
      <c r="N262" s="396"/>
      <c r="O262" s="396"/>
      <c r="P262" s="396"/>
      <c r="Q262" s="259"/>
      <c r="R262" s="259"/>
      <c r="S262" s="259"/>
      <c r="T262" s="259"/>
      <c r="U262" s="259"/>
      <c r="V262" s="259"/>
      <c r="W262" s="259"/>
      <c r="X262" s="259"/>
      <c r="Y262" s="259"/>
      <c r="Z262" s="259"/>
      <c r="AA262" s="259"/>
      <c r="AB262" s="259"/>
      <c r="AC262" s="259"/>
      <c r="AD262" s="259"/>
      <c r="AE262" s="259"/>
      <c r="AF262" s="259"/>
      <c r="AG262" s="259"/>
      <c r="AH262" s="259"/>
      <c r="AI262" s="259"/>
      <c r="AJ262" s="259"/>
      <c r="AK262" s="259"/>
      <c r="AL262" s="259"/>
      <c r="AM262" s="259"/>
      <c r="AN262" s="259"/>
      <c r="AO262" s="259"/>
      <c r="AP262" s="259"/>
      <c r="AQ262" s="259"/>
      <c r="AR262" s="259"/>
      <c r="AS262" s="259"/>
    </row>
    <row r="263" spans="1:45" x14ac:dyDescent="0.25">
      <c r="A263" s="396"/>
      <c r="B263" s="396"/>
      <c r="C263" s="396"/>
      <c r="D263" s="396"/>
      <c r="E263" s="396"/>
      <c r="F263" s="396"/>
      <c r="G263" s="396"/>
      <c r="H263" s="396"/>
      <c r="I263" s="396"/>
      <c r="J263" s="396"/>
      <c r="K263" s="396"/>
      <c r="L263" s="396"/>
      <c r="M263" s="396"/>
      <c r="N263" s="396"/>
      <c r="O263" s="396"/>
      <c r="P263" s="396"/>
      <c r="Q263" s="259"/>
      <c r="R263" s="259"/>
      <c r="S263" s="259"/>
      <c r="T263" s="259"/>
      <c r="U263" s="259"/>
      <c r="V263" s="259"/>
      <c r="W263" s="259"/>
      <c r="X263" s="259"/>
      <c r="Y263" s="259"/>
      <c r="Z263" s="259"/>
      <c r="AA263" s="259"/>
      <c r="AB263" s="259"/>
      <c r="AC263" s="259"/>
      <c r="AD263" s="259"/>
      <c r="AE263" s="259"/>
      <c r="AF263" s="259"/>
      <c r="AG263" s="259"/>
      <c r="AH263" s="259"/>
      <c r="AI263" s="259"/>
      <c r="AJ263" s="259"/>
      <c r="AK263" s="259"/>
      <c r="AL263" s="259"/>
      <c r="AM263" s="259"/>
      <c r="AN263" s="259"/>
      <c r="AO263" s="259"/>
      <c r="AP263" s="259"/>
      <c r="AQ263" s="259"/>
      <c r="AR263" s="259"/>
      <c r="AS263" s="259"/>
    </row>
    <row r="264" spans="1:45" x14ac:dyDescent="0.25">
      <c r="A264" s="396"/>
      <c r="B264" s="396"/>
      <c r="C264" s="396"/>
      <c r="D264" s="396"/>
      <c r="E264" s="396"/>
      <c r="F264" s="396"/>
      <c r="G264" s="396"/>
      <c r="H264" s="396"/>
      <c r="I264" s="396"/>
      <c r="J264" s="396"/>
      <c r="K264" s="396"/>
      <c r="L264" s="396"/>
      <c r="M264" s="396"/>
      <c r="N264" s="396"/>
      <c r="O264" s="396"/>
      <c r="P264" s="396"/>
      <c r="Q264" s="259"/>
      <c r="R264" s="259"/>
      <c r="S264" s="259"/>
      <c r="T264" s="259"/>
      <c r="U264" s="259"/>
      <c r="V264" s="259"/>
      <c r="W264" s="259"/>
      <c r="X264" s="259"/>
      <c r="Y264" s="259"/>
      <c r="Z264" s="259"/>
      <c r="AA264" s="259"/>
      <c r="AB264" s="259"/>
      <c r="AC264" s="259"/>
      <c r="AD264" s="259"/>
      <c r="AE264" s="259"/>
      <c r="AF264" s="259"/>
      <c r="AG264" s="259"/>
      <c r="AH264" s="259"/>
      <c r="AI264" s="259"/>
      <c r="AJ264" s="259"/>
      <c r="AK264" s="259"/>
      <c r="AL264" s="259"/>
      <c r="AM264" s="259"/>
      <c r="AN264" s="259"/>
      <c r="AO264" s="259"/>
      <c r="AP264" s="259"/>
      <c r="AQ264" s="259"/>
      <c r="AR264" s="259"/>
      <c r="AS264" s="259"/>
    </row>
    <row r="265" spans="1:45" x14ac:dyDescent="0.25">
      <c r="A265" s="396"/>
      <c r="B265" s="396"/>
      <c r="C265" s="396"/>
      <c r="D265" s="396"/>
      <c r="E265" s="396"/>
      <c r="F265" s="396"/>
      <c r="G265" s="396"/>
      <c r="H265" s="396"/>
      <c r="I265" s="396"/>
      <c r="J265" s="396"/>
      <c r="K265" s="396"/>
      <c r="L265" s="396"/>
      <c r="M265" s="396"/>
      <c r="N265" s="396"/>
      <c r="O265" s="396"/>
      <c r="P265" s="396"/>
      <c r="Q265" s="259"/>
      <c r="R265" s="259"/>
      <c r="S265" s="259"/>
      <c r="T265" s="259"/>
      <c r="U265" s="259"/>
      <c r="V265" s="259"/>
      <c r="W265" s="259"/>
      <c r="X265" s="259"/>
      <c r="Y265" s="259"/>
      <c r="Z265" s="259"/>
      <c r="AA265" s="259"/>
      <c r="AB265" s="259"/>
      <c r="AC265" s="259"/>
      <c r="AD265" s="259"/>
      <c r="AE265" s="259"/>
      <c r="AF265" s="259"/>
      <c r="AG265" s="259"/>
      <c r="AH265" s="259"/>
      <c r="AI265" s="259"/>
      <c r="AJ265" s="259"/>
      <c r="AK265" s="259"/>
      <c r="AL265" s="259"/>
      <c r="AM265" s="259"/>
      <c r="AN265" s="259"/>
      <c r="AO265" s="259"/>
      <c r="AP265" s="259"/>
      <c r="AQ265" s="259"/>
      <c r="AR265" s="259"/>
      <c r="AS265" s="259"/>
    </row>
    <row r="266" spans="1:45" x14ac:dyDescent="0.25">
      <c r="A266" s="396"/>
      <c r="B266" s="396"/>
      <c r="C266" s="396"/>
      <c r="D266" s="396"/>
      <c r="E266" s="396"/>
      <c r="F266" s="396"/>
      <c r="G266" s="396"/>
      <c r="H266" s="396"/>
      <c r="I266" s="396"/>
      <c r="J266" s="396"/>
      <c r="K266" s="396"/>
      <c r="L266" s="396"/>
      <c r="M266" s="396"/>
      <c r="N266" s="396"/>
      <c r="O266" s="396"/>
      <c r="P266" s="396"/>
      <c r="Q266" s="259"/>
      <c r="R266" s="259"/>
      <c r="S266" s="259"/>
      <c r="T266" s="259"/>
      <c r="U266" s="259"/>
      <c r="V266" s="259"/>
      <c r="W266" s="259"/>
      <c r="X266" s="259"/>
      <c r="Y266" s="259"/>
      <c r="Z266" s="259"/>
      <c r="AA266" s="259"/>
      <c r="AB266" s="259"/>
      <c r="AC266" s="259"/>
      <c r="AD266" s="259"/>
      <c r="AE266" s="259"/>
      <c r="AF266" s="259"/>
      <c r="AG266" s="259"/>
      <c r="AH266" s="259"/>
      <c r="AI266" s="259"/>
      <c r="AJ266" s="259"/>
      <c r="AK266" s="259"/>
      <c r="AL266" s="259"/>
      <c r="AM266" s="259"/>
      <c r="AN266" s="259"/>
      <c r="AO266" s="259"/>
      <c r="AP266" s="259"/>
      <c r="AQ266" s="259"/>
      <c r="AR266" s="259"/>
      <c r="AS266" s="259"/>
    </row>
    <row r="267" spans="1:45" x14ac:dyDescent="0.25">
      <c r="A267" s="396"/>
      <c r="B267" s="396"/>
      <c r="C267" s="396"/>
      <c r="D267" s="396"/>
      <c r="E267" s="396"/>
      <c r="F267" s="396"/>
      <c r="G267" s="396"/>
      <c r="H267" s="396"/>
      <c r="I267" s="396"/>
      <c r="J267" s="396"/>
      <c r="K267" s="396"/>
      <c r="L267" s="396"/>
      <c r="M267" s="396"/>
      <c r="N267" s="396"/>
      <c r="O267" s="396"/>
      <c r="P267" s="396"/>
      <c r="Q267" s="259"/>
      <c r="R267" s="259"/>
      <c r="S267" s="259"/>
      <c r="T267" s="259"/>
      <c r="U267" s="259"/>
      <c r="V267" s="259"/>
      <c r="W267" s="259"/>
      <c r="X267" s="259"/>
      <c r="Y267" s="259"/>
      <c r="Z267" s="259"/>
      <c r="AA267" s="259"/>
      <c r="AB267" s="259"/>
      <c r="AC267" s="259"/>
      <c r="AD267" s="259"/>
      <c r="AE267" s="259"/>
      <c r="AF267" s="259"/>
      <c r="AG267" s="259"/>
      <c r="AH267" s="259"/>
      <c r="AI267" s="259"/>
      <c r="AJ267" s="259"/>
      <c r="AK267" s="259"/>
      <c r="AL267" s="259"/>
      <c r="AM267" s="259"/>
      <c r="AN267" s="259"/>
      <c r="AO267" s="259"/>
      <c r="AP267" s="259"/>
      <c r="AQ267" s="259"/>
      <c r="AR267" s="259"/>
      <c r="AS267" s="259"/>
    </row>
    <row r="268" spans="1:45" x14ac:dyDescent="0.25">
      <c r="A268" s="396"/>
      <c r="B268" s="396"/>
      <c r="C268" s="396"/>
      <c r="D268" s="396"/>
      <c r="E268" s="396"/>
      <c r="F268" s="396"/>
      <c r="G268" s="396"/>
      <c r="H268" s="396"/>
      <c r="I268" s="396"/>
      <c r="J268" s="396"/>
      <c r="K268" s="396"/>
      <c r="L268" s="396"/>
      <c r="M268" s="396"/>
      <c r="N268" s="396"/>
      <c r="O268" s="396"/>
      <c r="P268" s="396"/>
      <c r="Q268" s="259"/>
      <c r="R268" s="259"/>
      <c r="S268" s="259"/>
      <c r="T268" s="259"/>
      <c r="U268" s="259"/>
      <c r="V268" s="259"/>
      <c r="W268" s="259"/>
      <c r="X268" s="259"/>
      <c r="Y268" s="259"/>
      <c r="Z268" s="259"/>
      <c r="AA268" s="259"/>
      <c r="AB268" s="259"/>
      <c r="AC268" s="259"/>
      <c r="AD268" s="259"/>
      <c r="AE268" s="259"/>
      <c r="AF268" s="259"/>
      <c r="AG268" s="259"/>
      <c r="AH268" s="259"/>
      <c r="AI268" s="259"/>
      <c r="AJ268" s="259"/>
      <c r="AK268" s="259"/>
      <c r="AL268" s="259"/>
      <c r="AM268" s="259"/>
      <c r="AN268" s="259"/>
      <c r="AO268" s="259"/>
      <c r="AP268" s="259"/>
      <c r="AQ268" s="259"/>
      <c r="AR268" s="259"/>
      <c r="AS268" s="259"/>
    </row>
    <row r="269" spans="1:45" x14ac:dyDescent="0.25">
      <c r="A269" s="396"/>
      <c r="B269" s="396"/>
      <c r="C269" s="396"/>
      <c r="D269" s="396"/>
      <c r="E269" s="396"/>
      <c r="F269" s="396"/>
      <c r="G269" s="396"/>
      <c r="H269" s="396"/>
      <c r="I269" s="396"/>
      <c r="J269" s="396"/>
      <c r="K269" s="396"/>
      <c r="L269" s="396"/>
      <c r="M269" s="396"/>
      <c r="N269" s="396"/>
      <c r="O269" s="396"/>
      <c r="P269" s="396"/>
      <c r="Q269" s="259"/>
      <c r="R269" s="259"/>
      <c r="S269" s="259"/>
      <c r="T269" s="259"/>
      <c r="U269" s="259"/>
      <c r="V269" s="259"/>
      <c r="W269" s="259"/>
      <c r="X269" s="259"/>
      <c r="Y269" s="259"/>
      <c r="Z269" s="259"/>
      <c r="AA269" s="259"/>
      <c r="AB269" s="259"/>
      <c r="AC269" s="259"/>
      <c r="AD269" s="259"/>
      <c r="AE269" s="259"/>
      <c r="AF269" s="259"/>
      <c r="AG269" s="259"/>
      <c r="AH269" s="259"/>
      <c r="AI269" s="259"/>
      <c r="AJ269" s="259"/>
      <c r="AK269" s="259"/>
      <c r="AL269" s="259"/>
      <c r="AM269" s="259"/>
      <c r="AN269" s="259"/>
      <c r="AO269" s="259"/>
      <c r="AP269" s="259"/>
      <c r="AQ269" s="259"/>
      <c r="AR269" s="259"/>
      <c r="AS269" s="259"/>
    </row>
    <row r="270" spans="1:45" x14ac:dyDescent="0.25">
      <c r="A270" s="396"/>
      <c r="B270" s="396"/>
      <c r="C270" s="396"/>
      <c r="D270" s="396"/>
      <c r="E270" s="396"/>
      <c r="F270" s="396"/>
      <c r="G270" s="396"/>
      <c r="H270" s="396"/>
      <c r="I270" s="396"/>
      <c r="J270" s="396"/>
      <c r="K270" s="396"/>
      <c r="L270" s="396"/>
      <c r="M270" s="396"/>
      <c r="N270" s="396"/>
      <c r="O270" s="396"/>
      <c r="P270" s="396"/>
      <c r="Q270" s="259"/>
      <c r="R270" s="259"/>
      <c r="S270" s="259"/>
      <c r="T270" s="259"/>
      <c r="U270" s="259"/>
      <c r="V270" s="259"/>
      <c r="W270" s="259"/>
      <c r="X270" s="259"/>
      <c r="Y270" s="259"/>
      <c r="Z270" s="259"/>
      <c r="AA270" s="259"/>
      <c r="AB270" s="259"/>
      <c r="AC270" s="259"/>
      <c r="AD270" s="259"/>
      <c r="AE270" s="259"/>
      <c r="AF270" s="259"/>
      <c r="AG270" s="259"/>
      <c r="AH270" s="259"/>
      <c r="AI270" s="259"/>
      <c r="AJ270" s="259"/>
      <c r="AK270" s="259"/>
      <c r="AL270" s="259"/>
      <c r="AM270" s="259"/>
      <c r="AN270" s="259"/>
      <c r="AO270" s="259"/>
      <c r="AP270" s="259"/>
      <c r="AQ270" s="259"/>
      <c r="AR270" s="259"/>
      <c r="AS270" s="259"/>
    </row>
    <row r="271" spans="1:45" x14ac:dyDescent="0.25">
      <c r="A271" s="396"/>
      <c r="B271" s="396"/>
      <c r="C271" s="396"/>
      <c r="D271" s="396"/>
      <c r="E271" s="396"/>
      <c r="F271" s="396"/>
      <c r="G271" s="396"/>
      <c r="H271" s="396"/>
      <c r="I271" s="396"/>
      <c r="J271" s="396"/>
      <c r="K271" s="396"/>
      <c r="L271" s="396"/>
      <c r="M271" s="396"/>
      <c r="N271" s="396"/>
      <c r="O271" s="396"/>
      <c r="P271" s="396"/>
      <c r="Q271" s="259"/>
      <c r="R271" s="259"/>
      <c r="S271" s="259"/>
      <c r="T271" s="259"/>
      <c r="U271" s="259"/>
      <c r="V271" s="259"/>
      <c r="W271" s="259"/>
      <c r="X271" s="259"/>
      <c r="Y271" s="259"/>
      <c r="Z271" s="259"/>
      <c r="AA271" s="259"/>
      <c r="AB271" s="259"/>
      <c r="AC271" s="259"/>
      <c r="AD271" s="259"/>
      <c r="AE271" s="259"/>
      <c r="AF271" s="259"/>
      <c r="AG271" s="259"/>
      <c r="AH271" s="259"/>
      <c r="AI271" s="259"/>
      <c r="AJ271" s="259"/>
      <c r="AK271" s="259"/>
      <c r="AL271" s="259"/>
      <c r="AM271" s="259"/>
      <c r="AN271" s="259"/>
      <c r="AO271" s="259"/>
      <c r="AP271" s="259"/>
      <c r="AQ271" s="259"/>
      <c r="AR271" s="259"/>
      <c r="AS271" s="259"/>
    </row>
    <row r="272" spans="1:45" x14ac:dyDescent="0.25">
      <c r="A272" s="396"/>
      <c r="B272" s="396"/>
      <c r="C272" s="396"/>
      <c r="D272" s="396"/>
      <c r="E272" s="396"/>
      <c r="F272" s="396"/>
      <c r="G272" s="396"/>
      <c r="H272" s="396"/>
      <c r="I272" s="396"/>
      <c r="J272" s="396"/>
      <c r="K272" s="396"/>
      <c r="L272" s="396"/>
      <c r="M272" s="396"/>
      <c r="N272" s="396"/>
      <c r="O272" s="396"/>
      <c r="P272" s="396"/>
      <c r="Q272" s="259"/>
      <c r="R272" s="259"/>
      <c r="S272" s="259"/>
      <c r="T272" s="259"/>
      <c r="U272" s="259"/>
      <c r="V272" s="259"/>
      <c r="W272" s="259"/>
      <c r="X272" s="259"/>
      <c r="Y272" s="259"/>
      <c r="Z272" s="259"/>
      <c r="AA272" s="259"/>
      <c r="AB272" s="259"/>
      <c r="AC272" s="259"/>
      <c r="AD272" s="259"/>
      <c r="AE272" s="259"/>
      <c r="AF272" s="259"/>
      <c r="AG272" s="259"/>
      <c r="AH272" s="259"/>
      <c r="AI272" s="259"/>
      <c r="AJ272" s="259"/>
      <c r="AK272" s="259"/>
      <c r="AL272" s="259"/>
      <c r="AM272" s="259"/>
      <c r="AN272" s="259"/>
      <c r="AO272" s="259"/>
      <c r="AP272" s="259"/>
      <c r="AQ272" s="259"/>
      <c r="AR272" s="259"/>
      <c r="AS272" s="259"/>
    </row>
    <row r="273" spans="1:45" x14ac:dyDescent="0.25">
      <c r="A273" s="396"/>
      <c r="B273" s="396"/>
      <c r="C273" s="396"/>
      <c r="D273" s="396"/>
      <c r="E273" s="396"/>
      <c r="F273" s="396"/>
      <c r="G273" s="396"/>
      <c r="H273" s="396"/>
      <c r="I273" s="396"/>
      <c r="J273" s="396"/>
      <c r="K273" s="396"/>
      <c r="L273" s="396"/>
      <c r="M273" s="396"/>
      <c r="N273" s="396"/>
      <c r="O273" s="396"/>
      <c r="P273" s="396"/>
      <c r="Q273" s="259"/>
      <c r="R273" s="259"/>
      <c r="S273" s="259"/>
      <c r="T273" s="259"/>
      <c r="U273" s="259"/>
      <c r="V273" s="259"/>
      <c r="W273" s="259"/>
      <c r="X273" s="259"/>
      <c r="Y273" s="259"/>
      <c r="Z273" s="259"/>
      <c r="AA273" s="259"/>
      <c r="AB273" s="259"/>
      <c r="AC273" s="259"/>
      <c r="AD273" s="259"/>
      <c r="AE273" s="259"/>
      <c r="AF273" s="259"/>
      <c r="AG273" s="259"/>
      <c r="AH273" s="259"/>
      <c r="AI273" s="259"/>
      <c r="AJ273" s="259"/>
      <c r="AK273" s="259"/>
      <c r="AL273" s="259"/>
      <c r="AM273" s="259"/>
      <c r="AN273" s="259"/>
      <c r="AO273" s="259"/>
      <c r="AP273" s="259"/>
      <c r="AQ273" s="259"/>
      <c r="AR273" s="259"/>
      <c r="AS273" s="259"/>
    </row>
    <row r="274" spans="1:45" x14ac:dyDescent="0.25">
      <c r="A274" s="396"/>
      <c r="B274" s="396"/>
      <c r="C274" s="396"/>
      <c r="D274" s="396"/>
      <c r="E274" s="396"/>
      <c r="F274" s="396"/>
      <c r="G274" s="396"/>
      <c r="H274" s="396"/>
      <c r="I274" s="396"/>
      <c r="J274" s="396"/>
      <c r="K274" s="396"/>
      <c r="L274" s="396"/>
      <c r="M274" s="396"/>
      <c r="N274" s="396"/>
      <c r="O274" s="396"/>
      <c r="P274" s="396"/>
      <c r="Q274" s="259"/>
      <c r="R274" s="259"/>
      <c r="S274" s="259"/>
      <c r="T274" s="259"/>
      <c r="U274" s="259"/>
      <c r="V274" s="259"/>
      <c r="W274" s="259"/>
      <c r="X274" s="259"/>
      <c r="Y274" s="259"/>
      <c r="Z274" s="259"/>
      <c r="AA274" s="259"/>
      <c r="AB274" s="259"/>
      <c r="AC274" s="259"/>
      <c r="AD274" s="259"/>
      <c r="AE274" s="259"/>
      <c r="AF274" s="259"/>
      <c r="AG274" s="259"/>
      <c r="AH274" s="259"/>
      <c r="AI274" s="259"/>
      <c r="AJ274" s="259"/>
      <c r="AK274" s="259"/>
      <c r="AL274" s="259"/>
      <c r="AM274" s="259"/>
      <c r="AN274" s="259"/>
      <c r="AO274" s="259"/>
      <c r="AP274" s="259"/>
      <c r="AQ274" s="259"/>
      <c r="AR274" s="259"/>
      <c r="AS274" s="259"/>
    </row>
    <row r="275" spans="1:45" x14ac:dyDescent="0.25">
      <c r="A275" s="396"/>
      <c r="B275" s="396"/>
      <c r="C275" s="396"/>
      <c r="D275" s="396"/>
      <c r="E275" s="396"/>
      <c r="F275" s="396"/>
      <c r="G275" s="396"/>
      <c r="H275" s="396"/>
      <c r="I275" s="396"/>
      <c r="J275" s="396"/>
      <c r="K275" s="396"/>
      <c r="L275" s="396"/>
      <c r="M275" s="396"/>
      <c r="N275" s="396"/>
      <c r="O275" s="396"/>
      <c r="P275" s="396"/>
      <c r="Q275" s="259"/>
      <c r="R275" s="259"/>
      <c r="S275" s="259"/>
      <c r="T275" s="259"/>
      <c r="U275" s="259"/>
      <c r="V275" s="259"/>
      <c r="W275" s="259"/>
      <c r="X275" s="259"/>
      <c r="Y275" s="259"/>
      <c r="Z275" s="259"/>
      <c r="AA275" s="259"/>
      <c r="AB275" s="259"/>
      <c r="AC275" s="259"/>
      <c r="AD275" s="259"/>
      <c r="AE275" s="259"/>
      <c r="AF275" s="259"/>
      <c r="AG275" s="259"/>
      <c r="AH275" s="259"/>
      <c r="AI275" s="259"/>
      <c r="AJ275" s="259"/>
      <c r="AK275" s="259"/>
      <c r="AL275" s="259"/>
      <c r="AM275" s="259"/>
      <c r="AN275" s="259"/>
      <c r="AO275" s="259"/>
      <c r="AP275" s="259"/>
      <c r="AQ275" s="259"/>
      <c r="AR275" s="259"/>
      <c r="AS275" s="259"/>
    </row>
    <row r="276" spans="1:45" x14ac:dyDescent="0.25">
      <c r="A276" s="396"/>
      <c r="B276" s="396"/>
      <c r="C276" s="396"/>
      <c r="D276" s="396"/>
      <c r="E276" s="396"/>
      <c r="F276" s="396"/>
      <c r="G276" s="396"/>
      <c r="H276" s="396"/>
      <c r="I276" s="396"/>
      <c r="J276" s="396"/>
      <c r="K276" s="396"/>
      <c r="L276" s="396"/>
      <c r="M276" s="396"/>
      <c r="N276" s="396"/>
      <c r="O276" s="396"/>
      <c r="P276" s="396"/>
      <c r="Q276" s="259"/>
      <c r="R276" s="259"/>
      <c r="S276" s="259"/>
      <c r="T276" s="259"/>
      <c r="U276" s="259"/>
      <c r="V276" s="259"/>
      <c r="W276" s="259"/>
      <c r="X276" s="259"/>
      <c r="Y276" s="259"/>
      <c r="Z276" s="259"/>
      <c r="AA276" s="259"/>
      <c r="AB276" s="259"/>
      <c r="AC276" s="259"/>
      <c r="AD276" s="259"/>
      <c r="AE276" s="259"/>
      <c r="AF276" s="259"/>
      <c r="AG276" s="259"/>
      <c r="AH276" s="259"/>
      <c r="AI276" s="259"/>
      <c r="AJ276" s="259"/>
      <c r="AK276" s="259"/>
      <c r="AL276" s="259"/>
      <c r="AM276" s="259"/>
      <c r="AN276" s="259"/>
      <c r="AO276" s="259"/>
      <c r="AP276" s="259"/>
      <c r="AQ276" s="259"/>
      <c r="AR276" s="259"/>
      <c r="AS276" s="259"/>
    </row>
    <row r="277" spans="1:45" x14ac:dyDescent="0.25">
      <c r="A277" s="396"/>
      <c r="B277" s="396"/>
      <c r="C277" s="396"/>
      <c r="D277" s="396"/>
      <c r="E277" s="396"/>
      <c r="F277" s="396"/>
      <c r="G277" s="396"/>
      <c r="H277" s="396"/>
      <c r="I277" s="396"/>
      <c r="J277" s="396"/>
      <c r="K277" s="396"/>
      <c r="L277" s="396"/>
      <c r="M277" s="396"/>
      <c r="N277" s="396"/>
      <c r="O277" s="396"/>
      <c r="P277" s="396"/>
      <c r="Q277" s="259"/>
      <c r="R277" s="259"/>
      <c r="S277" s="259"/>
      <c r="T277" s="259"/>
      <c r="U277" s="259"/>
      <c r="V277" s="259"/>
      <c r="W277" s="259"/>
      <c r="X277" s="259"/>
      <c r="Y277" s="259"/>
      <c r="Z277" s="259"/>
      <c r="AA277" s="259"/>
      <c r="AB277" s="259"/>
      <c r="AC277" s="259"/>
      <c r="AD277" s="259"/>
      <c r="AE277" s="259"/>
      <c r="AF277" s="259"/>
      <c r="AG277" s="259"/>
      <c r="AH277" s="259"/>
      <c r="AI277" s="259"/>
      <c r="AJ277" s="259"/>
      <c r="AK277" s="259"/>
      <c r="AL277" s="259"/>
      <c r="AM277" s="259"/>
      <c r="AN277" s="259"/>
      <c r="AO277" s="259"/>
      <c r="AP277" s="259"/>
      <c r="AQ277" s="259"/>
      <c r="AR277" s="259"/>
      <c r="AS277" s="259"/>
    </row>
    <row r="278" spans="1:45" x14ac:dyDescent="0.25">
      <c r="A278" s="396"/>
      <c r="B278" s="396"/>
      <c r="C278" s="396"/>
      <c r="D278" s="396"/>
      <c r="E278" s="396"/>
      <c r="F278" s="396"/>
      <c r="G278" s="396"/>
      <c r="H278" s="396"/>
      <c r="I278" s="396"/>
      <c r="J278" s="396"/>
      <c r="K278" s="396"/>
      <c r="L278" s="396"/>
      <c r="M278" s="396"/>
      <c r="N278" s="396"/>
      <c r="O278" s="396"/>
      <c r="P278" s="396"/>
      <c r="Q278" s="259"/>
      <c r="R278" s="259"/>
      <c r="S278" s="259"/>
      <c r="T278" s="259"/>
      <c r="U278" s="259"/>
      <c r="V278" s="259"/>
      <c r="W278" s="259"/>
      <c r="X278" s="259"/>
      <c r="Y278" s="259"/>
      <c r="Z278" s="259"/>
      <c r="AA278" s="259"/>
      <c r="AB278" s="259"/>
      <c r="AC278" s="259"/>
      <c r="AD278" s="259"/>
      <c r="AE278" s="259"/>
      <c r="AF278" s="259"/>
      <c r="AG278" s="259"/>
      <c r="AH278" s="259"/>
      <c r="AI278" s="259"/>
      <c r="AJ278" s="259"/>
      <c r="AK278" s="259"/>
      <c r="AL278" s="259"/>
      <c r="AM278" s="259"/>
      <c r="AN278" s="259"/>
      <c r="AO278" s="259"/>
      <c r="AP278" s="259"/>
      <c r="AQ278" s="259"/>
      <c r="AR278" s="259"/>
      <c r="AS278" s="259"/>
    </row>
    <row r="279" spans="1:45" x14ac:dyDescent="0.25">
      <c r="A279" s="396"/>
      <c r="B279" s="396"/>
      <c r="C279" s="396"/>
      <c r="D279" s="396"/>
      <c r="E279" s="396"/>
      <c r="F279" s="396"/>
      <c r="G279" s="396"/>
      <c r="H279" s="396"/>
      <c r="I279" s="396"/>
      <c r="J279" s="396"/>
      <c r="K279" s="396"/>
      <c r="L279" s="396"/>
      <c r="M279" s="396"/>
      <c r="N279" s="396"/>
      <c r="O279" s="396"/>
      <c r="P279" s="396"/>
      <c r="Q279" s="259"/>
      <c r="R279" s="259"/>
      <c r="S279" s="259"/>
      <c r="T279" s="259"/>
      <c r="U279" s="259"/>
      <c r="V279" s="259"/>
      <c r="W279" s="259"/>
      <c r="X279" s="259"/>
      <c r="Y279" s="259"/>
      <c r="Z279" s="259"/>
      <c r="AA279" s="259"/>
      <c r="AB279" s="259"/>
      <c r="AC279" s="259"/>
      <c r="AD279" s="259"/>
      <c r="AE279" s="259"/>
      <c r="AF279" s="259"/>
      <c r="AG279" s="259"/>
      <c r="AH279" s="259"/>
      <c r="AI279" s="259"/>
      <c r="AJ279" s="259"/>
      <c r="AK279" s="259"/>
      <c r="AL279" s="259"/>
      <c r="AM279" s="259"/>
      <c r="AN279" s="259"/>
      <c r="AO279" s="259"/>
      <c r="AP279" s="259"/>
      <c r="AQ279" s="259"/>
      <c r="AR279" s="259"/>
      <c r="AS279" s="259"/>
    </row>
    <row r="280" spans="1:45" x14ac:dyDescent="0.25">
      <c r="A280" s="396"/>
      <c r="B280" s="396"/>
      <c r="C280" s="396"/>
      <c r="D280" s="396"/>
      <c r="E280" s="396"/>
      <c r="F280" s="396"/>
      <c r="G280" s="396"/>
      <c r="H280" s="396"/>
      <c r="I280" s="396"/>
      <c r="J280" s="396"/>
      <c r="K280" s="396"/>
      <c r="L280" s="396"/>
      <c r="M280" s="396"/>
      <c r="N280" s="396"/>
      <c r="O280" s="396"/>
      <c r="P280" s="396"/>
      <c r="Q280" s="259"/>
      <c r="R280" s="259"/>
      <c r="S280" s="259"/>
      <c r="T280" s="259"/>
      <c r="U280" s="259"/>
      <c r="V280" s="259"/>
      <c r="W280" s="259"/>
      <c r="X280" s="259"/>
      <c r="Y280" s="259"/>
      <c r="Z280" s="259"/>
      <c r="AA280" s="259"/>
      <c r="AB280" s="259"/>
      <c r="AC280" s="259"/>
      <c r="AD280" s="259"/>
      <c r="AE280" s="259"/>
      <c r="AF280" s="259"/>
      <c r="AG280" s="259"/>
      <c r="AH280" s="259"/>
      <c r="AI280" s="259"/>
      <c r="AJ280" s="259"/>
      <c r="AK280" s="259"/>
      <c r="AL280" s="259"/>
      <c r="AM280" s="259"/>
      <c r="AN280" s="259"/>
      <c r="AO280" s="259"/>
      <c r="AP280" s="259"/>
      <c r="AQ280" s="259"/>
      <c r="AR280" s="259"/>
      <c r="AS280" s="259"/>
    </row>
    <row r="281" spans="1:45" x14ac:dyDescent="0.25">
      <c r="A281" s="396"/>
      <c r="B281" s="396"/>
      <c r="C281" s="396"/>
      <c r="D281" s="396"/>
      <c r="E281" s="396"/>
      <c r="F281" s="396"/>
      <c r="G281" s="396"/>
      <c r="H281" s="396"/>
      <c r="I281" s="396"/>
      <c r="J281" s="396"/>
      <c r="K281" s="396"/>
      <c r="L281" s="396"/>
      <c r="M281" s="396"/>
      <c r="N281" s="396"/>
      <c r="O281" s="396"/>
      <c r="P281" s="396"/>
      <c r="Q281" s="259"/>
      <c r="R281" s="259"/>
      <c r="S281" s="259"/>
      <c r="T281" s="259"/>
      <c r="U281" s="259"/>
      <c r="V281" s="259"/>
      <c r="W281" s="259"/>
      <c r="X281" s="259"/>
      <c r="Y281" s="259"/>
      <c r="Z281" s="259"/>
      <c r="AA281" s="259"/>
      <c r="AB281" s="259"/>
      <c r="AC281" s="259"/>
      <c r="AD281" s="259"/>
      <c r="AE281" s="259"/>
      <c r="AF281" s="259"/>
      <c r="AG281" s="259"/>
      <c r="AH281" s="259"/>
      <c r="AI281" s="259"/>
      <c r="AJ281" s="259"/>
      <c r="AK281" s="259"/>
      <c r="AL281" s="259"/>
      <c r="AM281" s="259"/>
      <c r="AN281" s="259"/>
      <c r="AO281" s="259"/>
      <c r="AP281" s="259"/>
      <c r="AQ281" s="259"/>
      <c r="AR281" s="259"/>
      <c r="AS281" s="259"/>
    </row>
    <row r="282" spans="1:45" x14ac:dyDescent="0.25">
      <c r="A282" s="396"/>
      <c r="B282" s="396"/>
      <c r="C282" s="396"/>
      <c r="D282" s="396"/>
      <c r="E282" s="396"/>
      <c r="F282" s="396"/>
      <c r="G282" s="396"/>
      <c r="H282" s="396"/>
      <c r="I282" s="396"/>
      <c r="J282" s="396"/>
      <c r="K282" s="396"/>
      <c r="L282" s="396"/>
      <c r="M282" s="396"/>
      <c r="N282" s="396"/>
      <c r="O282" s="396"/>
      <c r="P282" s="396"/>
      <c r="Q282" s="259"/>
      <c r="R282" s="259"/>
      <c r="S282" s="259"/>
      <c r="T282" s="259"/>
      <c r="U282" s="259"/>
      <c r="V282" s="259"/>
      <c r="W282" s="259"/>
      <c r="X282" s="259"/>
      <c r="Y282" s="259"/>
      <c r="Z282" s="259"/>
      <c r="AA282" s="259"/>
      <c r="AB282" s="259"/>
      <c r="AC282" s="259"/>
      <c r="AD282" s="259"/>
      <c r="AE282" s="259"/>
      <c r="AF282" s="259"/>
      <c r="AG282" s="259"/>
      <c r="AH282" s="259"/>
      <c r="AI282" s="259"/>
      <c r="AJ282" s="259"/>
      <c r="AK282" s="259"/>
      <c r="AL282" s="259"/>
      <c r="AM282" s="259"/>
      <c r="AN282" s="259"/>
      <c r="AO282" s="259"/>
      <c r="AP282" s="259"/>
      <c r="AQ282" s="259"/>
      <c r="AR282" s="259"/>
      <c r="AS282" s="259"/>
    </row>
    <row r="283" spans="1:45" x14ac:dyDescent="0.25">
      <c r="A283" s="396"/>
      <c r="B283" s="396"/>
      <c r="C283" s="396"/>
      <c r="D283" s="396"/>
      <c r="E283" s="396"/>
      <c r="F283" s="396"/>
      <c r="G283" s="396"/>
      <c r="H283" s="396"/>
      <c r="I283" s="396"/>
      <c r="J283" s="396"/>
      <c r="K283" s="396"/>
      <c r="L283" s="396"/>
      <c r="M283" s="396"/>
      <c r="N283" s="396"/>
      <c r="O283" s="396"/>
      <c r="P283" s="396"/>
      <c r="Q283" s="259"/>
      <c r="R283" s="259"/>
      <c r="S283" s="259"/>
      <c r="T283" s="259"/>
      <c r="U283" s="259"/>
      <c r="V283" s="259"/>
      <c r="W283" s="259"/>
      <c r="X283" s="259"/>
      <c r="Y283" s="259"/>
      <c r="Z283" s="259"/>
      <c r="AA283" s="259"/>
      <c r="AB283" s="259"/>
      <c r="AC283" s="259"/>
      <c r="AD283" s="259"/>
      <c r="AE283" s="259"/>
      <c r="AF283" s="259"/>
      <c r="AG283" s="259"/>
      <c r="AH283" s="259"/>
      <c r="AI283" s="259"/>
      <c r="AJ283" s="259"/>
      <c r="AK283" s="259"/>
      <c r="AL283" s="259"/>
      <c r="AM283" s="259"/>
      <c r="AN283" s="259"/>
      <c r="AO283" s="259"/>
      <c r="AP283" s="259"/>
      <c r="AQ283" s="259"/>
      <c r="AR283" s="259"/>
      <c r="AS283" s="259"/>
    </row>
    <row r="284" spans="1:45" x14ac:dyDescent="0.25">
      <c r="A284" s="396"/>
      <c r="B284" s="396"/>
      <c r="C284" s="396"/>
      <c r="D284" s="396"/>
      <c r="E284" s="396"/>
      <c r="F284" s="396"/>
      <c r="G284" s="396"/>
      <c r="H284" s="396"/>
      <c r="I284" s="396"/>
      <c r="J284" s="396"/>
      <c r="K284" s="396"/>
      <c r="L284" s="396"/>
      <c r="M284" s="396"/>
      <c r="N284" s="396"/>
      <c r="O284" s="396"/>
      <c r="P284" s="396"/>
      <c r="Q284" s="259"/>
      <c r="R284" s="259"/>
      <c r="S284" s="259"/>
      <c r="T284" s="259"/>
      <c r="U284" s="259"/>
      <c r="V284" s="259"/>
      <c r="W284" s="259"/>
      <c r="X284" s="259"/>
      <c r="Y284" s="259"/>
      <c r="Z284" s="259"/>
      <c r="AA284" s="259"/>
      <c r="AB284" s="259"/>
      <c r="AC284" s="259"/>
      <c r="AD284" s="259"/>
      <c r="AE284" s="259"/>
      <c r="AF284" s="259"/>
      <c r="AG284" s="259"/>
      <c r="AH284" s="259"/>
      <c r="AI284" s="259"/>
      <c r="AJ284" s="259"/>
      <c r="AK284" s="259"/>
      <c r="AL284" s="259"/>
      <c r="AM284" s="259"/>
      <c r="AN284" s="259"/>
      <c r="AO284" s="259"/>
      <c r="AP284" s="259"/>
      <c r="AQ284" s="259"/>
      <c r="AR284" s="259"/>
      <c r="AS284" s="259"/>
    </row>
    <row r="285" spans="1:45" x14ac:dyDescent="0.25">
      <c r="A285" s="396"/>
      <c r="B285" s="396"/>
      <c r="C285" s="396"/>
      <c r="D285" s="396"/>
      <c r="E285" s="396"/>
      <c r="F285" s="396"/>
      <c r="G285" s="396"/>
      <c r="H285" s="396"/>
      <c r="I285" s="396"/>
      <c r="J285" s="396"/>
      <c r="K285" s="396"/>
      <c r="L285" s="396"/>
      <c r="M285" s="396"/>
      <c r="N285" s="396"/>
      <c r="O285" s="396"/>
      <c r="P285" s="396"/>
      <c r="Q285" s="259"/>
      <c r="R285" s="259"/>
      <c r="S285" s="259"/>
      <c r="T285" s="259"/>
      <c r="U285" s="259"/>
      <c r="V285" s="259"/>
      <c r="W285" s="259"/>
      <c r="X285" s="259"/>
      <c r="Y285" s="259"/>
      <c r="Z285" s="259"/>
      <c r="AA285" s="259"/>
      <c r="AB285" s="259"/>
      <c r="AC285" s="259"/>
      <c r="AD285" s="259"/>
      <c r="AE285" s="259"/>
      <c r="AF285" s="259"/>
      <c r="AG285" s="259"/>
      <c r="AH285" s="259"/>
      <c r="AI285" s="259"/>
      <c r="AJ285" s="259"/>
      <c r="AK285" s="259"/>
      <c r="AL285" s="259"/>
      <c r="AM285" s="259"/>
      <c r="AN285" s="259"/>
      <c r="AO285" s="259"/>
      <c r="AP285" s="259"/>
      <c r="AQ285" s="259"/>
      <c r="AR285" s="259"/>
      <c r="AS285" s="259"/>
    </row>
    <row r="286" spans="1:45" x14ac:dyDescent="0.25">
      <c r="A286" s="396"/>
      <c r="B286" s="396"/>
      <c r="C286" s="396"/>
      <c r="D286" s="396"/>
      <c r="E286" s="396"/>
      <c r="F286" s="396"/>
      <c r="G286" s="396"/>
      <c r="H286" s="396"/>
      <c r="I286" s="396"/>
      <c r="J286" s="396"/>
      <c r="K286" s="396"/>
      <c r="L286" s="396"/>
      <c r="M286" s="396"/>
      <c r="N286" s="396"/>
      <c r="O286" s="396"/>
      <c r="P286" s="396"/>
      <c r="Q286" s="259"/>
      <c r="R286" s="259"/>
      <c r="S286" s="259"/>
      <c r="T286" s="259"/>
      <c r="U286" s="259"/>
      <c r="V286" s="259"/>
      <c r="W286" s="259"/>
      <c r="X286" s="259"/>
      <c r="Y286" s="259"/>
      <c r="Z286" s="259"/>
      <c r="AA286" s="259"/>
      <c r="AB286" s="259"/>
      <c r="AC286" s="259"/>
      <c r="AD286" s="259"/>
      <c r="AE286" s="259"/>
      <c r="AF286" s="259"/>
      <c r="AG286" s="259"/>
      <c r="AH286" s="259"/>
      <c r="AI286" s="259"/>
      <c r="AJ286" s="259"/>
      <c r="AK286" s="259"/>
      <c r="AL286" s="259"/>
      <c r="AM286" s="259"/>
      <c r="AN286" s="259"/>
      <c r="AO286" s="259"/>
      <c r="AP286" s="259"/>
      <c r="AQ286" s="259"/>
      <c r="AR286" s="259"/>
      <c r="AS286" s="259"/>
    </row>
    <row r="287" spans="1:45" x14ac:dyDescent="0.25">
      <c r="A287" s="396"/>
      <c r="B287" s="396"/>
      <c r="C287" s="396"/>
      <c r="D287" s="396"/>
      <c r="E287" s="396"/>
      <c r="F287" s="396"/>
      <c r="G287" s="396"/>
      <c r="H287" s="396"/>
      <c r="I287" s="396"/>
      <c r="J287" s="396"/>
      <c r="K287" s="396"/>
      <c r="L287" s="396"/>
      <c r="M287" s="396"/>
      <c r="N287" s="396"/>
      <c r="O287" s="396"/>
      <c r="P287" s="396"/>
      <c r="Q287" s="259"/>
      <c r="R287" s="259"/>
      <c r="S287" s="259"/>
      <c r="T287" s="259"/>
      <c r="U287" s="259"/>
      <c r="V287" s="259"/>
      <c r="W287" s="259"/>
      <c r="X287" s="259"/>
      <c r="Y287" s="259"/>
      <c r="Z287" s="259"/>
      <c r="AA287" s="259"/>
      <c r="AB287" s="259"/>
      <c r="AC287" s="259"/>
      <c r="AD287" s="259"/>
      <c r="AE287" s="259"/>
      <c r="AF287" s="259"/>
      <c r="AG287" s="259"/>
      <c r="AH287" s="259"/>
      <c r="AI287" s="259"/>
      <c r="AJ287" s="259"/>
      <c r="AK287" s="259"/>
      <c r="AL287" s="259"/>
      <c r="AM287" s="259"/>
      <c r="AN287" s="259"/>
      <c r="AO287" s="259"/>
      <c r="AP287" s="259"/>
      <c r="AQ287" s="259"/>
      <c r="AR287" s="259"/>
      <c r="AS287" s="259"/>
    </row>
    <row r="288" spans="1:45" x14ac:dyDescent="0.25">
      <c r="A288" s="396"/>
      <c r="B288" s="396"/>
      <c r="C288" s="396"/>
      <c r="D288" s="396"/>
      <c r="E288" s="396"/>
      <c r="F288" s="396"/>
      <c r="G288" s="396"/>
      <c r="H288" s="396"/>
      <c r="I288" s="396"/>
      <c r="J288" s="396"/>
      <c r="K288" s="396"/>
      <c r="L288" s="396"/>
      <c r="M288" s="396"/>
      <c r="N288" s="396"/>
      <c r="O288" s="396"/>
      <c r="P288" s="396"/>
      <c r="Q288" s="259"/>
      <c r="R288" s="259"/>
      <c r="S288" s="259"/>
      <c r="T288" s="259"/>
      <c r="U288" s="259"/>
      <c r="V288" s="259"/>
      <c r="W288" s="259"/>
      <c r="X288" s="259"/>
      <c r="Y288" s="259"/>
      <c r="Z288" s="259"/>
      <c r="AA288" s="259"/>
      <c r="AB288" s="259"/>
      <c r="AC288" s="259"/>
      <c r="AD288" s="259"/>
      <c r="AE288" s="259"/>
      <c r="AF288" s="259"/>
      <c r="AG288" s="259"/>
      <c r="AH288" s="259"/>
      <c r="AI288" s="259"/>
      <c r="AJ288" s="259"/>
      <c r="AK288" s="259"/>
      <c r="AL288" s="259"/>
      <c r="AM288" s="259"/>
      <c r="AN288" s="259"/>
      <c r="AO288" s="259"/>
      <c r="AP288" s="259"/>
      <c r="AQ288" s="259"/>
      <c r="AR288" s="259"/>
      <c r="AS288" s="259"/>
    </row>
    <row r="289" spans="1:45" x14ac:dyDescent="0.25">
      <c r="A289" s="396"/>
      <c r="B289" s="396"/>
      <c r="C289" s="396"/>
      <c r="D289" s="396"/>
      <c r="E289" s="396"/>
      <c r="F289" s="396"/>
      <c r="G289" s="396"/>
      <c r="H289" s="396"/>
      <c r="I289" s="396"/>
      <c r="J289" s="396"/>
      <c r="K289" s="396"/>
      <c r="L289" s="396"/>
      <c r="M289" s="396"/>
      <c r="N289" s="396"/>
      <c r="O289" s="396"/>
      <c r="P289" s="396"/>
      <c r="Q289" s="259"/>
      <c r="R289" s="259"/>
      <c r="S289" s="259"/>
      <c r="T289" s="259"/>
      <c r="U289" s="259"/>
      <c r="V289" s="259"/>
      <c r="W289" s="259"/>
      <c r="X289" s="259"/>
      <c r="Y289" s="259"/>
      <c r="Z289" s="259"/>
      <c r="AA289" s="259"/>
      <c r="AB289" s="259"/>
      <c r="AC289" s="259"/>
      <c r="AD289" s="259"/>
      <c r="AE289" s="259"/>
      <c r="AF289" s="259"/>
      <c r="AG289" s="259"/>
      <c r="AH289" s="259"/>
      <c r="AI289" s="259"/>
      <c r="AJ289" s="259"/>
      <c r="AK289" s="259"/>
      <c r="AL289" s="259"/>
      <c r="AM289" s="259"/>
      <c r="AN289" s="259"/>
      <c r="AO289" s="259"/>
      <c r="AP289" s="259"/>
      <c r="AQ289" s="259"/>
      <c r="AR289" s="259"/>
      <c r="AS289" s="259"/>
    </row>
    <row r="290" spans="1:45" x14ac:dyDescent="0.25">
      <c r="A290" s="396"/>
      <c r="B290" s="396"/>
      <c r="C290" s="396"/>
      <c r="D290" s="396"/>
      <c r="E290" s="396"/>
      <c r="F290" s="396"/>
      <c r="G290" s="396"/>
      <c r="H290" s="396"/>
      <c r="I290" s="396"/>
      <c r="J290" s="396"/>
      <c r="K290" s="396"/>
      <c r="L290" s="396"/>
      <c r="M290" s="396"/>
      <c r="N290" s="396"/>
      <c r="O290" s="396"/>
      <c r="P290" s="396"/>
      <c r="Q290" s="259"/>
      <c r="R290" s="259"/>
      <c r="S290" s="259"/>
      <c r="T290" s="259"/>
      <c r="U290" s="259"/>
      <c r="V290" s="259"/>
      <c r="W290" s="259"/>
      <c r="X290" s="259"/>
      <c r="Y290" s="259"/>
      <c r="Z290" s="259"/>
      <c r="AA290" s="259"/>
      <c r="AB290" s="259"/>
      <c r="AC290" s="259"/>
      <c r="AD290" s="259"/>
      <c r="AE290" s="259"/>
      <c r="AF290" s="259"/>
      <c r="AG290" s="259"/>
      <c r="AH290" s="259"/>
      <c r="AI290" s="259"/>
      <c r="AJ290" s="259"/>
      <c r="AK290" s="259"/>
      <c r="AL290" s="259"/>
      <c r="AM290" s="259"/>
      <c r="AN290" s="259"/>
      <c r="AO290" s="259"/>
      <c r="AP290" s="259"/>
      <c r="AQ290" s="259"/>
      <c r="AR290" s="259"/>
      <c r="AS290" s="259"/>
    </row>
    <row r="291" spans="1:45" x14ac:dyDescent="0.25">
      <c r="A291" s="396"/>
      <c r="B291" s="396"/>
      <c r="C291" s="396"/>
      <c r="D291" s="396"/>
      <c r="E291" s="396"/>
      <c r="F291" s="396"/>
      <c r="G291" s="396"/>
      <c r="H291" s="396"/>
      <c r="I291" s="396"/>
      <c r="J291" s="396"/>
      <c r="K291" s="396"/>
      <c r="L291" s="396"/>
      <c r="M291" s="396"/>
      <c r="N291" s="396"/>
      <c r="O291" s="396"/>
      <c r="P291" s="396"/>
      <c r="Q291" s="259"/>
      <c r="R291" s="259"/>
      <c r="S291" s="259"/>
      <c r="T291" s="259"/>
      <c r="U291" s="259"/>
      <c r="V291" s="259"/>
      <c r="W291" s="259"/>
      <c r="X291" s="259"/>
      <c r="Y291" s="259"/>
      <c r="Z291" s="259"/>
      <c r="AA291" s="259"/>
      <c r="AB291" s="259"/>
      <c r="AC291" s="259"/>
      <c r="AD291" s="259"/>
      <c r="AE291" s="259"/>
      <c r="AF291" s="259"/>
      <c r="AG291" s="259"/>
      <c r="AH291" s="259"/>
      <c r="AI291" s="259"/>
      <c r="AJ291" s="259"/>
      <c r="AK291" s="259"/>
      <c r="AL291" s="259"/>
      <c r="AM291" s="259"/>
      <c r="AN291" s="259"/>
      <c r="AO291" s="259"/>
      <c r="AP291" s="259"/>
      <c r="AQ291" s="259"/>
      <c r="AR291" s="259"/>
      <c r="AS291" s="259"/>
    </row>
    <row r="292" spans="1:45" x14ac:dyDescent="0.25">
      <c r="A292" s="396"/>
      <c r="B292" s="396"/>
      <c r="C292" s="396"/>
      <c r="D292" s="396"/>
      <c r="E292" s="396"/>
      <c r="F292" s="396"/>
      <c r="G292" s="396"/>
      <c r="H292" s="396"/>
      <c r="I292" s="396"/>
      <c r="J292" s="396"/>
      <c r="K292" s="396"/>
      <c r="L292" s="396"/>
      <c r="M292" s="396"/>
      <c r="N292" s="396"/>
      <c r="O292" s="396"/>
      <c r="P292" s="396"/>
      <c r="Q292" s="259"/>
      <c r="R292" s="259"/>
      <c r="S292" s="259"/>
      <c r="T292" s="259"/>
      <c r="U292" s="259"/>
      <c r="V292" s="259"/>
      <c r="W292" s="259"/>
      <c r="X292" s="259"/>
      <c r="Y292" s="259"/>
      <c r="Z292" s="259"/>
      <c r="AA292" s="259"/>
      <c r="AB292" s="259"/>
      <c r="AC292" s="259"/>
      <c r="AD292" s="259"/>
      <c r="AE292" s="259"/>
      <c r="AF292" s="259"/>
      <c r="AG292" s="259"/>
      <c r="AH292" s="259"/>
      <c r="AI292" s="259"/>
      <c r="AJ292" s="259"/>
      <c r="AK292" s="259"/>
      <c r="AL292" s="259"/>
      <c r="AM292" s="259"/>
      <c r="AN292" s="259"/>
      <c r="AO292" s="259"/>
      <c r="AP292" s="259"/>
      <c r="AQ292" s="259"/>
      <c r="AR292" s="259"/>
      <c r="AS292" s="259"/>
    </row>
    <row r="293" spans="1:45" x14ac:dyDescent="0.25">
      <c r="A293" s="396"/>
      <c r="B293" s="396"/>
      <c r="C293" s="396"/>
      <c r="D293" s="396"/>
      <c r="E293" s="396"/>
      <c r="F293" s="396"/>
      <c r="G293" s="396"/>
      <c r="H293" s="396"/>
      <c r="I293" s="396"/>
      <c r="J293" s="396"/>
      <c r="K293" s="396"/>
      <c r="L293" s="396"/>
      <c r="M293" s="396"/>
      <c r="N293" s="396"/>
      <c r="O293" s="396"/>
      <c r="P293" s="396"/>
      <c r="Q293" s="259"/>
      <c r="R293" s="259"/>
      <c r="S293" s="259"/>
      <c r="T293" s="259"/>
      <c r="U293" s="259"/>
      <c r="V293" s="259"/>
      <c r="W293" s="259"/>
      <c r="X293" s="259"/>
      <c r="Y293" s="259"/>
      <c r="Z293" s="259"/>
      <c r="AA293" s="259"/>
      <c r="AB293" s="259"/>
      <c r="AC293" s="259"/>
      <c r="AD293" s="259"/>
      <c r="AE293" s="259"/>
      <c r="AF293" s="259"/>
      <c r="AG293" s="259"/>
      <c r="AH293" s="259"/>
      <c r="AI293" s="259"/>
      <c r="AJ293" s="259"/>
      <c r="AK293" s="259"/>
      <c r="AL293" s="259"/>
      <c r="AM293" s="259"/>
      <c r="AN293" s="259"/>
      <c r="AO293" s="259"/>
      <c r="AP293" s="259"/>
      <c r="AQ293" s="259"/>
      <c r="AR293" s="259"/>
      <c r="AS293" s="259"/>
    </row>
    <row r="294" spans="1:45" x14ac:dyDescent="0.25">
      <c r="A294" s="396"/>
      <c r="B294" s="396"/>
      <c r="C294" s="396"/>
      <c r="D294" s="396"/>
      <c r="E294" s="396"/>
      <c r="F294" s="396"/>
      <c r="G294" s="396"/>
      <c r="H294" s="396"/>
      <c r="I294" s="396"/>
      <c r="J294" s="396"/>
      <c r="K294" s="396"/>
      <c r="L294" s="396"/>
      <c r="M294" s="396"/>
      <c r="N294" s="396"/>
      <c r="O294" s="396"/>
      <c r="P294" s="396"/>
      <c r="Q294" s="259"/>
      <c r="R294" s="259"/>
      <c r="S294" s="259"/>
      <c r="T294" s="259"/>
      <c r="U294" s="259"/>
      <c r="V294" s="259"/>
      <c r="W294" s="259"/>
      <c r="X294" s="259"/>
      <c r="Y294" s="259"/>
      <c r="Z294" s="259"/>
      <c r="AA294" s="259"/>
      <c r="AB294" s="259"/>
      <c r="AC294" s="259"/>
      <c r="AD294" s="259"/>
      <c r="AE294" s="259"/>
      <c r="AF294" s="259"/>
      <c r="AG294" s="259"/>
      <c r="AH294" s="259"/>
      <c r="AI294" s="259"/>
      <c r="AJ294" s="259"/>
      <c r="AK294" s="259"/>
      <c r="AL294" s="259"/>
      <c r="AM294" s="259"/>
      <c r="AN294" s="259"/>
      <c r="AO294" s="259"/>
      <c r="AP294" s="259"/>
      <c r="AQ294" s="259"/>
      <c r="AR294" s="259"/>
      <c r="AS294" s="259"/>
    </row>
    <row r="295" spans="1:45" x14ac:dyDescent="0.25">
      <c r="A295" s="396"/>
      <c r="B295" s="396"/>
      <c r="C295" s="396"/>
      <c r="D295" s="396"/>
      <c r="E295" s="396"/>
      <c r="F295" s="396"/>
      <c r="G295" s="396"/>
      <c r="H295" s="396"/>
      <c r="I295" s="396"/>
      <c r="J295" s="396"/>
      <c r="K295" s="396"/>
      <c r="L295" s="396"/>
      <c r="M295" s="396"/>
      <c r="N295" s="396"/>
      <c r="O295" s="396"/>
      <c r="P295" s="396"/>
      <c r="Q295" s="259"/>
      <c r="R295" s="259"/>
      <c r="S295" s="259"/>
      <c r="T295" s="259"/>
      <c r="U295" s="259"/>
      <c r="V295" s="259"/>
      <c r="W295" s="259"/>
      <c r="X295" s="259"/>
      <c r="Y295" s="259"/>
      <c r="Z295" s="259"/>
      <c r="AA295" s="259"/>
      <c r="AB295" s="259"/>
      <c r="AC295" s="259"/>
      <c r="AD295" s="259"/>
      <c r="AE295" s="259"/>
      <c r="AF295" s="259"/>
      <c r="AG295" s="259"/>
      <c r="AH295" s="259"/>
      <c r="AI295" s="259"/>
      <c r="AJ295" s="259"/>
      <c r="AK295" s="259"/>
      <c r="AL295" s="259"/>
      <c r="AM295" s="259"/>
      <c r="AN295" s="259"/>
      <c r="AO295" s="259"/>
      <c r="AP295" s="259"/>
      <c r="AQ295" s="259"/>
      <c r="AR295" s="259"/>
      <c r="AS295" s="259"/>
    </row>
    <row r="296" spans="1:45" x14ac:dyDescent="0.25">
      <c r="A296" s="396"/>
      <c r="B296" s="396"/>
      <c r="C296" s="396"/>
      <c r="D296" s="396"/>
      <c r="E296" s="396"/>
      <c r="F296" s="396"/>
      <c r="G296" s="396"/>
      <c r="H296" s="396"/>
      <c r="I296" s="396"/>
      <c r="J296" s="396"/>
      <c r="K296" s="396"/>
      <c r="L296" s="396"/>
      <c r="M296" s="396"/>
      <c r="N296" s="396"/>
      <c r="O296" s="396"/>
      <c r="P296" s="396"/>
      <c r="Q296" s="259"/>
      <c r="R296" s="259"/>
      <c r="S296" s="259"/>
      <c r="T296" s="259"/>
      <c r="U296" s="259"/>
      <c r="V296" s="259"/>
      <c r="W296" s="259"/>
      <c r="X296" s="259"/>
      <c r="Y296" s="259"/>
      <c r="Z296" s="259"/>
      <c r="AA296" s="259"/>
      <c r="AB296" s="259"/>
      <c r="AC296" s="259"/>
      <c r="AD296" s="259"/>
      <c r="AE296" s="259"/>
      <c r="AF296" s="259"/>
      <c r="AG296" s="259"/>
      <c r="AH296" s="259"/>
      <c r="AI296" s="259"/>
      <c r="AJ296" s="259"/>
      <c r="AK296" s="259"/>
      <c r="AL296" s="259"/>
      <c r="AM296" s="259"/>
      <c r="AN296" s="259"/>
      <c r="AO296" s="259"/>
      <c r="AP296" s="259"/>
      <c r="AQ296" s="259"/>
      <c r="AR296" s="259"/>
      <c r="AS296" s="259"/>
    </row>
    <row r="297" spans="1:45" x14ac:dyDescent="0.25">
      <c r="A297" s="396"/>
      <c r="B297" s="396"/>
      <c r="C297" s="396"/>
      <c r="D297" s="396"/>
      <c r="E297" s="396"/>
      <c r="F297" s="396"/>
      <c r="G297" s="396"/>
      <c r="H297" s="396"/>
      <c r="I297" s="396"/>
      <c r="J297" s="396"/>
      <c r="K297" s="396"/>
      <c r="L297" s="396"/>
      <c r="M297" s="396"/>
      <c r="N297" s="396"/>
      <c r="O297" s="396"/>
      <c r="P297" s="396"/>
      <c r="Q297" s="259"/>
      <c r="R297" s="259"/>
      <c r="S297" s="259"/>
      <c r="T297" s="259"/>
      <c r="U297" s="259"/>
      <c r="V297" s="259"/>
      <c r="W297" s="259"/>
      <c r="X297" s="259"/>
      <c r="Y297" s="259"/>
      <c r="Z297" s="259"/>
      <c r="AA297" s="259"/>
      <c r="AB297" s="259"/>
      <c r="AC297" s="259"/>
      <c r="AD297" s="259"/>
      <c r="AE297" s="259"/>
      <c r="AF297" s="259"/>
      <c r="AG297" s="259"/>
      <c r="AH297" s="259"/>
      <c r="AI297" s="259"/>
      <c r="AJ297" s="259"/>
      <c r="AK297" s="259"/>
      <c r="AL297" s="259"/>
      <c r="AM297" s="259"/>
      <c r="AN297" s="259"/>
      <c r="AO297" s="259"/>
      <c r="AP297" s="259"/>
      <c r="AQ297" s="259"/>
      <c r="AR297" s="259"/>
      <c r="AS297" s="259"/>
    </row>
    <row r="298" spans="1:45" x14ac:dyDescent="0.25">
      <c r="A298" s="396"/>
      <c r="B298" s="396"/>
      <c r="C298" s="396"/>
      <c r="D298" s="396"/>
      <c r="E298" s="396"/>
      <c r="F298" s="396"/>
      <c r="G298" s="396"/>
      <c r="H298" s="396"/>
      <c r="I298" s="396"/>
      <c r="J298" s="396"/>
      <c r="K298" s="396"/>
      <c r="L298" s="396"/>
      <c r="M298" s="396"/>
      <c r="N298" s="396"/>
      <c r="O298" s="396"/>
      <c r="P298" s="396"/>
      <c r="Q298" s="259"/>
      <c r="R298" s="259"/>
      <c r="S298" s="259"/>
      <c r="T298" s="259"/>
      <c r="U298" s="259"/>
      <c r="V298" s="259"/>
      <c r="W298" s="259"/>
      <c r="X298" s="259"/>
      <c r="Y298" s="259"/>
      <c r="Z298" s="259"/>
      <c r="AA298" s="259"/>
      <c r="AB298" s="259"/>
      <c r="AC298" s="259"/>
      <c r="AD298" s="259"/>
      <c r="AE298" s="259"/>
      <c r="AF298" s="259"/>
      <c r="AG298" s="259"/>
      <c r="AH298" s="259"/>
      <c r="AI298" s="259"/>
      <c r="AJ298" s="259"/>
      <c r="AK298" s="259"/>
      <c r="AL298" s="259"/>
      <c r="AM298" s="259"/>
      <c r="AN298" s="259"/>
      <c r="AO298" s="259"/>
      <c r="AP298" s="259"/>
      <c r="AQ298" s="259"/>
      <c r="AR298" s="259"/>
      <c r="AS298" s="259"/>
    </row>
    <row r="299" spans="1:45" x14ac:dyDescent="0.25">
      <c r="A299" s="396"/>
      <c r="B299" s="396"/>
      <c r="C299" s="396"/>
      <c r="D299" s="396"/>
      <c r="E299" s="396"/>
      <c r="F299" s="396"/>
      <c r="G299" s="396"/>
      <c r="H299" s="396"/>
      <c r="I299" s="396"/>
      <c r="J299" s="396"/>
      <c r="K299" s="396"/>
      <c r="L299" s="396"/>
      <c r="M299" s="396"/>
      <c r="N299" s="396"/>
      <c r="O299" s="396"/>
      <c r="P299" s="396"/>
      <c r="Q299" s="259"/>
      <c r="R299" s="259"/>
      <c r="S299" s="259"/>
      <c r="T299" s="259"/>
      <c r="U299" s="259"/>
      <c r="V299" s="259"/>
      <c r="W299" s="259"/>
      <c r="X299" s="259"/>
      <c r="Y299" s="259"/>
      <c r="Z299" s="259"/>
      <c r="AA299" s="259"/>
      <c r="AB299" s="259"/>
      <c r="AC299" s="259"/>
      <c r="AD299" s="259"/>
      <c r="AE299" s="259"/>
      <c r="AF299" s="259"/>
      <c r="AG299" s="259"/>
      <c r="AH299" s="259"/>
      <c r="AI299" s="259"/>
      <c r="AJ299" s="259"/>
      <c r="AK299" s="259"/>
      <c r="AL299" s="259"/>
      <c r="AM299" s="259"/>
      <c r="AN299" s="259"/>
      <c r="AO299" s="259"/>
      <c r="AP299" s="259"/>
      <c r="AQ299" s="259"/>
      <c r="AR299" s="259"/>
      <c r="AS299" s="259"/>
    </row>
    <row r="300" spans="1:45" x14ac:dyDescent="0.25">
      <c r="A300" s="396"/>
      <c r="B300" s="396"/>
      <c r="C300" s="396"/>
      <c r="D300" s="396"/>
      <c r="E300" s="396"/>
      <c r="F300" s="396"/>
      <c r="G300" s="396"/>
      <c r="H300" s="396"/>
      <c r="I300" s="396"/>
      <c r="J300" s="396"/>
      <c r="K300" s="396"/>
      <c r="L300" s="396"/>
      <c r="M300" s="396"/>
      <c r="N300" s="396"/>
      <c r="O300" s="396"/>
      <c r="P300" s="396"/>
      <c r="Q300" s="259"/>
      <c r="R300" s="259"/>
      <c r="S300" s="259"/>
      <c r="T300" s="259"/>
      <c r="U300" s="259"/>
      <c r="V300" s="259"/>
      <c r="W300" s="259"/>
      <c r="X300" s="259"/>
      <c r="Y300" s="259"/>
      <c r="Z300" s="259"/>
      <c r="AA300" s="259"/>
      <c r="AB300" s="259"/>
      <c r="AC300" s="259"/>
      <c r="AD300" s="259"/>
      <c r="AE300" s="259"/>
      <c r="AF300" s="259"/>
      <c r="AG300" s="259"/>
      <c r="AH300" s="259"/>
      <c r="AI300" s="259"/>
      <c r="AJ300" s="259"/>
      <c r="AK300" s="259"/>
      <c r="AL300" s="259"/>
      <c r="AM300" s="259"/>
      <c r="AN300" s="259"/>
      <c r="AO300" s="259"/>
      <c r="AP300" s="259"/>
      <c r="AQ300" s="259"/>
      <c r="AR300" s="259"/>
      <c r="AS300" s="259"/>
    </row>
    <row r="301" spans="1:45" x14ac:dyDescent="0.25">
      <c r="A301" s="396"/>
      <c r="B301" s="396"/>
      <c r="C301" s="396"/>
      <c r="D301" s="396"/>
      <c r="E301" s="396"/>
      <c r="F301" s="396"/>
      <c r="G301" s="396"/>
      <c r="H301" s="396"/>
      <c r="I301" s="396"/>
      <c r="J301" s="396"/>
      <c r="K301" s="396"/>
      <c r="L301" s="396"/>
      <c r="M301" s="396"/>
      <c r="N301" s="396"/>
      <c r="O301" s="396"/>
      <c r="P301" s="396"/>
      <c r="Q301" s="259"/>
      <c r="R301" s="259"/>
      <c r="S301" s="259"/>
      <c r="T301" s="259"/>
      <c r="U301" s="259"/>
      <c r="V301" s="259"/>
      <c r="W301" s="259"/>
      <c r="X301" s="259"/>
      <c r="Y301" s="259"/>
      <c r="Z301" s="259"/>
      <c r="AA301" s="259"/>
      <c r="AB301" s="259"/>
      <c r="AC301" s="259"/>
      <c r="AD301" s="259"/>
      <c r="AE301" s="259"/>
      <c r="AF301" s="259"/>
      <c r="AG301" s="259"/>
      <c r="AH301" s="259"/>
      <c r="AI301" s="259"/>
      <c r="AJ301" s="259"/>
      <c r="AK301" s="259"/>
      <c r="AL301" s="259"/>
      <c r="AM301" s="259"/>
      <c r="AN301" s="259"/>
      <c r="AO301" s="259"/>
      <c r="AP301" s="259"/>
      <c r="AQ301" s="259"/>
      <c r="AR301" s="259"/>
      <c r="AS301" s="259"/>
    </row>
    <row r="302" spans="1:45" x14ac:dyDescent="0.25">
      <c r="A302" s="396"/>
      <c r="B302" s="396"/>
      <c r="C302" s="396"/>
      <c r="D302" s="396"/>
      <c r="E302" s="396"/>
      <c r="F302" s="396"/>
      <c r="G302" s="396"/>
      <c r="H302" s="396"/>
      <c r="I302" s="396"/>
      <c r="J302" s="396"/>
      <c r="K302" s="396"/>
      <c r="L302" s="396"/>
      <c r="M302" s="396"/>
      <c r="N302" s="396"/>
      <c r="O302" s="396"/>
      <c r="P302" s="396"/>
      <c r="Q302" s="259"/>
      <c r="R302" s="259"/>
      <c r="S302" s="259"/>
      <c r="T302" s="259"/>
      <c r="U302" s="259"/>
      <c r="V302" s="259"/>
      <c r="W302" s="259"/>
      <c r="X302" s="259"/>
      <c r="Y302" s="259"/>
      <c r="Z302" s="259"/>
      <c r="AA302" s="259"/>
      <c r="AB302" s="259"/>
      <c r="AC302" s="259"/>
      <c r="AD302" s="259"/>
      <c r="AE302" s="259"/>
      <c r="AF302" s="259"/>
      <c r="AG302" s="259"/>
      <c r="AH302" s="259"/>
      <c r="AI302" s="259"/>
      <c r="AJ302" s="259"/>
      <c r="AK302" s="259"/>
      <c r="AL302" s="259"/>
      <c r="AM302" s="259"/>
      <c r="AN302" s="259"/>
      <c r="AO302" s="259"/>
      <c r="AP302" s="259"/>
      <c r="AQ302" s="259"/>
      <c r="AR302" s="259"/>
      <c r="AS302" s="259"/>
    </row>
    <row r="303" spans="1:45" x14ac:dyDescent="0.25">
      <c r="A303" s="396"/>
      <c r="B303" s="396"/>
      <c r="C303" s="396"/>
      <c r="D303" s="396"/>
      <c r="E303" s="396"/>
      <c r="F303" s="396"/>
      <c r="G303" s="396"/>
      <c r="H303" s="396"/>
      <c r="I303" s="396"/>
      <c r="J303" s="396"/>
      <c r="K303" s="396"/>
      <c r="L303" s="396"/>
      <c r="M303" s="396"/>
      <c r="N303" s="396"/>
      <c r="O303" s="396"/>
      <c r="P303" s="396"/>
      <c r="Q303" s="259"/>
      <c r="R303" s="259"/>
      <c r="S303" s="259"/>
      <c r="T303" s="259"/>
      <c r="U303" s="259"/>
      <c r="V303" s="259"/>
      <c r="W303" s="259"/>
      <c r="X303" s="259"/>
      <c r="Y303" s="259"/>
      <c r="Z303" s="259"/>
      <c r="AA303" s="259"/>
      <c r="AB303" s="259"/>
      <c r="AC303" s="259"/>
      <c r="AD303" s="259"/>
      <c r="AE303" s="259"/>
      <c r="AF303" s="259"/>
      <c r="AG303" s="259"/>
      <c r="AH303" s="259"/>
      <c r="AI303" s="259"/>
      <c r="AJ303" s="259"/>
      <c r="AK303" s="259"/>
      <c r="AL303" s="259"/>
      <c r="AM303" s="259"/>
      <c r="AN303" s="259"/>
      <c r="AO303" s="259"/>
      <c r="AP303" s="259"/>
      <c r="AQ303" s="259"/>
      <c r="AR303" s="259"/>
      <c r="AS303" s="259"/>
    </row>
    <row r="304" spans="1:45" x14ac:dyDescent="0.25">
      <c r="A304" s="396"/>
      <c r="B304" s="396"/>
      <c r="C304" s="396"/>
      <c r="D304" s="396"/>
      <c r="E304" s="396"/>
      <c r="F304" s="396"/>
      <c r="G304" s="396"/>
      <c r="H304" s="396"/>
      <c r="I304" s="396"/>
      <c r="J304" s="396"/>
      <c r="K304" s="396"/>
      <c r="L304" s="396"/>
      <c r="M304" s="396"/>
      <c r="N304" s="396"/>
      <c r="O304" s="396"/>
      <c r="P304" s="396"/>
      <c r="Q304" s="259"/>
      <c r="R304" s="259"/>
      <c r="S304" s="259"/>
      <c r="T304" s="259"/>
      <c r="U304" s="259"/>
      <c r="V304" s="259"/>
      <c r="W304" s="259"/>
      <c r="X304" s="259"/>
      <c r="Y304" s="259"/>
      <c r="Z304" s="259"/>
      <c r="AA304" s="259"/>
      <c r="AB304" s="259"/>
      <c r="AC304" s="259"/>
      <c r="AD304" s="259"/>
      <c r="AE304" s="259"/>
      <c r="AF304" s="259"/>
      <c r="AG304" s="259"/>
      <c r="AH304" s="259"/>
      <c r="AI304" s="259"/>
      <c r="AJ304" s="259"/>
      <c r="AK304" s="259"/>
      <c r="AL304" s="259"/>
      <c r="AM304" s="259"/>
      <c r="AN304" s="259"/>
      <c r="AO304" s="259"/>
      <c r="AP304" s="259"/>
      <c r="AQ304" s="259"/>
      <c r="AR304" s="259"/>
      <c r="AS304" s="259"/>
    </row>
    <row r="305" spans="1:45" x14ac:dyDescent="0.25">
      <c r="A305" s="396"/>
      <c r="B305" s="396"/>
      <c r="C305" s="396"/>
      <c r="D305" s="396"/>
      <c r="E305" s="396"/>
      <c r="F305" s="396"/>
      <c r="G305" s="396"/>
      <c r="H305" s="396"/>
      <c r="I305" s="396"/>
      <c r="J305" s="396"/>
      <c r="K305" s="396"/>
      <c r="L305" s="396"/>
      <c r="M305" s="396"/>
      <c r="N305" s="396"/>
      <c r="O305" s="396"/>
      <c r="P305" s="396"/>
      <c r="Q305" s="259"/>
      <c r="R305" s="259"/>
      <c r="S305" s="259"/>
      <c r="T305" s="259"/>
      <c r="U305" s="259"/>
      <c r="V305" s="259"/>
      <c r="W305" s="259"/>
      <c r="X305" s="259"/>
      <c r="Y305" s="259"/>
      <c r="Z305" s="259"/>
      <c r="AA305" s="259"/>
      <c r="AB305" s="259"/>
      <c r="AC305" s="259"/>
      <c r="AD305" s="259"/>
      <c r="AE305" s="259"/>
      <c r="AF305" s="259"/>
      <c r="AG305" s="259"/>
      <c r="AH305" s="259"/>
      <c r="AI305" s="259"/>
      <c r="AJ305" s="259"/>
      <c r="AK305" s="259"/>
      <c r="AL305" s="259"/>
      <c r="AM305" s="259"/>
      <c r="AN305" s="259"/>
      <c r="AO305" s="259"/>
      <c r="AP305" s="259"/>
      <c r="AQ305" s="259"/>
      <c r="AR305" s="259"/>
      <c r="AS305" s="259"/>
    </row>
    <row r="306" spans="1:45" x14ac:dyDescent="0.25">
      <c r="A306" s="396"/>
      <c r="B306" s="396"/>
      <c r="C306" s="396"/>
      <c r="D306" s="396"/>
      <c r="E306" s="396"/>
      <c r="F306" s="396"/>
      <c r="G306" s="396"/>
      <c r="H306" s="396"/>
      <c r="I306" s="396"/>
      <c r="J306" s="396"/>
      <c r="K306" s="396"/>
      <c r="L306" s="396"/>
      <c r="M306" s="396"/>
      <c r="N306" s="396"/>
      <c r="O306" s="396"/>
      <c r="P306" s="396"/>
      <c r="Q306" s="259"/>
      <c r="R306" s="259"/>
      <c r="S306" s="259"/>
      <c r="T306" s="259"/>
      <c r="U306" s="259"/>
      <c r="V306" s="259"/>
      <c r="W306" s="259"/>
      <c r="X306" s="259"/>
      <c r="Y306" s="259"/>
      <c r="Z306" s="259"/>
      <c r="AA306" s="259"/>
      <c r="AB306" s="259"/>
      <c r="AC306" s="259"/>
      <c r="AD306" s="259"/>
      <c r="AE306" s="259"/>
      <c r="AF306" s="259"/>
      <c r="AG306" s="259"/>
      <c r="AH306" s="259"/>
      <c r="AI306" s="259"/>
      <c r="AJ306" s="259"/>
      <c r="AK306" s="259"/>
      <c r="AL306" s="259"/>
      <c r="AM306" s="259"/>
      <c r="AN306" s="259"/>
      <c r="AO306" s="259"/>
      <c r="AP306" s="259"/>
      <c r="AQ306" s="259"/>
      <c r="AR306" s="259"/>
      <c r="AS306" s="259"/>
    </row>
    <row r="307" spans="1:45" x14ac:dyDescent="0.25">
      <c r="A307" s="396"/>
      <c r="B307" s="396"/>
      <c r="C307" s="396"/>
      <c r="D307" s="396"/>
      <c r="E307" s="396"/>
      <c r="F307" s="396"/>
      <c r="G307" s="396"/>
      <c r="H307" s="396"/>
      <c r="I307" s="396"/>
      <c r="J307" s="396"/>
      <c r="K307" s="396"/>
      <c r="L307" s="396"/>
      <c r="M307" s="396"/>
      <c r="N307" s="396"/>
      <c r="O307" s="396"/>
      <c r="P307" s="396"/>
      <c r="Q307" s="259"/>
      <c r="R307" s="259"/>
      <c r="S307" s="259"/>
      <c r="T307" s="259"/>
      <c r="U307" s="259"/>
      <c r="V307" s="259"/>
      <c r="W307" s="259"/>
      <c r="X307" s="259"/>
      <c r="Y307" s="259"/>
      <c r="Z307" s="259"/>
      <c r="AA307" s="259"/>
      <c r="AB307" s="259"/>
      <c r="AC307" s="259"/>
      <c r="AD307" s="259"/>
      <c r="AE307" s="259"/>
      <c r="AF307" s="259"/>
      <c r="AG307" s="259"/>
      <c r="AH307" s="259"/>
      <c r="AI307" s="259"/>
      <c r="AJ307" s="259"/>
      <c r="AK307" s="259"/>
      <c r="AL307" s="259"/>
      <c r="AM307" s="259"/>
      <c r="AN307" s="259"/>
      <c r="AO307" s="259"/>
      <c r="AP307" s="259"/>
      <c r="AQ307" s="259"/>
      <c r="AR307" s="259"/>
      <c r="AS307" s="259"/>
    </row>
    <row r="308" spans="1:45" x14ac:dyDescent="0.25">
      <c r="A308" s="396"/>
      <c r="B308" s="396"/>
      <c r="C308" s="396"/>
      <c r="D308" s="396"/>
      <c r="E308" s="396"/>
      <c r="F308" s="396"/>
      <c r="G308" s="396"/>
      <c r="H308" s="396"/>
      <c r="I308" s="396"/>
      <c r="J308" s="396"/>
      <c r="K308" s="396"/>
      <c r="L308" s="396"/>
      <c r="M308" s="396"/>
      <c r="N308" s="396"/>
      <c r="O308" s="396"/>
      <c r="P308" s="396"/>
      <c r="Q308" s="259"/>
      <c r="R308" s="259"/>
      <c r="S308" s="259"/>
      <c r="T308" s="259"/>
      <c r="U308" s="259"/>
      <c r="V308" s="259"/>
      <c r="W308" s="259"/>
      <c r="X308" s="259"/>
      <c r="Y308" s="259"/>
      <c r="Z308" s="259"/>
      <c r="AA308" s="259"/>
      <c r="AB308" s="259"/>
      <c r="AC308" s="259"/>
      <c r="AD308" s="259"/>
      <c r="AE308" s="259"/>
      <c r="AF308" s="259"/>
      <c r="AG308" s="259"/>
      <c r="AH308" s="259"/>
      <c r="AI308" s="259"/>
      <c r="AJ308" s="259"/>
      <c r="AK308" s="259"/>
      <c r="AL308" s="259"/>
      <c r="AM308" s="259"/>
      <c r="AN308" s="259"/>
      <c r="AO308" s="259"/>
      <c r="AP308" s="259"/>
      <c r="AQ308" s="259"/>
      <c r="AR308" s="259"/>
      <c r="AS308" s="259"/>
    </row>
    <row r="309" spans="1:45" x14ac:dyDescent="0.25">
      <c r="A309" s="396"/>
      <c r="B309" s="396"/>
      <c r="C309" s="396"/>
      <c r="D309" s="396"/>
      <c r="E309" s="396"/>
      <c r="F309" s="396"/>
      <c r="G309" s="396"/>
      <c r="H309" s="396"/>
      <c r="I309" s="396"/>
      <c r="J309" s="396"/>
      <c r="K309" s="396"/>
      <c r="L309" s="396"/>
      <c r="M309" s="396"/>
      <c r="N309" s="396"/>
      <c r="O309" s="396"/>
      <c r="P309" s="396"/>
      <c r="Q309" s="259"/>
      <c r="R309" s="259"/>
      <c r="S309" s="259"/>
      <c r="T309" s="259"/>
      <c r="U309" s="259"/>
      <c r="V309" s="259"/>
      <c r="W309" s="259"/>
      <c r="X309" s="259"/>
      <c r="Y309" s="259"/>
      <c r="Z309" s="259"/>
      <c r="AA309" s="259"/>
      <c r="AB309" s="259"/>
      <c r="AC309" s="259"/>
      <c r="AD309" s="259"/>
      <c r="AE309" s="259"/>
      <c r="AF309" s="259"/>
      <c r="AG309" s="259"/>
      <c r="AH309" s="259"/>
      <c r="AI309" s="259"/>
      <c r="AJ309" s="259"/>
      <c r="AK309" s="259"/>
      <c r="AL309" s="259"/>
      <c r="AM309" s="259"/>
      <c r="AN309" s="259"/>
      <c r="AO309" s="259"/>
      <c r="AP309" s="259"/>
      <c r="AQ309" s="259"/>
      <c r="AR309" s="259"/>
      <c r="AS309" s="259"/>
    </row>
    <row r="310" spans="1:45" x14ac:dyDescent="0.25">
      <c r="A310" s="396"/>
      <c r="B310" s="396"/>
      <c r="C310" s="396"/>
      <c r="D310" s="396"/>
      <c r="E310" s="396"/>
      <c r="F310" s="396"/>
      <c r="G310" s="396"/>
      <c r="H310" s="396"/>
      <c r="I310" s="396"/>
      <c r="J310" s="396"/>
      <c r="K310" s="396"/>
      <c r="L310" s="396"/>
      <c r="M310" s="396"/>
      <c r="N310" s="396"/>
      <c r="O310" s="396"/>
      <c r="P310" s="396"/>
      <c r="Q310" s="259"/>
      <c r="R310" s="259"/>
      <c r="S310" s="259"/>
      <c r="T310" s="259"/>
      <c r="U310" s="259"/>
      <c r="V310" s="259"/>
      <c r="W310" s="259"/>
      <c r="X310" s="259"/>
      <c r="Y310" s="259"/>
      <c r="Z310" s="259"/>
      <c r="AA310" s="259"/>
      <c r="AB310" s="259"/>
      <c r="AC310" s="259"/>
      <c r="AD310" s="259"/>
      <c r="AE310" s="259"/>
      <c r="AF310" s="259"/>
      <c r="AG310" s="259"/>
      <c r="AH310" s="259"/>
      <c r="AI310" s="259"/>
      <c r="AJ310" s="259"/>
      <c r="AK310" s="259"/>
      <c r="AL310" s="259"/>
      <c r="AM310" s="259"/>
      <c r="AN310" s="259"/>
      <c r="AO310" s="259"/>
      <c r="AP310" s="259"/>
      <c r="AQ310" s="259"/>
      <c r="AR310" s="259"/>
      <c r="AS310" s="259"/>
    </row>
    <row r="311" spans="1:45" x14ac:dyDescent="0.25">
      <c r="A311" s="396"/>
      <c r="B311" s="396"/>
      <c r="C311" s="396"/>
      <c r="D311" s="396"/>
      <c r="E311" s="396"/>
      <c r="F311" s="396"/>
      <c r="G311" s="396"/>
      <c r="H311" s="396"/>
      <c r="I311" s="396"/>
      <c r="J311" s="396"/>
      <c r="K311" s="396"/>
      <c r="L311" s="396"/>
      <c r="M311" s="396"/>
      <c r="N311" s="396"/>
      <c r="O311" s="396"/>
      <c r="P311" s="396"/>
      <c r="Q311" s="259"/>
      <c r="R311" s="259"/>
      <c r="S311" s="259"/>
      <c r="T311" s="259"/>
      <c r="U311" s="259"/>
      <c r="V311" s="259"/>
      <c r="W311" s="259"/>
      <c r="X311" s="259"/>
      <c r="Y311" s="259"/>
      <c r="Z311" s="259"/>
      <c r="AA311" s="259"/>
      <c r="AB311" s="259"/>
      <c r="AC311" s="259"/>
      <c r="AD311" s="259"/>
      <c r="AE311" s="259"/>
      <c r="AF311" s="259"/>
      <c r="AG311" s="259"/>
      <c r="AH311" s="259"/>
      <c r="AI311" s="259"/>
      <c r="AJ311" s="259"/>
      <c r="AK311" s="259"/>
      <c r="AL311" s="259"/>
      <c r="AM311" s="259"/>
      <c r="AN311" s="259"/>
      <c r="AO311" s="259"/>
      <c r="AP311" s="259"/>
      <c r="AQ311" s="259"/>
      <c r="AR311" s="259"/>
      <c r="AS311" s="259"/>
    </row>
    <row r="312" spans="1:45" x14ac:dyDescent="0.25">
      <c r="A312" s="396"/>
      <c r="B312" s="396"/>
      <c r="C312" s="396"/>
      <c r="D312" s="396"/>
      <c r="E312" s="396"/>
      <c r="F312" s="396"/>
      <c r="G312" s="396"/>
      <c r="H312" s="396"/>
      <c r="I312" s="396"/>
      <c r="J312" s="396"/>
      <c r="K312" s="396"/>
      <c r="L312" s="396"/>
      <c r="M312" s="396"/>
      <c r="N312" s="396"/>
      <c r="O312" s="396"/>
      <c r="P312" s="396"/>
      <c r="Q312" s="259"/>
      <c r="R312" s="259"/>
      <c r="S312" s="259"/>
      <c r="T312" s="259"/>
      <c r="U312" s="259"/>
      <c r="V312" s="259"/>
      <c r="W312" s="259"/>
      <c r="X312" s="259"/>
      <c r="Y312" s="259"/>
      <c r="Z312" s="259"/>
      <c r="AA312" s="259"/>
      <c r="AB312" s="259"/>
      <c r="AC312" s="259"/>
      <c r="AD312" s="259"/>
      <c r="AE312" s="259"/>
      <c r="AF312" s="259"/>
      <c r="AG312" s="259"/>
      <c r="AH312" s="259"/>
      <c r="AI312" s="259"/>
      <c r="AJ312" s="259"/>
      <c r="AK312" s="259"/>
      <c r="AL312" s="259"/>
      <c r="AM312" s="259"/>
      <c r="AN312" s="259"/>
      <c r="AO312" s="259"/>
      <c r="AP312" s="259"/>
      <c r="AQ312" s="259"/>
      <c r="AR312" s="259"/>
      <c r="AS312" s="259"/>
    </row>
    <row r="313" spans="1:45" x14ac:dyDescent="0.25">
      <c r="A313" s="396"/>
      <c r="B313" s="396"/>
      <c r="C313" s="396"/>
      <c r="D313" s="396"/>
      <c r="E313" s="396"/>
      <c r="F313" s="396"/>
      <c r="G313" s="396"/>
      <c r="H313" s="396"/>
      <c r="I313" s="396"/>
      <c r="J313" s="396"/>
      <c r="K313" s="396"/>
      <c r="L313" s="396"/>
      <c r="M313" s="396"/>
      <c r="N313" s="396"/>
      <c r="O313" s="396"/>
      <c r="P313" s="396"/>
      <c r="Q313" s="259"/>
      <c r="R313" s="259"/>
      <c r="S313" s="259"/>
      <c r="T313" s="259"/>
      <c r="U313" s="259"/>
      <c r="V313" s="259"/>
      <c r="W313" s="259"/>
      <c r="X313" s="259"/>
      <c r="Y313" s="259"/>
      <c r="Z313" s="259"/>
      <c r="AA313" s="259"/>
      <c r="AB313" s="259"/>
      <c r="AC313" s="259"/>
      <c r="AD313" s="259"/>
      <c r="AE313" s="259"/>
      <c r="AF313" s="259"/>
      <c r="AG313" s="259"/>
      <c r="AH313" s="259"/>
      <c r="AI313" s="259"/>
      <c r="AJ313" s="259"/>
      <c r="AK313" s="259"/>
      <c r="AL313" s="259"/>
      <c r="AM313" s="259"/>
      <c r="AN313" s="259"/>
      <c r="AO313" s="259"/>
      <c r="AP313" s="259"/>
      <c r="AQ313" s="259"/>
      <c r="AR313" s="259"/>
      <c r="AS313" s="259"/>
    </row>
    <row r="314" spans="1:45" x14ac:dyDescent="0.25">
      <c r="A314" s="396"/>
      <c r="B314" s="396"/>
      <c r="C314" s="396"/>
      <c r="D314" s="396"/>
      <c r="E314" s="396"/>
      <c r="F314" s="396"/>
      <c r="G314" s="396"/>
      <c r="H314" s="396"/>
      <c r="I314" s="396"/>
      <c r="J314" s="396"/>
      <c r="K314" s="396"/>
      <c r="L314" s="396"/>
      <c r="M314" s="396"/>
      <c r="N314" s="396"/>
      <c r="O314" s="396"/>
      <c r="P314" s="396"/>
      <c r="Q314" s="259"/>
      <c r="R314" s="259"/>
      <c r="S314" s="259"/>
      <c r="T314" s="259"/>
      <c r="U314" s="259"/>
      <c r="V314" s="259"/>
      <c r="W314" s="259"/>
      <c r="X314" s="259"/>
      <c r="Y314" s="259"/>
      <c r="Z314" s="259"/>
      <c r="AA314" s="259"/>
      <c r="AB314" s="259"/>
      <c r="AC314" s="259"/>
      <c r="AD314" s="259"/>
      <c r="AE314" s="259"/>
      <c r="AF314" s="259"/>
      <c r="AG314" s="259"/>
      <c r="AH314" s="259"/>
      <c r="AI314" s="259"/>
      <c r="AJ314" s="259"/>
      <c r="AK314" s="259"/>
      <c r="AL314" s="259"/>
      <c r="AM314" s="259"/>
      <c r="AN314" s="259"/>
      <c r="AO314" s="259"/>
      <c r="AP314" s="259"/>
      <c r="AQ314" s="259"/>
      <c r="AR314" s="259"/>
      <c r="AS314" s="259"/>
    </row>
    <row r="315" spans="1:45" x14ac:dyDescent="0.25">
      <c r="A315" s="396"/>
      <c r="B315" s="396"/>
      <c r="C315" s="396"/>
      <c r="D315" s="396"/>
      <c r="E315" s="396"/>
      <c r="F315" s="396"/>
      <c r="G315" s="396"/>
      <c r="H315" s="396"/>
      <c r="I315" s="396"/>
      <c r="J315" s="396"/>
      <c r="K315" s="396"/>
      <c r="L315" s="396"/>
      <c r="M315" s="396"/>
      <c r="N315" s="396"/>
      <c r="O315" s="396"/>
      <c r="P315" s="396"/>
      <c r="Q315" s="259"/>
      <c r="R315" s="259"/>
      <c r="S315" s="259"/>
      <c r="T315" s="259"/>
      <c r="U315" s="259"/>
      <c r="V315" s="259"/>
      <c r="W315" s="259"/>
      <c r="X315" s="259"/>
      <c r="Y315" s="259"/>
      <c r="Z315" s="259"/>
      <c r="AA315" s="259"/>
      <c r="AB315" s="259"/>
      <c r="AC315" s="259"/>
      <c r="AD315" s="259"/>
      <c r="AE315" s="259"/>
      <c r="AF315" s="259"/>
      <c r="AG315" s="259"/>
      <c r="AH315" s="259"/>
      <c r="AI315" s="259"/>
      <c r="AJ315" s="259"/>
      <c r="AK315" s="259"/>
      <c r="AL315" s="259"/>
      <c r="AM315" s="259"/>
      <c r="AN315" s="259"/>
      <c r="AO315" s="259"/>
      <c r="AP315" s="259"/>
      <c r="AQ315" s="259"/>
      <c r="AR315" s="259"/>
      <c r="AS315" s="259"/>
    </row>
    <row r="316" spans="1:45" x14ac:dyDescent="0.25">
      <c r="A316" s="396"/>
      <c r="B316" s="396"/>
      <c r="C316" s="396"/>
      <c r="D316" s="396"/>
      <c r="E316" s="396"/>
      <c r="F316" s="396"/>
      <c r="G316" s="396"/>
      <c r="H316" s="396"/>
      <c r="I316" s="396"/>
      <c r="J316" s="396"/>
      <c r="K316" s="396"/>
      <c r="L316" s="396"/>
      <c r="M316" s="396"/>
      <c r="N316" s="396"/>
      <c r="O316" s="396"/>
      <c r="P316" s="396"/>
      <c r="Q316" s="259"/>
      <c r="R316" s="259"/>
      <c r="S316" s="259"/>
      <c r="T316" s="259"/>
      <c r="U316" s="259"/>
      <c r="V316" s="259"/>
      <c r="W316" s="259"/>
      <c r="X316" s="259"/>
      <c r="Y316" s="259"/>
      <c r="Z316" s="259"/>
      <c r="AA316" s="259"/>
      <c r="AB316" s="259"/>
      <c r="AC316" s="259"/>
      <c r="AD316" s="259"/>
      <c r="AE316" s="259"/>
      <c r="AF316" s="259"/>
      <c r="AG316" s="259"/>
      <c r="AH316" s="259"/>
      <c r="AI316" s="259"/>
      <c r="AJ316" s="259"/>
      <c r="AK316" s="259"/>
      <c r="AL316" s="259"/>
      <c r="AM316" s="259"/>
      <c r="AN316" s="259"/>
      <c r="AO316" s="259"/>
      <c r="AP316" s="259"/>
      <c r="AQ316" s="259"/>
      <c r="AR316" s="259"/>
      <c r="AS316" s="259"/>
    </row>
    <row r="317" spans="1:45" x14ac:dyDescent="0.25">
      <c r="A317" s="396"/>
      <c r="B317" s="396"/>
      <c r="C317" s="396"/>
      <c r="D317" s="396"/>
      <c r="E317" s="396"/>
      <c r="F317" s="396"/>
      <c r="G317" s="396"/>
      <c r="H317" s="396"/>
      <c r="I317" s="396"/>
      <c r="J317" s="396"/>
      <c r="K317" s="396"/>
      <c r="L317" s="396"/>
      <c r="M317" s="396"/>
      <c r="N317" s="396"/>
      <c r="O317" s="396"/>
      <c r="P317" s="396"/>
      <c r="Q317" s="259"/>
      <c r="R317" s="259"/>
      <c r="S317" s="259"/>
      <c r="T317" s="259"/>
      <c r="U317" s="259"/>
      <c r="V317" s="259"/>
      <c r="W317" s="259"/>
      <c r="X317" s="259"/>
      <c r="Y317" s="259"/>
      <c r="Z317" s="259"/>
      <c r="AA317" s="259"/>
      <c r="AB317" s="259"/>
      <c r="AC317" s="259"/>
      <c r="AD317" s="259"/>
      <c r="AE317" s="259"/>
      <c r="AF317" s="259"/>
      <c r="AG317" s="259"/>
      <c r="AH317" s="259"/>
      <c r="AI317" s="259"/>
      <c r="AJ317" s="259"/>
      <c r="AK317" s="259"/>
      <c r="AL317" s="259"/>
      <c r="AM317" s="259"/>
      <c r="AN317" s="259"/>
      <c r="AO317" s="259"/>
      <c r="AP317" s="259"/>
      <c r="AQ317" s="259"/>
      <c r="AR317" s="259"/>
      <c r="AS317" s="259"/>
    </row>
    <row r="318" spans="1:45" x14ac:dyDescent="0.25">
      <c r="A318" s="396"/>
      <c r="B318" s="396"/>
      <c r="C318" s="396"/>
      <c r="D318" s="396"/>
      <c r="E318" s="396"/>
      <c r="F318" s="396"/>
      <c r="G318" s="396"/>
      <c r="H318" s="396"/>
      <c r="I318" s="396"/>
      <c r="J318" s="396"/>
      <c r="K318" s="396"/>
      <c r="L318" s="396"/>
      <c r="M318" s="396"/>
      <c r="N318" s="396"/>
      <c r="O318" s="396"/>
      <c r="P318" s="396"/>
      <c r="Q318" s="259"/>
      <c r="R318" s="259"/>
      <c r="S318" s="259"/>
      <c r="T318" s="259"/>
      <c r="U318" s="259"/>
      <c r="V318" s="259"/>
      <c r="W318" s="259"/>
      <c r="X318" s="259"/>
      <c r="Y318" s="259"/>
      <c r="Z318" s="259"/>
      <c r="AA318" s="259"/>
      <c r="AB318" s="259"/>
      <c r="AC318" s="259"/>
      <c r="AD318" s="259"/>
      <c r="AE318" s="259"/>
      <c r="AF318" s="259"/>
      <c r="AG318" s="259"/>
      <c r="AH318" s="259"/>
      <c r="AI318" s="259"/>
      <c r="AJ318" s="259"/>
      <c r="AK318" s="259"/>
      <c r="AL318" s="259"/>
      <c r="AM318" s="259"/>
      <c r="AN318" s="259"/>
      <c r="AO318" s="259"/>
      <c r="AP318" s="259"/>
      <c r="AQ318" s="259"/>
      <c r="AR318" s="259"/>
      <c r="AS318" s="259"/>
    </row>
    <row r="319" spans="1:45" x14ac:dyDescent="0.25">
      <c r="A319" s="396"/>
      <c r="B319" s="396"/>
      <c r="C319" s="396"/>
      <c r="D319" s="396"/>
      <c r="E319" s="396"/>
      <c r="F319" s="396"/>
      <c r="G319" s="396"/>
      <c r="H319" s="396"/>
      <c r="I319" s="396"/>
      <c r="J319" s="396"/>
      <c r="K319" s="396"/>
      <c r="L319" s="396"/>
      <c r="M319" s="396"/>
      <c r="N319" s="396"/>
      <c r="O319" s="396"/>
      <c r="P319" s="396"/>
      <c r="Q319" s="259"/>
      <c r="R319" s="259"/>
      <c r="S319" s="259"/>
      <c r="T319" s="259"/>
      <c r="U319" s="259"/>
      <c r="V319" s="259"/>
      <c r="W319" s="259"/>
      <c r="X319" s="259"/>
      <c r="Y319" s="259"/>
      <c r="Z319" s="259"/>
      <c r="AA319" s="259"/>
      <c r="AB319" s="259"/>
      <c r="AC319" s="259"/>
      <c r="AD319" s="259"/>
      <c r="AE319" s="259"/>
      <c r="AF319" s="259"/>
      <c r="AG319" s="259"/>
      <c r="AH319" s="259"/>
      <c r="AI319" s="259"/>
      <c r="AJ319" s="259"/>
      <c r="AK319" s="259"/>
      <c r="AL319" s="259"/>
      <c r="AM319" s="259"/>
      <c r="AN319" s="259"/>
      <c r="AO319" s="259"/>
      <c r="AP319" s="259"/>
      <c r="AQ319" s="259"/>
      <c r="AR319" s="259"/>
      <c r="AS319" s="259"/>
    </row>
    <row r="320" spans="1:45" x14ac:dyDescent="0.25">
      <c r="A320" s="396"/>
      <c r="B320" s="396"/>
      <c r="C320" s="396"/>
      <c r="D320" s="396"/>
      <c r="E320" s="396"/>
      <c r="F320" s="396"/>
      <c r="G320" s="396"/>
      <c r="H320" s="396"/>
      <c r="I320" s="396"/>
      <c r="J320" s="396"/>
      <c r="K320" s="396"/>
      <c r="L320" s="396"/>
      <c r="M320" s="396"/>
      <c r="N320" s="396"/>
      <c r="O320" s="396"/>
      <c r="P320" s="396"/>
      <c r="Q320" s="259"/>
      <c r="R320" s="259"/>
      <c r="S320" s="259"/>
      <c r="T320" s="259"/>
      <c r="U320" s="259"/>
      <c r="V320" s="259"/>
      <c r="W320" s="259"/>
      <c r="X320" s="259"/>
      <c r="Y320" s="259"/>
      <c r="Z320" s="259"/>
      <c r="AA320" s="259"/>
      <c r="AB320" s="259"/>
      <c r="AC320" s="259"/>
      <c r="AD320" s="259"/>
      <c r="AE320" s="259"/>
      <c r="AF320" s="259"/>
      <c r="AG320" s="259"/>
      <c r="AH320" s="259"/>
      <c r="AI320" s="259"/>
      <c r="AJ320" s="259"/>
      <c r="AK320" s="259"/>
      <c r="AL320" s="259"/>
      <c r="AM320" s="259"/>
      <c r="AN320" s="259"/>
      <c r="AO320" s="259"/>
      <c r="AP320" s="259"/>
      <c r="AQ320" s="259"/>
      <c r="AR320" s="259"/>
      <c r="AS320" s="259"/>
    </row>
    <row r="321" spans="1:45" x14ac:dyDescent="0.25">
      <c r="A321" s="396"/>
      <c r="B321" s="396"/>
      <c r="C321" s="396"/>
      <c r="D321" s="396"/>
      <c r="E321" s="396"/>
      <c r="F321" s="396"/>
      <c r="G321" s="396"/>
      <c r="H321" s="396"/>
      <c r="I321" s="396"/>
      <c r="J321" s="396"/>
      <c r="K321" s="396"/>
      <c r="L321" s="396"/>
      <c r="M321" s="396"/>
      <c r="N321" s="396"/>
      <c r="O321" s="396"/>
      <c r="P321" s="396"/>
      <c r="Q321" s="259"/>
      <c r="R321" s="259"/>
      <c r="S321" s="259"/>
      <c r="T321" s="259"/>
      <c r="U321" s="259"/>
      <c r="V321" s="259"/>
      <c r="W321" s="259"/>
      <c r="X321" s="259"/>
      <c r="Y321" s="259"/>
      <c r="Z321" s="259"/>
      <c r="AA321" s="259"/>
      <c r="AB321" s="259"/>
      <c r="AC321" s="259"/>
      <c r="AD321" s="259"/>
      <c r="AE321" s="259"/>
      <c r="AF321" s="259"/>
      <c r="AG321" s="259"/>
      <c r="AH321" s="259"/>
      <c r="AI321" s="259"/>
      <c r="AJ321" s="259"/>
      <c r="AK321" s="259"/>
      <c r="AL321" s="259"/>
      <c r="AM321" s="259"/>
      <c r="AN321" s="259"/>
      <c r="AO321" s="259"/>
      <c r="AP321" s="259"/>
      <c r="AQ321" s="259"/>
      <c r="AR321" s="259"/>
      <c r="AS321" s="259"/>
    </row>
    <row r="322" spans="1:45" x14ac:dyDescent="0.25">
      <c r="A322" s="396"/>
      <c r="B322" s="396"/>
      <c r="C322" s="396"/>
      <c r="D322" s="396"/>
      <c r="E322" s="396"/>
      <c r="F322" s="396"/>
      <c r="G322" s="396"/>
      <c r="H322" s="396"/>
      <c r="I322" s="396"/>
      <c r="J322" s="396"/>
      <c r="K322" s="396"/>
      <c r="L322" s="396"/>
      <c r="M322" s="396"/>
      <c r="N322" s="396"/>
      <c r="O322" s="396"/>
      <c r="P322" s="396"/>
      <c r="Q322" s="259"/>
      <c r="R322" s="259"/>
      <c r="S322" s="259"/>
      <c r="T322" s="259"/>
      <c r="U322" s="259"/>
      <c r="V322" s="259"/>
      <c r="W322" s="259"/>
      <c r="X322" s="259"/>
      <c r="Y322" s="259"/>
      <c r="Z322" s="259"/>
      <c r="AA322" s="259"/>
      <c r="AB322" s="259"/>
      <c r="AC322" s="259"/>
      <c r="AD322" s="259"/>
      <c r="AE322" s="259"/>
      <c r="AF322" s="259"/>
      <c r="AG322" s="259"/>
      <c r="AH322" s="259"/>
      <c r="AI322" s="259"/>
      <c r="AJ322" s="259"/>
      <c r="AK322" s="259"/>
      <c r="AL322" s="259"/>
      <c r="AM322" s="259"/>
      <c r="AN322" s="259"/>
      <c r="AO322" s="259"/>
      <c r="AP322" s="259"/>
      <c r="AQ322" s="259"/>
      <c r="AR322" s="259"/>
      <c r="AS322" s="259"/>
    </row>
    <row r="323" spans="1:45" x14ac:dyDescent="0.25">
      <c r="A323" s="396"/>
      <c r="B323" s="396"/>
      <c r="C323" s="396"/>
      <c r="D323" s="396"/>
      <c r="E323" s="396"/>
      <c r="F323" s="396"/>
      <c r="G323" s="396"/>
      <c r="H323" s="396"/>
      <c r="I323" s="396"/>
      <c r="J323" s="396"/>
      <c r="K323" s="396"/>
      <c r="L323" s="396"/>
      <c r="M323" s="396"/>
      <c r="N323" s="396"/>
      <c r="O323" s="396"/>
      <c r="P323" s="396"/>
      <c r="Q323" s="259"/>
      <c r="R323" s="259"/>
      <c r="S323" s="259"/>
      <c r="T323" s="259"/>
      <c r="U323" s="259"/>
      <c r="V323" s="259"/>
      <c r="W323" s="259"/>
      <c r="X323" s="259"/>
      <c r="Y323" s="259"/>
      <c r="Z323" s="259"/>
      <c r="AA323" s="259"/>
      <c r="AB323" s="259"/>
      <c r="AC323" s="259"/>
      <c r="AD323" s="259"/>
      <c r="AE323" s="259"/>
      <c r="AF323" s="259"/>
      <c r="AG323" s="259"/>
      <c r="AH323" s="259"/>
      <c r="AI323" s="259"/>
      <c r="AJ323" s="259"/>
      <c r="AK323" s="259"/>
      <c r="AL323" s="259"/>
      <c r="AM323" s="259"/>
      <c r="AN323" s="259"/>
      <c r="AO323" s="259"/>
      <c r="AP323" s="259"/>
      <c r="AQ323" s="259"/>
      <c r="AR323" s="259"/>
      <c r="AS323" s="259"/>
    </row>
    <row r="324" spans="1:45" x14ac:dyDescent="0.25">
      <c r="A324" s="396"/>
      <c r="B324" s="396"/>
      <c r="C324" s="396"/>
      <c r="D324" s="396"/>
      <c r="E324" s="396"/>
      <c r="F324" s="396"/>
      <c r="G324" s="396"/>
      <c r="H324" s="396"/>
      <c r="I324" s="396"/>
      <c r="J324" s="396"/>
      <c r="K324" s="396"/>
      <c r="L324" s="396"/>
      <c r="M324" s="396"/>
      <c r="N324" s="396"/>
      <c r="O324" s="396"/>
      <c r="P324" s="396"/>
      <c r="Q324" s="259"/>
      <c r="R324" s="259"/>
      <c r="S324" s="259"/>
      <c r="T324" s="259"/>
      <c r="U324" s="259"/>
      <c r="V324" s="259"/>
      <c r="W324" s="259"/>
      <c r="X324" s="259"/>
      <c r="Y324" s="259"/>
      <c r="Z324" s="259"/>
      <c r="AA324" s="259"/>
      <c r="AB324" s="259"/>
      <c r="AC324" s="259"/>
      <c r="AD324" s="259"/>
      <c r="AE324" s="259"/>
      <c r="AF324" s="259"/>
      <c r="AG324" s="259"/>
      <c r="AH324" s="259"/>
      <c r="AI324" s="259"/>
      <c r="AJ324" s="259"/>
      <c r="AK324" s="259"/>
      <c r="AL324" s="259"/>
      <c r="AM324" s="259"/>
      <c r="AN324" s="259"/>
      <c r="AO324" s="259"/>
      <c r="AP324" s="259"/>
      <c r="AQ324" s="259"/>
      <c r="AR324" s="259"/>
      <c r="AS324" s="259"/>
    </row>
    <row r="325" spans="1:45" x14ac:dyDescent="0.25">
      <c r="A325" s="396"/>
      <c r="B325" s="396"/>
      <c r="C325" s="396"/>
      <c r="D325" s="396"/>
      <c r="E325" s="396"/>
      <c r="F325" s="396"/>
      <c r="G325" s="396"/>
      <c r="H325" s="396"/>
      <c r="I325" s="396"/>
      <c r="J325" s="396"/>
      <c r="K325" s="396"/>
      <c r="L325" s="396"/>
      <c r="M325" s="396"/>
      <c r="N325" s="396"/>
      <c r="O325" s="396"/>
      <c r="P325" s="396"/>
      <c r="Q325" s="259"/>
      <c r="R325" s="259"/>
      <c r="S325" s="259"/>
      <c r="T325" s="259"/>
      <c r="U325" s="259"/>
      <c r="V325" s="259"/>
      <c r="W325" s="259"/>
      <c r="X325" s="259"/>
      <c r="Y325" s="259"/>
      <c r="Z325" s="259"/>
      <c r="AA325" s="259"/>
      <c r="AB325" s="259"/>
      <c r="AC325" s="259"/>
      <c r="AD325" s="259"/>
      <c r="AE325" s="259"/>
      <c r="AF325" s="259"/>
      <c r="AG325" s="259"/>
      <c r="AH325" s="259"/>
      <c r="AI325" s="259"/>
      <c r="AJ325" s="259"/>
      <c r="AK325" s="259"/>
      <c r="AL325" s="259"/>
      <c r="AM325" s="259"/>
      <c r="AN325" s="259"/>
      <c r="AO325" s="259"/>
      <c r="AP325" s="259"/>
      <c r="AQ325" s="259"/>
      <c r="AR325" s="259"/>
      <c r="AS325" s="259"/>
    </row>
    <row r="326" spans="1:45" x14ac:dyDescent="0.25">
      <c r="A326" s="396"/>
      <c r="B326" s="396"/>
      <c r="C326" s="396"/>
      <c r="D326" s="396"/>
      <c r="E326" s="396"/>
      <c r="F326" s="396"/>
      <c r="G326" s="396"/>
      <c r="H326" s="396"/>
      <c r="I326" s="396"/>
      <c r="J326" s="396"/>
      <c r="K326" s="396"/>
      <c r="L326" s="396"/>
      <c r="M326" s="396"/>
      <c r="N326" s="396"/>
      <c r="O326" s="396"/>
      <c r="P326" s="396"/>
      <c r="Q326" s="259"/>
      <c r="R326" s="259"/>
      <c r="S326" s="259"/>
      <c r="T326" s="259"/>
      <c r="U326" s="259"/>
      <c r="V326" s="259"/>
      <c r="W326" s="259"/>
      <c r="X326" s="259"/>
      <c r="Y326" s="259"/>
      <c r="Z326" s="259"/>
      <c r="AA326" s="259"/>
      <c r="AB326" s="259"/>
      <c r="AC326" s="259"/>
      <c r="AD326" s="259"/>
      <c r="AE326" s="259"/>
      <c r="AF326" s="259"/>
      <c r="AG326" s="259"/>
      <c r="AH326" s="259"/>
      <c r="AI326" s="259"/>
      <c r="AJ326" s="259"/>
      <c r="AK326" s="259"/>
      <c r="AL326" s="259"/>
      <c r="AM326" s="259"/>
      <c r="AN326" s="259"/>
      <c r="AO326" s="259"/>
      <c r="AP326" s="259"/>
      <c r="AQ326" s="259"/>
      <c r="AR326" s="259"/>
      <c r="AS326" s="259"/>
    </row>
    <row r="327" spans="1:45" x14ac:dyDescent="0.25">
      <c r="A327" s="396"/>
      <c r="B327" s="396"/>
      <c r="C327" s="396"/>
      <c r="D327" s="396"/>
      <c r="E327" s="396"/>
      <c r="F327" s="396"/>
      <c r="G327" s="396"/>
      <c r="H327" s="396"/>
      <c r="I327" s="396"/>
      <c r="J327" s="396"/>
      <c r="K327" s="396"/>
      <c r="L327" s="396"/>
      <c r="M327" s="396"/>
      <c r="N327" s="396"/>
      <c r="O327" s="396"/>
      <c r="P327" s="396"/>
      <c r="Q327" s="259"/>
      <c r="R327" s="259"/>
      <c r="S327" s="259"/>
      <c r="T327" s="259"/>
      <c r="U327" s="259"/>
      <c r="V327" s="259"/>
      <c r="W327" s="259"/>
      <c r="X327" s="259"/>
      <c r="Y327" s="259"/>
      <c r="Z327" s="259"/>
      <c r="AA327" s="259"/>
      <c r="AB327" s="259"/>
      <c r="AC327" s="259"/>
      <c r="AD327" s="259"/>
      <c r="AE327" s="259"/>
      <c r="AF327" s="259"/>
      <c r="AG327" s="259"/>
      <c r="AH327" s="259"/>
      <c r="AI327" s="259"/>
      <c r="AJ327" s="259"/>
      <c r="AK327" s="259"/>
      <c r="AL327" s="259"/>
      <c r="AM327" s="259"/>
      <c r="AN327" s="259"/>
      <c r="AO327" s="259"/>
      <c r="AP327" s="259"/>
      <c r="AQ327" s="259"/>
      <c r="AR327" s="259"/>
      <c r="AS327" s="259"/>
    </row>
    <row r="328" spans="1:45" x14ac:dyDescent="0.25">
      <c r="A328" s="396"/>
      <c r="B328" s="396"/>
      <c r="C328" s="396"/>
      <c r="D328" s="396"/>
      <c r="E328" s="396"/>
      <c r="F328" s="396"/>
      <c r="G328" s="396"/>
      <c r="H328" s="396"/>
      <c r="I328" s="396"/>
      <c r="J328" s="396"/>
      <c r="K328" s="396"/>
      <c r="L328" s="396"/>
      <c r="M328" s="396"/>
      <c r="N328" s="396"/>
      <c r="O328" s="396"/>
      <c r="P328" s="396"/>
      <c r="Q328" s="259"/>
      <c r="R328" s="259"/>
      <c r="S328" s="259"/>
      <c r="T328" s="259"/>
      <c r="U328" s="259"/>
      <c r="V328" s="259"/>
      <c r="W328" s="259"/>
      <c r="X328" s="259"/>
      <c r="Y328" s="259"/>
      <c r="Z328" s="259"/>
      <c r="AA328" s="259"/>
      <c r="AB328" s="259"/>
      <c r="AC328" s="259"/>
      <c r="AD328" s="259"/>
      <c r="AE328" s="259"/>
      <c r="AF328" s="259"/>
      <c r="AG328" s="259"/>
      <c r="AH328" s="259"/>
      <c r="AI328" s="259"/>
      <c r="AJ328" s="259"/>
      <c r="AK328" s="259"/>
      <c r="AL328" s="259"/>
      <c r="AM328" s="259"/>
      <c r="AN328" s="259"/>
      <c r="AO328" s="259"/>
      <c r="AP328" s="259"/>
      <c r="AQ328" s="259"/>
      <c r="AR328" s="259"/>
      <c r="AS328" s="259"/>
    </row>
    <row r="329" spans="1:45" x14ac:dyDescent="0.25">
      <c r="A329" s="396"/>
      <c r="B329" s="396"/>
      <c r="C329" s="396"/>
      <c r="D329" s="396"/>
      <c r="E329" s="396"/>
      <c r="F329" s="396"/>
      <c r="G329" s="396"/>
      <c r="H329" s="396"/>
      <c r="I329" s="396"/>
      <c r="J329" s="396"/>
      <c r="K329" s="396"/>
      <c r="L329" s="396"/>
      <c r="M329" s="396"/>
      <c r="N329" s="396"/>
      <c r="O329" s="396"/>
      <c r="P329" s="396"/>
      <c r="Q329" s="259"/>
      <c r="R329" s="259"/>
      <c r="S329" s="259"/>
      <c r="T329" s="259"/>
      <c r="U329" s="259"/>
      <c r="V329" s="259"/>
      <c r="W329" s="259"/>
      <c r="X329" s="259"/>
      <c r="Y329" s="259"/>
      <c r="Z329" s="259"/>
      <c r="AA329" s="259"/>
      <c r="AB329" s="259"/>
      <c r="AC329" s="259"/>
      <c r="AD329" s="259"/>
      <c r="AE329" s="259"/>
      <c r="AF329" s="259"/>
      <c r="AG329" s="259"/>
      <c r="AH329" s="259"/>
      <c r="AI329" s="259"/>
      <c r="AJ329" s="259"/>
      <c r="AK329" s="259"/>
      <c r="AL329" s="259"/>
      <c r="AM329" s="259"/>
      <c r="AN329" s="259"/>
      <c r="AO329" s="259"/>
      <c r="AP329" s="259"/>
      <c r="AQ329" s="259"/>
      <c r="AR329" s="259"/>
      <c r="AS329" s="259"/>
    </row>
    <row r="330" spans="1:45" x14ac:dyDescent="0.25">
      <c r="A330" s="396"/>
      <c r="B330" s="396"/>
      <c r="C330" s="396"/>
      <c r="D330" s="396"/>
      <c r="E330" s="396"/>
      <c r="F330" s="396"/>
      <c r="G330" s="396"/>
      <c r="H330" s="396"/>
      <c r="I330" s="396"/>
      <c r="J330" s="396"/>
      <c r="K330" s="396"/>
      <c r="L330" s="396"/>
      <c r="M330" s="396"/>
      <c r="N330" s="396"/>
      <c r="O330" s="396"/>
      <c r="P330" s="396"/>
      <c r="Q330" s="259"/>
      <c r="R330" s="259"/>
      <c r="S330" s="259"/>
      <c r="T330" s="259"/>
      <c r="U330" s="259"/>
      <c r="V330" s="259"/>
      <c r="W330" s="259"/>
      <c r="X330" s="259"/>
      <c r="Y330" s="259"/>
      <c r="Z330" s="259"/>
      <c r="AA330" s="259"/>
      <c r="AB330" s="259"/>
      <c r="AC330" s="259"/>
      <c r="AD330" s="259"/>
      <c r="AE330" s="259"/>
      <c r="AF330" s="259"/>
      <c r="AG330" s="259"/>
      <c r="AH330" s="259"/>
      <c r="AI330" s="259"/>
      <c r="AJ330" s="259"/>
      <c r="AK330" s="259"/>
      <c r="AL330" s="259"/>
      <c r="AM330" s="259"/>
      <c r="AN330" s="259"/>
      <c r="AO330" s="259"/>
      <c r="AP330" s="259"/>
      <c r="AQ330" s="259"/>
      <c r="AR330" s="259"/>
      <c r="AS330" s="259"/>
    </row>
    <row r="331" spans="1:45" x14ac:dyDescent="0.25">
      <c r="A331" s="396"/>
      <c r="B331" s="396"/>
      <c r="C331" s="396"/>
      <c r="D331" s="396"/>
      <c r="E331" s="396"/>
      <c r="F331" s="396"/>
      <c r="G331" s="396"/>
      <c r="H331" s="396"/>
      <c r="I331" s="396"/>
      <c r="J331" s="396"/>
      <c r="K331" s="396"/>
      <c r="L331" s="396"/>
      <c r="M331" s="396"/>
      <c r="N331" s="396"/>
      <c r="O331" s="396"/>
      <c r="P331" s="396"/>
      <c r="Q331" s="259"/>
      <c r="R331" s="259"/>
      <c r="S331" s="259"/>
      <c r="T331" s="259"/>
      <c r="U331" s="259"/>
      <c r="V331" s="259"/>
      <c r="W331" s="259"/>
      <c r="X331" s="259"/>
      <c r="Y331" s="259"/>
      <c r="Z331" s="259"/>
      <c r="AA331" s="259"/>
      <c r="AB331" s="259"/>
      <c r="AC331" s="259"/>
      <c r="AD331" s="259"/>
      <c r="AE331" s="259"/>
      <c r="AF331" s="259"/>
      <c r="AG331" s="259"/>
      <c r="AH331" s="259"/>
      <c r="AI331" s="259"/>
      <c r="AJ331" s="259"/>
      <c r="AK331" s="259"/>
      <c r="AL331" s="259"/>
      <c r="AM331" s="259"/>
      <c r="AN331" s="259"/>
      <c r="AO331" s="259"/>
      <c r="AP331" s="259"/>
      <c r="AQ331" s="259"/>
      <c r="AR331" s="259"/>
      <c r="AS331" s="259"/>
    </row>
    <row r="332" spans="1:45" x14ac:dyDescent="0.25">
      <c r="A332" s="396"/>
      <c r="B332" s="396"/>
      <c r="C332" s="396"/>
      <c r="D332" s="396"/>
      <c r="E332" s="396"/>
      <c r="F332" s="396"/>
      <c r="G332" s="396"/>
      <c r="H332" s="396"/>
      <c r="I332" s="396"/>
      <c r="J332" s="396"/>
      <c r="K332" s="396"/>
      <c r="L332" s="396"/>
      <c r="M332" s="396"/>
      <c r="N332" s="396"/>
      <c r="O332" s="396"/>
      <c r="P332" s="396"/>
      <c r="Q332" s="259"/>
      <c r="R332" s="259"/>
      <c r="S332" s="259"/>
      <c r="T332" s="259"/>
      <c r="U332" s="259"/>
      <c r="V332" s="259"/>
      <c r="W332" s="259"/>
      <c r="X332" s="259"/>
      <c r="Y332" s="259"/>
      <c r="Z332" s="259"/>
      <c r="AA332" s="259"/>
      <c r="AB332" s="259"/>
      <c r="AC332" s="259"/>
      <c r="AD332" s="259"/>
      <c r="AE332" s="259"/>
      <c r="AF332" s="259"/>
      <c r="AG332" s="259"/>
      <c r="AH332" s="259"/>
      <c r="AI332" s="259"/>
      <c r="AJ332" s="259"/>
      <c r="AK332" s="259"/>
      <c r="AL332" s="259"/>
      <c r="AM332" s="259"/>
      <c r="AN332" s="259"/>
      <c r="AO332" s="259"/>
      <c r="AP332" s="259"/>
      <c r="AQ332" s="259"/>
      <c r="AR332" s="259"/>
      <c r="AS332" s="259"/>
    </row>
    <row r="333" spans="1:45" x14ac:dyDescent="0.25">
      <c r="A333" s="396"/>
      <c r="B333" s="396"/>
      <c r="C333" s="396"/>
      <c r="D333" s="396"/>
      <c r="E333" s="396"/>
      <c r="F333" s="396"/>
      <c r="G333" s="396"/>
      <c r="H333" s="396"/>
      <c r="I333" s="396"/>
      <c r="J333" s="396"/>
      <c r="K333" s="396"/>
      <c r="L333" s="396"/>
      <c r="M333" s="396"/>
      <c r="N333" s="396"/>
      <c r="O333" s="396"/>
      <c r="P333" s="396"/>
      <c r="Q333" s="259"/>
      <c r="R333" s="259"/>
      <c r="S333" s="259"/>
      <c r="T333" s="259"/>
      <c r="U333" s="259"/>
      <c r="V333" s="259"/>
      <c r="W333" s="259"/>
      <c r="X333" s="259"/>
      <c r="Y333" s="259"/>
      <c r="Z333" s="259"/>
      <c r="AA333" s="259"/>
      <c r="AB333" s="259"/>
      <c r="AC333" s="259"/>
      <c r="AD333" s="259"/>
      <c r="AE333" s="259"/>
      <c r="AF333" s="259"/>
      <c r="AG333" s="259"/>
      <c r="AH333" s="259"/>
      <c r="AI333" s="259"/>
      <c r="AJ333" s="259"/>
      <c r="AK333" s="259"/>
      <c r="AL333" s="259"/>
      <c r="AM333" s="259"/>
      <c r="AN333" s="259"/>
      <c r="AO333" s="259"/>
      <c r="AP333" s="259"/>
      <c r="AQ333" s="259"/>
      <c r="AR333" s="259"/>
      <c r="AS333" s="259"/>
    </row>
    <row r="334" spans="1:45" x14ac:dyDescent="0.25">
      <c r="A334" s="396"/>
      <c r="B334" s="396"/>
      <c r="C334" s="396"/>
      <c r="D334" s="396"/>
      <c r="E334" s="396"/>
      <c r="F334" s="396"/>
      <c r="G334" s="396"/>
      <c r="H334" s="396"/>
      <c r="I334" s="396"/>
      <c r="J334" s="396"/>
      <c r="K334" s="396"/>
      <c r="L334" s="396"/>
      <c r="M334" s="396"/>
      <c r="N334" s="396"/>
      <c r="O334" s="396"/>
      <c r="P334" s="396"/>
      <c r="Q334" s="259"/>
      <c r="R334" s="259"/>
      <c r="S334" s="259"/>
      <c r="T334" s="259"/>
      <c r="U334" s="259"/>
      <c r="V334" s="259"/>
      <c r="W334" s="259"/>
      <c r="X334" s="259"/>
      <c r="Y334" s="259"/>
      <c r="Z334" s="259"/>
      <c r="AA334" s="259"/>
      <c r="AB334" s="259"/>
      <c r="AC334" s="259"/>
      <c r="AD334" s="259"/>
      <c r="AE334" s="259"/>
      <c r="AF334" s="259"/>
      <c r="AG334" s="259"/>
      <c r="AH334" s="259"/>
      <c r="AI334" s="259"/>
      <c r="AJ334" s="259"/>
      <c r="AK334" s="259"/>
      <c r="AL334" s="259"/>
      <c r="AM334" s="259"/>
      <c r="AN334" s="259"/>
      <c r="AO334" s="259"/>
      <c r="AP334" s="259"/>
      <c r="AQ334" s="259"/>
      <c r="AR334" s="259"/>
      <c r="AS334" s="259"/>
    </row>
    <row r="335" spans="1:45" x14ac:dyDescent="0.25">
      <c r="A335" s="396"/>
      <c r="B335" s="396"/>
      <c r="C335" s="396"/>
      <c r="D335" s="396"/>
      <c r="E335" s="396"/>
      <c r="F335" s="396"/>
      <c r="G335" s="396"/>
      <c r="H335" s="396"/>
      <c r="I335" s="396"/>
      <c r="J335" s="396"/>
      <c r="K335" s="396"/>
      <c r="L335" s="396"/>
      <c r="M335" s="396"/>
      <c r="N335" s="396"/>
      <c r="O335" s="396"/>
      <c r="P335" s="396"/>
      <c r="Q335" s="259"/>
      <c r="R335" s="259"/>
      <c r="S335" s="259"/>
      <c r="T335" s="259"/>
      <c r="U335" s="259"/>
      <c r="V335" s="259"/>
      <c r="W335" s="259"/>
      <c r="X335" s="259"/>
      <c r="Y335" s="259"/>
      <c r="Z335" s="259"/>
      <c r="AA335" s="259"/>
      <c r="AB335" s="259"/>
      <c r="AC335" s="259"/>
      <c r="AD335" s="259"/>
      <c r="AE335" s="259"/>
      <c r="AF335" s="259"/>
      <c r="AG335" s="259"/>
      <c r="AH335" s="259"/>
      <c r="AI335" s="259"/>
      <c r="AJ335" s="259"/>
      <c r="AK335" s="259"/>
      <c r="AL335" s="259"/>
      <c r="AM335" s="259"/>
      <c r="AN335" s="259"/>
      <c r="AO335" s="259"/>
      <c r="AP335" s="259"/>
      <c r="AQ335" s="259"/>
      <c r="AR335" s="259"/>
      <c r="AS335" s="259"/>
    </row>
    <row r="336" spans="1:45" x14ac:dyDescent="0.25">
      <c r="A336" s="396"/>
      <c r="B336" s="396"/>
      <c r="C336" s="396"/>
      <c r="D336" s="396"/>
      <c r="E336" s="396"/>
      <c r="F336" s="396"/>
      <c r="G336" s="396"/>
      <c r="H336" s="396"/>
      <c r="I336" s="396"/>
      <c r="J336" s="396"/>
      <c r="K336" s="396"/>
      <c r="L336" s="396"/>
      <c r="M336" s="396"/>
      <c r="N336" s="396"/>
      <c r="O336" s="396"/>
      <c r="P336" s="396"/>
      <c r="Q336" s="259"/>
      <c r="R336" s="259"/>
      <c r="S336" s="259"/>
      <c r="T336" s="259"/>
      <c r="U336" s="259"/>
      <c r="V336" s="259"/>
      <c r="W336" s="259"/>
      <c r="X336" s="259"/>
      <c r="Y336" s="259"/>
      <c r="Z336" s="259"/>
      <c r="AA336" s="259"/>
      <c r="AB336" s="259"/>
      <c r="AC336" s="259"/>
      <c r="AD336" s="259"/>
      <c r="AE336" s="259"/>
      <c r="AF336" s="259"/>
      <c r="AG336" s="259"/>
      <c r="AH336" s="259"/>
      <c r="AI336" s="259"/>
      <c r="AJ336" s="259"/>
      <c r="AK336" s="259"/>
      <c r="AL336" s="259"/>
      <c r="AM336" s="259"/>
      <c r="AN336" s="259"/>
      <c r="AO336" s="259"/>
      <c r="AP336" s="259"/>
      <c r="AQ336" s="259"/>
      <c r="AR336" s="259"/>
      <c r="AS336" s="259"/>
    </row>
    <row r="337" spans="1:45" x14ac:dyDescent="0.25">
      <c r="A337" s="396"/>
      <c r="B337" s="396"/>
      <c r="C337" s="396"/>
      <c r="D337" s="396"/>
      <c r="E337" s="396"/>
      <c r="F337" s="396"/>
      <c r="G337" s="396"/>
      <c r="H337" s="396"/>
      <c r="I337" s="396"/>
      <c r="J337" s="396"/>
      <c r="K337" s="396"/>
      <c r="L337" s="396"/>
      <c r="M337" s="396"/>
      <c r="N337" s="396"/>
      <c r="O337" s="396"/>
      <c r="P337" s="396"/>
      <c r="Q337" s="259"/>
      <c r="R337" s="259"/>
      <c r="S337" s="259"/>
      <c r="T337" s="259"/>
      <c r="U337" s="259"/>
      <c r="V337" s="259"/>
      <c r="W337" s="259"/>
      <c r="X337" s="259"/>
      <c r="Y337" s="259"/>
      <c r="Z337" s="259"/>
      <c r="AA337" s="259"/>
      <c r="AB337" s="259"/>
      <c r="AC337" s="259"/>
      <c r="AD337" s="259"/>
      <c r="AE337" s="259"/>
      <c r="AF337" s="259"/>
      <c r="AG337" s="259"/>
      <c r="AH337" s="259"/>
      <c r="AI337" s="259"/>
      <c r="AJ337" s="259"/>
      <c r="AK337" s="259"/>
      <c r="AL337" s="259"/>
      <c r="AM337" s="259"/>
      <c r="AN337" s="259"/>
      <c r="AO337" s="259"/>
      <c r="AP337" s="259"/>
      <c r="AQ337" s="259"/>
      <c r="AR337" s="259"/>
      <c r="AS337" s="259"/>
    </row>
    <row r="338" spans="1:45" x14ac:dyDescent="0.25">
      <c r="A338" s="396"/>
      <c r="B338" s="396"/>
      <c r="C338" s="396"/>
      <c r="D338" s="396"/>
      <c r="E338" s="396"/>
      <c r="F338" s="396"/>
      <c r="G338" s="396"/>
      <c r="H338" s="396"/>
      <c r="I338" s="396"/>
      <c r="J338" s="396"/>
      <c r="K338" s="396"/>
      <c r="L338" s="396"/>
      <c r="M338" s="396"/>
      <c r="N338" s="396"/>
      <c r="O338" s="396"/>
      <c r="P338" s="396"/>
      <c r="Q338" s="259"/>
      <c r="R338" s="259"/>
      <c r="S338" s="259"/>
      <c r="T338" s="259"/>
      <c r="U338" s="259"/>
      <c r="V338" s="259"/>
      <c r="W338" s="259"/>
      <c r="X338" s="259"/>
      <c r="Y338" s="259"/>
      <c r="Z338" s="259"/>
      <c r="AA338" s="259"/>
      <c r="AB338" s="259"/>
      <c r="AC338" s="259"/>
      <c r="AD338" s="259"/>
      <c r="AE338" s="259"/>
      <c r="AF338" s="259"/>
      <c r="AG338" s="259"/>
      <c r="AH338" s="259"/>
      <c r="AI338" s="259"/>
      <c r="AJ338" s="259"/>
      <c r="AK338" s="259"/>
      <c r="AL338" s="259"/>
      <c r="AM338" s="259"/>
      <c r="AN338" s="259"/>
      <c r="AO338" s="259"/>
      <c r="AP338" s="259"/>
      <c r="AQ338" s="259"/>
      <c r="AR338" s="259"/>
      <c r="AS338" s="259"/>
    </row>
    <row r="339" spans="1:45" x14ac:dyDescent="0.25">
      <c r="A339" s="396"/>
      <c r="B339" s="396"/>
      <c r="C339" s="396"/>
      <c r="D339" s="396"/>
      <c r="E339" s="396"/>
      <c r="F339" s="396"/>
      <c r="G339" s="396"/>
      <c r="H339" s="396"/>
      <c r="I339" s="396"/>
      <c r="J339" s="396"/>
      <c r="K339" s="396"/>
      <c r="L339" s="396"/>
      <c r="M339" s="396"/>
      <c r="N339" s="396"/>
      <c r="O339" s="396"/>
      <c r="P339" s="396"/>
      <c r="Q339" s="259"/>
      <c r="R339" s="259"/>
      <c r="S339" s="259"/>
      <c r="T339" s="259"/>
      <c r="U339" s="259"/>
      <c r="V339" s="259"/>
      <c r="W339" s="259"/>
      <c r="X339" s="259"/>
      <c r="Y339" s="259"/>
      <c r="Z339" s="259"/>
      <c r="AA339" s="259"/>
      <c r="AB339" s="259"/>
      <c r="AC339" s="259"/>
      <c r="AD339" s="259"/>
      <c r="AE339" s="259"/>
      <c r="AF339" s="259"/>
      <c r="AG339" s="259"/>
      <c r="AH339" s="259"/>
      <c r="AI339" s="259"/>
      <c r="AJ339" s="259"/>
      <c r="AK339" s="259"/>
      <c r="AL339" s="259"/>
      <c r="AM339" s="259"/>
      <c r="AN339" s="259"/>
      <c r="AO339" s="259"/>
      <c r="AP339" s="259"/>
      <c r="AQ339" s="259"/>
      <c r="AR339" s="259"/>
      <c r="AS339" s="259"/>
    </row>
    <row r="340" spans="1:45" x14ac:dyDescent="0.25">
      <c r="A340" s="396"/>
      <c r="B340" s="396"/>
      <c r="C340" s="396"/>
      <c r="D340" s="396"/>
      <c r="E340" s="396"/>
      <c r="F340" s="396"/>
      <c r="G340" s="396"/>
      <c r="H340" s="396"/>
      <c r="I340" s="396"/>
      <c r="J340" s="396"/>
      <c r="K340" s="396"/>
      <c r="L340" s="396"/>
      <c r="M340" s="396"/>
      <c r="N340" s="396"/>
      <c r="O340" s="396"/>
      <c r="P340" s="396"/>
      <c r="Q340" s="259"/>
      <c r="R340" s="259"/>
      <c r="S340" s="259"/>
      <c r="T340" s="259"/>
      <c r="U340" s="259"/>
      <c r="V340" s="259"/>
      <c r="W340" s="259"/>
      <c r="X340" s="259"/>
      <c r="Y340" s="259"/>
      <c r="Z340" s="259"/>
      <c r="AA340" s="259"/>
      <c r="AB340" s="259"/>
      <c r="AC340" s="259"/>
      <c r="AD340" s="259"/>
      <c r="AE340" s="259"/>
      <c r="AF340" s="259"/>
      <c r="AG340" s="259"/>
      <c r="AH340" s="259"/>
      <c r="AI340" s="259"/>
      <c r="AJ340" s="259"/>
      <c r="AK340" s="259"/>
      <c r="AL340" s="259"/>
      <c r="AM340" s="259"/>
      <c r="AN340" s="259"/>
      <c r="AO340" s="259"/>
      <c r="AP340" s="259"/>
      <c r="AQ340" s="259"/>
      <c r="AR340" s="259"/>
      <c r="AS340" s="259"/>
    </row>
    <row r="341" spans="1:45" x14ac:dyDescent="0.25">
      <c r="A341" s="396"/>
      <c r="B341" s="396"/>
      <c r="C341" s="396"/>
      <c r="D341" s="396"/>
      <c r="E341" s="396"/>
      <c r="F341" s="396"/>
      <c r="G341" s="396"/>
      <c r="H341" s="396"/>
      <c r="I341" s="396"/>
      <c r="J341" s="396"/>
      <c r="K341" s="396"/>
      <c r="L341" s="396"/>
      <c r="M341" s="396"/>
      <c r="N341" s="396"/>
      <c r="O341" s="396"/>
      <c r="P341" s="396"/>
      <c r="Q341" s="259"/>
      <c r="R341" s="259"/>
      <c r="S341" s="259"/>
      <c r="T341" s="259"/>
      <c r="U341" s="259"/>
      <c r="V341" s="259"/>
      <c r="W341" s="259"/>
      <c r="X341" s="259"/>
      <c r="Y341" s="259"/>
      <c r="Z341" s="259"/>
      <c r="AA341" s="259"/>
      <c r="AB341" s="259"/>
      <c r="AC341" s="259"/>
      <c r="AD341" s="259"/>
      <c r="AE341" s="259"/>
      <c r="AF341" s="259"/>
      <c r="AG341" s="259"/>
      <c r="AH341" s="259"/>
      <c r="AI341" s="259"/>
      <c r="AJ341" s="259"/>
      <c r="AK341" s="259"/>
      <c r="AL341" s="259"/>
      <c r="AM341" s="259"/>
      <c r="AN341" s="259"/>
      <c r="AO341" s="259"/>
      <c r="AP341" s="259"/>
      <c r="AQ341" s="259"/>
      <c r="AR341" s="259"/>
      <c r="AS341" s="259"/>
    </row>
    <row r="342" spans="1:45" x14ac:dyDescent="0.25">
      <c r="A342" s="396"/>
      <c r="B342" s="396"/>
      <c r="C342" s="396"/>
      <c r="D342" s="396"/>
      <c r="E342" s="396"/>
      <c r="F342" s="396"/>
      <c r="G342" s="396"/>
      <c r="H342" s="396"/>
      <c r="I342" s="396"/>
      <c r="J342" s="396"/>
      <c r="K342" s="396"/>
      <c r="L342" s="396"/>
      <c r="M342" s="396"/>
      <c r="N342" s="396"/>
      <c r="O342" s="396"/>
      <c r="P342" s="396"/>
      <c r="Q342" s="259"/>
      <c r="R342" s="259"/>
      <c r="S342" s="259"/>
      <c r="T342" s="259"/>
      <c r="U342" s="259"/>
      <c r="V342" s="259"/>
      <c r="W342" s="259"/>
      <c r="X342" s="259"/>
      <c r="Y342" s="259"/>
      <c r="Z342" s="259"/>
      <c r="AA342" s="259"/>
      <c r="AB342" s="259"/>
      <c r="AC342" s="259"/>
      <c r="AD342" s="259"/>
      <c r="AE342" s="259"/>
      <c r="AF342" s="259"/>
      <c r="AG342" s="259"/>
      <c r="AH342" s="259"/>
      <c r="AI342" s="259"/>
      <c r="AJ342" s="259"/>
      <c r="AK342" s="259"/>
      <c r="AL342" s="259"/>
      <c r="AM342" s="259"/>
      <c r="AN342" s="259"/>
      <c r="AO342" s="259"/>
      <c r="AP342" s="259"/>
      <c r="AQ342" s="259"/>
      <c r="AR342" s="259"/>
      <c r="AS342" s="259"/>
    </row>
    <row r="343" spans="1:45" x14ac:dyDescent="0.25">
      <c r="A343" s="396"/>
      <c r="B343" s="396"/>
      <c r="C343" s="396"/>
      <c r="D343" s="396"/>
      <c r="E343" s="396"/>
      <c r="F343" s="396"/>
      <c r="G343" s="396"/>
      <c r="H343" s="396"/>
      <c r="I343" s="396"/>
      <c r="J343" s="396"/>
      <c r="K343" s="396"/>
      <c r="L343" s="396"/>
      <c r="M343" s="396"/>
      <c r="N343" s="396"/>
      <c r="O343" s="396"/>
      <c r="P343" s="396"/>
      <c r="Q343" s="259"/>
      <c r="R343" s="259"/>
      <c r="S343" s="259"/>
      <c r="T343" s="259"/>
      <c r="U343" s="259"/>
      <c r="V343" s="259"/>
      <c r="W343" s="259"/>
      <c r="X343" s="259"/>
      <c r="Y343" s="259"/>
      <c r="Z343" s="259"/>
      <c r="AA343" s="259"/>
      <c r="AB343" s="259"/>
      <c r="AC343" s="259"/>
      <c r="AD343" s="259"/>
      <c r="AE343" s="259"/>
      <c r="AF343" s="259"/>
      <c r="AG343" s="259"/>
      <c r="AH343" s="259"/>
      <c r="AI343" s="259"/>
      <c r="AJ343" s="259"/>
      <c r="AK343" s="259"/>
      <c r="AL343" s="259"/>
      <c r="AM343" s="259"/>
      <c r="AN343" s="259"/>
      <c r="AO343" s="259"/>
      <c r="AP343" s="259"/>
      <c r="AQ343" s="259"/>
      <c r="AR343" s="259"/>
      <c r="AS343" s="259"/>
    </row>
    <row r="344" spans="1:45" x14ac:dyDescent="0.25">
      <c r="A344" s="396"/>
      <c r="B344" s="396"/>
      <c r="C344" s="396"/>
      <c r="D344" s="396"/>
      <c r="E344" s="396"/>
      <c r="F344" s="396"/>
      <c r="G344" s="396"/>
      <c r="H344" s="396"/>
      <c r="I344" s="396"/>
      <c r="J344" s="396"/>
      <c r="K344" s="396"/>
      <c r="L344" s="396"/>
      <c r="M344" s="396"/>
      <c r="N344" s="396"/>
      <c r="O344" s="396"/>
      <c r="P344" s="396"/>
      <c r="Q344" s="259"/>
      <c r="R344" s="259"/>
      <c r="S344" s="259"/>
      <c r="T344" s="259"/>
      <c r="U344" s="259"/>
      <c r="V344" s="259"/>
      <c r="W344" s="259"/>
      <c r="X344" s="259"/>
      <c r="Y344" s="259"/>
      <c r="Z344" s="259"/>
      <c r="AA344" s="259"/>
      <c r="AB344" s="259"/>
      <c r="AC344" s="259"/>
      <c r="AD344" s="259"/>
      <c r="AE344" s="259"/>
      <c r="AF344" s="259"/>
      <c r="AG344" s="259"/>
      <c r="AH344" s="259"/>
      <c r="AI344" s="259"/>
      <c r="AJ344" s="259"/>
      <c r="AK344" s="259"/>
      <c r="AL344" s="259"/>
      <c r="AM344" s="259"/>
      <c r="AN344" s="259"/>
      <c r="AO344" s="259"/>
      <c r="AP344" s="259"/>
      <c r="AQ344" s="259"/>
      <c r="AR344" s="259"/>
      <c r="AS344" s="259"/>
    </row>
    <row r="345" spans="1:45" x14ac:dyDescent="0.25">
      <c r="A345" s="396"/>
      <c r="B345" s="396"/>
      <c r="C345" s="396"/>
      <c r="D345" s="396"/>
      <c r="E345" s="396"/>
      <c r="F345" s="396"/>
      <c r="G345" s="396"/>
      <c r="H345" s="396"/>
      <c r="I345" s="396"/>
      <c r="J345" s="396"/>
      <c r="K345" s="396"/>
      <c r="L345" s="396"/>
      <c r="M345" s="396"/>
      <c r="N345" s="396"/>
      <c r="O345" s="396"/>
      <c r="P345" s="396"/>
      <c r="Q345" s="259"/>
      <c r="R345" s="259"/>
      <c r="S345" s="259"/>
      <c r="T345" s="259"/>
      <c r="U345" s="259"/>
      <c r="V345" s="259"/>
      <c r="W345" s="259"/>
      <c r="X345" s="259"/>
      <c r="Y345" s="259"/>
      <c r="Z345" s="259"/>
      <c r="AA345" s="259"/>
      <c r="AB345" s="259"/>
      <c r="AC345" s="259"/>
      <c r="AD345" s="259"/>
      <c r="AE345" s="259"/>
      <c r="AF345" s="259"/>
      <c r="AG345" s="259"/>
      <c r="AH345" s="259"/>
      <c r="AI345" s="259"/>
      <c r="AJ345" s="259"/>
      <c r="AK345" s="259"/>
      <c r="AL345" s="259"/>
      <c r="AM345" s="259"/>
      <c r="AN345" s="259"/>
      <c r="AO345" s="259"/>
      <c r="AP345" s="259"/>
      <c r="AQ345" s="259"/>
      <c r="AR345" s="259"/>
      <c r="AS345" s="259"/>
    </row>
    <row r="346" spans="1:45" x14ac:dyDescent="0.25">
      <c r="A346" s="396"/>
      <c r="B346" s="396"/>
      <c r="C346" s="396"/>
      <c r="D346" s="396"/>
      <c r="E346" s="396"/>
      <c r="F346" s="396"/>
      <c r="G346" s="396"/>
      <c r="H346" s="396"/>
      <c r="I346" s="396"/>
      <c r="J346" s="396"/>
      <c r="K346" s="396"/>
      <c r="L346" s="396"/>
      <c r="M346" s="396"/>
      <c r="N346" s="396"/>
      <c r="O346" s="396"/>
      <c r="P346" s="396"/>
      <c r="Q346" s="259"/>
      <c r="R346" s="259"/>
      <c r="S346" s="259"/>
      <c r="T346" s="259"/>
      <c r="U346" s="259"/>
      <c r="V346" s="259"/>
      <c r="W346" s="259"/>
      <c r="X346" s="259"/>
      <c r="Y346" s="259"/>
      <c r="Z346" s="259"/>
      <c r="AA346" s="259"/>
      <c r="AB346" s="259"/>
      <c r="AC346" s="259"/>
      <c r="AD346" s="259"/>
      <c r="AE346" s="259"/>
      <c r="AF346" s="259"/>
      <c r="AG346" s="259"/>
      <c r="AH346" s="259"/>
      <c r="AI346" s="259"/>
      <c r="AJ346" s="259"/>
      <c r="AK346" s="259"/>
      <c r="AL346" s="259"/>
      <c r="AM346" s="259"/>
      <c r="AN346" s="259"/>
      <c r="AO346" s="259"/>
      <c r="AP346" s="259"/>
      <c r="AQ346" s="259"/>
      <c r="AR346" s="259"/>
      <c r="AS346" s="259"/>
    </row>
    <row r="347" spans="1:45" x14ac:dyDescent="0.25">
      <c r="A347" s="396"/>
      <c r="B347" s="396"/>
      <c r="C347" s="396"/>
      <c r="D347" s="396"/>
      <c r="E347" s="396"/>
      <c r="F347" s="396"/>
      <c r="G347" s="396"/>
      <c r="H347" s="396"/>
      <c r="I347" s="396"/>
      <c r="J347" s="396"/>
      <c r="K347" s="396"/>
      <c r="L347" s="396"/>
      <c r="M347" s="396"/>
      <c r="N347" s="396"/>
      <c r="O347" s="396"/>
      <c r="P347" s="396"/>
      <c r="Q347" s="259"/>
      <c r="R347" s="259"/>
      <c r="S347" s="259"/>
      <c r="T347" s="259"/>
      <c r="U347" s="259"/>
      <c r="V347" s="259"/>
      <c r="W347" s="259"/>
      <c r="X347" s="259"/>
      <c r="Y347" s="259"/>
      <c r="Z347" s="259"/>
      <c r="AA347" s="259"/>
      <c r="AB347" s="259"/>
      <c r="AC347" s="259"/>
      <c r="AD347" s="259"/>
      <c r="AE347" s="259"/>
      <c r="AF347" s="259"/>
      <c r="AG347" s="259"/>
      <c r="AH347" s="259"/>
      <c r="AI347" s="259"/>
      <c r="AJ347" s="259"/>
      <c r="AK347" s="259"/>
      <c r="AL347" s="259"/>
      <c r="AM347" s="259"/>
      <c r="AN347" s="259"/>
      <c r="AO347" s="259"/>
      <c r="AP347" s="259"/>
      <c r="AQ347" s="259"/>
      <c r="AR347" s="259"/>
      <c r="AS347" s="259"/>
    </row>
    <row r="348" spans="1:45" x14ac:dyDescent="0.25">
      <c r="A348" s="396"/>
      <c r="B348" s="396"/>
      <c r="C348" s="396"/>
      <c r="D348" s="396"/>
      <c r="E348" s="396"/>
      <c r="F348" s="396"/>
      <c r="G348" s="396"/>
      <c r="H348" s="396"/>
      <c r="I348" s="396"/>
      <c r="J348" s="396"/>
      <c r="K348" s="396"/>
      <c r="L348" s="396"/>
      <c r="M348" s="396"/>
      <c r="N348" s="396"/>
      <c r="O348" s="396"/>
      <c r="P348" s="396"/>
      <c r="Q348" s="259"/>
      <c r="R348" s="259"/>
      <c r="S348" s="259"/>
      <c r="T348" s="259"/>
      <c r="U348" s="259"/>
      <c r="V348" s="259"/>
      <c r="W348" s="259"/>
      <c r="X348" s="259"/>
      <c r="Y348" s="259"/>
      <c r="Z348" s="259"/>
      <c r="AA348" s="259"/>
      <c r="AB348" s="259"/>
      <c r="AC348" s="259"/>
      <c r="AD348" s="259"/>
      <c r="AE348" s="259"/>
      <c r="AF348" s="259"/>
      <c r="AG348" s="259"/>
      <c r="AH348" s="259"/>
      <c r="AI348" s="259"/>
      <c r="AJ348" s="259"/>
      <c r="AK348" s="259"/>
      <c r="AL348" s="259"/>
      <c r="AM348" s="259"/>
      <c r="AN348" s="259"/>
      <c r="AO348" s="259"/>
      <c r="AP348" s="259"/>
      <c r="AQ348" s="259"/>
      <c r="AR348" s="259"/>
      <c r="AS348" s="259"/>
    </row>
    <row r="349" spans="1:45" x14ac:dyDescent="0.25">
      <c r="A349" s="396"/>
      <c r="B349" s="396"/>
      <c r="C349" s="396"/>
      <c r="D349" s="396"/>
      <c r="E349" s="396"/>
      <c r="F349" s="396"/>
      <c r="G349" s="396"/>
      <c r="H349" s="396"/>
      <c r="I349" s="396"/>
      <c r="J349" s="396"/>
      <c r="K349" s="396"/>
      <c r="L349" s="396"/>
      <c r="M349" s="396"/>
      <c r="N349" s="396"/>
      <c r="O349" s="396"/>
      <c r="P349" s="396"/>
      <c r="Q349" s="259"/>
      <c r="R349" s="259"/>
      <c r="S349" s="259"/>
      <c r="T349" s="259"/>
      <c r="U349" s="259"/>
      <c r="V349" s="259"/>
      <c r="W349" s="259"/>
      <c r="X349" s="259"/>
      <c r="Y349" s="259"/>
      <c r="Z349" s="259"/>
      <c r="AA349" s="259"/>
      <c r="AB349" s="259"/>
      <c r="AC349" s="259"/>
      <c r="AD349" s="259"/>
      <c r="AE349" s="259"/>
      <c r="AF349" s="259"/>
      <c r="AG349" s="259"/>
      <c r="AH349" s="259"/>
      <c r="AI349" s="259"/>
      <c r="AJ349" s="259"/>
      <c r="AK349" s="259"/>
      <c r="AL349" s="259"/>
      <c r="AM349" s="259"/>
      <c r="AN349" s="259"/>
      <c r="AO349" s="259"/>
      <c r="AP349" s="259"/>
      <c r="AQ349" s="259"/>
      <c r="AR349" s="259"/>
      <c r="AS349" s="259"/>
    </row>
    <row r="350" spans="1:45" x14ac:dyDescent="0.25">
      <c r="A350" s="396"/>
      <c r="B350" s="396"/>
      <c r="C350" s="396"/>
      <c r="D350" s="396"/>
      <c r="E350" s="396"/>
      <c r="F350" s="396"/>
      <c r="G350" s="396"/>
      <c r="H350" s="396"/>
      <c r="I350" s="396"/>
      <c r="J350" s="396"/>
      <c r="K350" s="396"/>
      <c r="L350" s="396"/>
      <c r="M350" s="396"/>
      <c r="N350" s="396"/>
      <c r="O350" s="396"/>
      <c r="P350" s="396"/>
      <c r="Q350" s="259"/>
      <c r="R350" s="259"/>
      <c r="S350" s="259"/>
      <c r="T350" s="259"/>
      <c r="U350" s="259"/>
      <c r="V350" s="259"/>
      <c r="W350" s="259"/>
      <c r="X350" s="259"/>
      <c r="Y350" s="259"/>
      <c r="Z350" s="259"/>
      <c r="AA350" s="259"/>
      <c r="AB350" s="259"/>
      <c r="AC350" s="259"/>
      <c r="AD350" s="259"/>
      <c r="AE350" s="259"/>
      <c r="AF350" s="259"/>
      <c r="AG350" s="259"/>
      <c r="AH350" s="259"/>
      <c r="AI350" s="259"/>
      <c r="AJ350" s="259"/>
      <c r="AK350" s="259"/>
      <c r="AL350" s="259"/>
      <c r="AM350" s="259"/>
      <c r="AN350" s="259"/>
      <c r="AO350" s="259"/>
      <c r="AP350" s="259"/>
      <c r="AQ350" s="259"/>
      <c r="AR350" s="259"/>
      <c r="AS350" s="259"/>
    </row>
    <row r="351" spans="1:45" x14ac:dyDescent="0.25">
      <c r="A351" s="396"/>
      <c r="B351" s="396"/>
      <c r="C351" s="396"/>
      <c r="D351" s="396"/>
      <c r="E351" s="396"/>
      <c r="F351" s="396"/>
      <c r="G351" s="396"/>
      <c r="H351" s="396"/>
      <c r="I351" s="396"/>
      <c r="J351" s="396"/>
      <c r="K351" s="396"/>
      <c r="L351" s="396"/>
      <c r="M351" s="396"/>
      <c r="N351" s="396"/>
      <c r="O351" s="396"/>
      <c r="P351" s="396"/>
      <c r="Q351" s="259"/>
      <c r="R351" s="259"/>
      <c r="S351" s="259"/>
      <c r="T351" s="259"/>
      <c r="U351" s="259"/>
      <c r="V351" s="259"/>
      <c r="W351" s="259"/>
      <c r="X351" s="259"/>
      <c r="Y351" s="259"/>
      <c r="Z351" s="259"/>
      <c r="AA351" s="259"/>
      <c r="AB351" s="259"/>
      <c r="AC351" s="259"/>
      <c r="AD351" s="259"/>
      <c r="AE351" s="259"/>
      <c r="AF351" s="259"/>
      <c r="AG351" s="259"/>
      <c r="AH351" s="259"/>
      <c r="AI351" s="259"/>
      <c r="AJ351" s="259"/>
      <c r="AK351" s="259"/>
      <c r="AL351" s="259"/>
      <c r="AM351" s="259"/>
      <c r="AN351" s="259"/>
      <c r="AO351" s="259"/>
      <c r="AP351" s="259"/>
      <c r="AQ351" s="259"/>
      <c r="AR351" s="259"/>
      <c r="AS351" s="259"/>
    </row>
    <row r="352" spans="1:45" x14ac:dyDescent="0.25">
      <c r="A352" s="396"/>
      <c r="B352" s="396"/>
      <c r="C352" s="396"/>
      <c r="D352" s="396"/>
      <c r="E352" s="396"/>
      <c r="F352" s="396"/>
      <c r="G352" s="396"/>
      <c r="H352" s="396"/>
      <c r="I352" s="396"/>
      <c r="J352" s="396"/>
      <c r="K352" s="396"/>
      <c r="L352" s="396"/>
      <c r="M352" s="396"/>
      <c r="N352" s="396"/>
      <c r="O352" s="396"/>
      <c r="P352" s="396"/>
      <c r="Q352" s="259"/>
      <c r="R352" s="259"/>
      <c r="S352" s="259"/>
      <c r="T352" s="259"/>
      <c r="U352" s="259"/>
      <c r="V352" s="259"/>
      <c r="W352" s="259"/>
      <c r="X352" s="259"/>
      <c r="Y352" s="259"/>
      <c r="Z352" s="259"/>
      <c r="AA352" s="259"/>
      <c r="AB352" s="259"/>
      <c r="AC352" s="259"/>
      <c r="AD352" s="259"/>
      <c r="AE352" s="259"/>
      <c r="AF352" s="259"/>
      <c r="AG352" s="259"/>
      <c r="AH352" s="259"/>
      <c r="AI352" s="259"/>
      <c r="AJ352" s="259"/>
      <c r="AK352" s="259"/>
      <c r="AL352" s="259"/>
      <c r="AM352" s="259"/>
      <c r="AN352" s="259"/>
      <c r="AO352" s="259"/>
      <c r="AP352" s="259"/>
      <c r="AQ352" s="259"/>
      <c r="AR352" s="259"/>
      <c r="AS352" s="259"/>
    </row>
    <row r="353" spans="1:45" x14ac:dyDescent="0.25">
      <c r="A353" s="396"/>
      <c r="B353" s="396"/>
      <c r="C353" s="396"/>
      <c r="D353" s="396"/>
      <c r="E353" s="396"/>
      <c r="F353" s="396"/>
      <c r="G353" s="396"/>
      <c r="H353" s="396"/>
      <c r="I353" s="396"/>
      <c r="J353" s="396"/>
      <c r="K353" s="396"/>
      <c r="L353" s="396"/>
      <c r="M353" s="396"/>
      <c r="N353" s="396"/>
      <c r="O353" s="396"/>
      <c r="P353" s="396"/>
      <c r="Q353" s="259"/>
      <c r="R353" s="259"/>
      <c r="S353" s="259"/>
      <c r="T353" s="259"/>
      <c r="U353" s="259"/>
      <c r="V353" s="259"/>
      <c r="W353" s="259"/>
      <c r="X353" s="259"/>
      <c r="Y353" s="259"/>
      <c r="Z353" s="259"/>
      <c r="AA353" s="259"/>
      <c r="AB353" s="259"/>
      <c r="AC353" s="259"/>
      <c r="AD353" s="259"/>
      <c r="AE353" s="259"/>
      <c r="AF353" s="259"/>
      <c r="AG353" s="259"/>
      <c r="AH353" s="259"/>
      <c r="AI353" s="259"/>
      <c r="AJ353" s="259"/>
      <c r="AK353" s="259"/>
      <c r="AL353" s="259"/>
      <c r="AM353" s="259"/>
      <c r="AN353" s="259"/>
      <c r="AO353" s="259"/>
      <c r="AP353" s="259"/>
      <c r="AQ353" s="259"/>
      <c r="AR353" s="259"/>
      <c r="AS353" s="259"/>
    </row>
    <row r="354" spans="1:45" x14ac:dyDescent="0.25">
      <c r="A354" s="396"/>
      <c r="B354" s="396"/>
      <c r="C354" s="396"/>
      <c r="D354" s="396"/>
      <c r="E354" s="396"/>
      <c r="F354" s="396"/>
      <c r="G354" s="396"/>
      <c r="H354" s="396"/>
      <c r="I354" s="396"/>
      <c r="J354" s="396"/>
      <c r="K354" s="396"/>
      <c r="L354" s="396"/>
      <c r="M354" s="396"/>
      <c r="N354" s="396"/>
      <c r="O354" s="396"/>
      <c r="P354" s="396"/>
      <c r="Q354" s="259"/>
      <c r="R354" s="259"/>
      <c r="S354" s="259"/>
      <c r="T354" s="259"/>
      <c r="U354" s="259"/>
      <c r="V354" s="259"/>
      <c r="W354" s="259"/>
      <c r="X354" s="259"/>
      <c r="Y354" s="259"/>
      <c r="Z354" s="259"/>
      <c r="AA354" s="259"/>
      <c r="AB354" s="259"/>
      <c r="AC354" s="259"/>
      <c r="AD354" s="259"/>
      <c r="AE354" s="259"/>
      <c r="AF354" s="259"/>
      <c r="AG354" s="259"/>
      <c r="AH354" s="259"/>
      <c r="AI354" s="259"/>
      <c r="AJ354" s="259"/>
      <c r="AK354" s="259"/>
      <c r="AL354" s="259"/>
      <c r="AM354" s="259"/>
      <c r="AN354" s="259"/>
      <c r="AO354" s="259"/>
      <c r="AP354" s="259"/>
      <c r="AQ354" s="259"/>
      <c r="AR354" s="259"/>
      <c r="AS354" s="259"/>
    </row>
    <row r="355" spans="1:45" x14ac:dyDescent="0.25">
      <c r="A355" s="396"/>
      <c r="B355" s="396"/>
      <c r="C355" s="396"/>
      <c r="D355" s="396"/>
      <c r="E355" s="396"/>
      <c r="F355" s="396"/>
      <c r="G355" s="396"/>
      <c r="H355" s="396"/>
      <c r="I355" s="396"/>
      <c r="J355" s="396"/>
      <c r="K355" s="396"/>
      <c r="L355" s="396"/>
      <c r="M355" s="396"/>
      <c r="N355" s="396"/>
      <c r="O355" s="396"/>
      <c r="P355" s="396"/>
      <c r="Q355" s="259"/>
      <c r="R355" s="259"/>
      <c r="S355" s="259"/>
      <c r="T355" s="259"/>
      <c r="U355" s="259"/>
      <c r="V355" s="259"/>
      <c r="W355" s="259"/>
      <c r="X355" s="259"/>
      <c r="Y355" s="259"/>
      <c r="Z355" s="259"/>
      <c r="AA355" s="259"/>
      <c r="AB355" s="259"/>
      <c r="AC355" s="259"/>
      <c r="AD355" s="259"/>
      <c r="AE355" s="259"/>
      <c r="AF355" s="259"/>
      <c r="AG355" s="259"/>
      <c r="AH355" s="259"/>
      <c r="AI355" s="259"/>
      <c r="AJ355" s="259"/>
      <c r="AK355" s="259"/>
      <c r="AL355" s="259"/>
      <c r="AM355" s="259"/>
      <c r="AN355" s="259"/>
      <c r="AO355" s="259"/>
      <c r="AP355" s="259"/>
      <c r="AQ355" s="259"/>
      <c r="AR355" s="259"/>
      <c r="AS355" s="259"/>
    </row>
    <row r="356" spans="1:45" x14ac:dyDescent="0.25">
      <c r="A356" s="396"/>
      <c r="B356" s="396"/>
      <c r="C356" s="396"/>
      <c r="D356" s="396"/>
      <c r="E356" s="396"/>
      <c r="F356" s="396"/>
      <c r="G356" s="396"/>
      <c r="H356" s="396"/>
      <c r="I356" s="396"/>
      <c r="J356" s="396"/>
      <c r="K356" s="396"/>
      <c r="L356" s="396"/>
      <c r="M356" s="396"/>
      <c r="N356" s="396"/>
      <c r="O356" s="396"/>
      <c r="P356" s="396"/>
      <c r="Q356" s="259"/>
      <c r="R356" s="259"/>
      <c r="S356" s="259"/>
      <c r="T356" s="259"/>
      <c r="U356" s="259"/>
      <c r="V356" s="259"/>
      <c r="W356" s="259"/>
      <c r="X356" s="259"/>
      <c r="Y356" s="259"/>
      <c r="Z356" s="259"/>
      <c r="AA356" s="259"/>
      <c r="AB356" s="259"/>
      <c r="AC356" s="259"/>
      <c r="AD356" s="259"/>
      <c r="AE356" s="259"/>
      <c r="AF356" s="259"/>
      <c r="AG356" s="259"/>
      <c r="AH356" s="259"/>
      <c r="AI356" s="259"/>
      <c r="AJ356" s="259"/>
      <c r="AK356" s="259"/>
      <c r="AL356" s="259"/>
      <c r="AM356" s="259"/>
      <c r="AN356" s="259"/>
      <c r="AO356" s="259"/>
      <c r="AP356" s="259"/>
      <c r="AQ356" s="259"/>
      <c r="AR356" s="259"/>
      <c r="AS356" s="259"/>
    </row>
    <row r="357" spans="1:45" x14ac:dyDescent="0.25">
      <c r="A357" s="396"/>
      <c r="B357" s="396"/>
      <c r="C357" s="396"/>
      <c r="D357" s="396"/>
      <c r="E357" s="396"/>
      <c r="F357" s="396"/>
      <c r="G357" s="396"/>
      <c r="H357" s="396"/>
      <c r="I357" s="396"/>
      <c r="J357" s="396"/>
      <c r="K357" s="396"/>
      <c r="L357" s="396"/>
      <c r="M357" s="396"/>
      <c r="N357" s="396"/>
      <c r="O357" s="396"/>
      <c r="P357" s="396"/>
      <c r="Q357" s="259"/>
      <c r="R357" s="259"/>
      <c r="S357" s="259"/>
      <c r="T357" s="259"/>
      <c r="U357" s="259"/>
      <c r="V357" s="259"/>
      <c r="W357" s="259"/>
      <c r="X357" s="259"/>
      <c r="Y357" s="259"/>
      <c r="Z357" s="259"/>
      <c r="AA357" s="259"/>
      <c r="AB357" s="259"/>
      <c r="AC357" s="259"/>
      <c r="AD357" s="259"/>
      <c r="AE357" s="259"/>
      <c r="AF357" s="259"/>
      <c r="AG357" s="259"/>
      <c r="AH357" s="259"/>
      <c r="AI357" s="259"/>
      <c r="AJ357" s="259"/>
      <c r="AK357" s="259"/>
      <c r="AL357" s="259"/>
      <c r="AM357" s="259"/>
      <c r="AN357" s="259"/>
      <c r="AO357" s="259"/>
      <c r="AP357" s="259"/>
      <c r="AQ357" s="259"/>
      <c r="AR357" s="259"/>
      <c r="AS357" s="259"/>
    </row>
    <row r="358" spans="1:45" x14ac:dyDescent="0.25">
      <c r="A358" s="396"/>
      <c r="B358" s="396"/>
      <c r="C358" s="396"/>
      <c r="D358" s="396"/>
      <c r="E358" s="396"/>
      <c r="F358" s="396"/>
      <c r="G358" s="396"/>
      <c r="H358" s="396"/>
      <c r="I358" s="396"/>
      <c r="J358" s="396"/>
      <c r="K358" s="396"/>
      <c r="L358" s="396"/>
      <c r="M358" s="396"/>
      <c r="N358" s="396"/>
      <c r="O358" s="396"/>
      <c r="P358" s="396"/>
      <c r="Q358" s="259"/>
      <c r="R358" s="259"/>
      <c r="S358" s="259"/>
      <c r="T358" s="259"/>
      <c r="U358" s="259"/>
      <c r="V358" s="259"/>
      <c r="W358" s="259"/>
      <c r="X358" s="259"/>
      <c r="Y358" s="259"/>
      <c r="Z358" s="259"/>
      <c r="AA358" s="259"/>
      <c r="AB358" s="259"/>
      <c r="AC358" s="259"/>
      <c r="AD358" s="259"/>
      <c r="AE358" s="259"/>
      <c r="AF358" s="259"/>
      <c r="AG358" s="259"/>
      <c r="AH358" s="259"/>
      <c r="AI358" s="259"/>
      <c r="AJ358" s="259"/>
      <c r="AK358" s="259"/>
      <c r="AL358" s="259"/>
      <c r="AM358" s="259"/>
      <c r="AN358" s="259"/>
      <c r="AO358" s="259"/>
      <c r="AP358" s="259"/>
      <c r="AQ358" s="259"/>
      <c r="AR358" s="259"/>
      <c r="AS358" s="259"/>
    </row>
    <row r="359" spans="1:45" x14ac:dyDescent="0.25">
      <c r="A359" s="396"/>
      <c r="B359" s="396"/>
      <c r="C359" s="396"/>
      <c r="D359" s="396"/>
      <c r="E359" s="396"/>
      <c r="F359" s="396"/>
      <c r="G359" s="396"/>
      <c r="H359" s="396"/>
      <c r="I359" s="396"/>
      <c r="J359" s="396"/>
      <c r="K359" s="396"/>
      <c r="L359" s="396"/>
      <c r="M359" s="396"/>
      <c r="N359" s="396"/>
      <c r="O359" s="396"/>
      <c r="P359" s="396"/>
      <c r="Q359" s="259"/>
      <c r="R359" s="259"/>
      <c r="S359" s="259"/>
      <c r="T359" s="259"/>
      <c r="U359" s="259"/>
      <c r="V359" s="259"/>
      <c r="W359" s="259"/>
      <c r="X359" s="259"/>
      <c r="Y359" s="259"/>
      <c r="Z359" s="259"/>
      <c r="AA359" s="259"/>
      <c r="AB359" s="259"/>
      <c r="AC359" s="259"/>
      <c r="AD359" s="259"/>
      <c r="AE359" s="259"/>
      <c r="AF359" s="259"/>
      <c r="AG359" s="259"/>
      <c r="AH359" s="259"/>
      <c r="AI359" s="259"/>
      <c r="AJ359" s="259"/>
      <c r="AK359" s="259"/>
      <c r="AL359" s="259"/>
      <c r="AM359" s="259"/>
      <c r="AN359" s="259"/>
      <c r="AO359" s="259"/>
      <c r="AP359" s="259"/>
      <c r="AQ359" s="259"/>
      <c r="AR359" s="259"/>
      <c r="AS359" s="259"/>
    </row>
    <row r="360" spans="1:45" x14ac:dyDescent="0.25">
      <c r="A360" s="396"/>
      <c r="B360" s="396"/>
      <c r="C360" s="396"/>
      <c r="D360" s="396"/>
      <c r="E360" s="396"/>
      <c r="F360" s="396"/>
      <c r="G360" s="396"/>
      <c r="H360" s="396"/>
      <c r="I360" s="396"/>
      <c r="J360" s="396"/>
      <c r="K360" s="396"/>
      <c r="L360" s="396"/>
      <c r="M360" s="396"/>
      <c r="N360" s="396"/>
      <c r="O360" s="396"/>
      <c r="P360" s="396"/>
      <c r="Q360" s="259"/>
      <c r="R360" s="259"/>
      <c r="S360" s="259"/>
      <c r="T360" s="259"/>
      <c r="U360" s="259"/>
      <c r="V360" s="259"/>
      <c r="W360" s="259"/>
      <c r="X360" s="259"/>
      <c r="Y360" s="259"/>
      <c r="Z360" s="259"/>
      <c r="AA360" s="259"/>
      <c r="AB360" s="259"/>
      <c r="AC360" s="259"/>
      <c r="AD360" s="259"/>
      <c r="AE360" s="259"/>
      <c r="AF360" s="259"/>
      <c r="AG360" s="259"/>
      <c r="AH360" s="259"/>
      <c r="AI360" s="259"/>
      <c r="AJ360" s="259"/>
      <c r="AK360" s="259"/>
      <c r="AL360" s="259"/>
      <c r="AM360" s="259"/>
      <c r="AN360" s="259"/>
      <c r="AO360" s="259"/>
      <c r="AP360" s="259"/>
      <c r="AQ360" s="259"/>
      <c r="AR360" s="259"/>
      <c r="AS360" s="259"/>
    </row>
    <row r="361" spans="1:45" x14ac:dyDescent="0.25">
      <c r="A361" s="396"/>
      <c r="B361" s="396"/>
      <c r="C361" s="396"/>
      <c r="D361" s="396"/>
      <c r="E361" s="396"/>
      <c r="F361" s="396"/>
      <c r="G361" s="396"/>
      <c r="H361" s="396"/>
      <c r="I361" s="396"/>
      <c r="J361" s="396"/>
      <c r="K361" s="396"/>
      <c r="L361" s="396"/>
      <c r="M361" s="396"/>
      <c r="N361" s="396"/>
      <c r="O361" s="396"/>
      <c r="P361" s="396"/>
      <c r="Q361" s="259"/>
      <c r="R361" s="259"/>
      <c r="S361" s="259"/>
      <c r="T361" s="259"/>
      <c r="U361" s="259"/>
      <c r="V361" s="259"/>
      <c r="W361" s="259"/>
      <c r="X361" s="259"/>
      <c r="Y361" s="259"/>
      <c r="Z361" s="259"/>
      <c r="AA361" s="259"/>
      <c r="AB361" s="259"/>
      <c r="AC361" s="259"/>
      <c r="AD361" s="259"/>
      <c r="AE361" s="259"/>
      <c r="AF361" s="259"/>
      <c r="AG361" s="259"/>
      <c r="AH361" s="259"/>
      <c r="AI361" s="259"/>
      <c r="AJ361" s="259"/>
      <c r="AK361" s="259"/>
      <c r="AL361" s="259"/>
      <c r="AM361" s="259"/>
      <c r="AN361" s="259"/>
      <c r="AO361" s="259"/>
      <c r="AP361" s="259"/>
      <c r="AQ361" s="259"/>
      <c r="AR361" s="259"/>
      <c r="AS361" s="259"/>
    </row>
    <row r="362" spans="1:45" x14ac:dyDescent="0.25">
      <c r="A362" s="396"/>
      <c r="B362" s="396"/>
      <c r="C362" s="396"/>
      <c r="D362" s="396"/>
      <c r="E362" s="396"/>
      <c r="F362" s="396"/>
      <c r="G362" s="396"/>
      <c r="H362" s="396"/>
      <c r="I362" s="396"/>
      <c r="J362" s="396"/>
      <c r="K362" s="396"/>
      <c r="L362" s="396"/>
      <c r="M362" s="396"/>
      <c r="N362" s="396"/>
      <c r="O362" s="396"/>
      <c r="P362" s="396"/>
      <c r="Q362" s="259"/>
      <c r="R362" s="259"/>
      <c r="S362" s="259"/>
      <c r="T362" s="259"/>
      <c r="U362" s="259"/>
      <c r="V362" s="259"/>
      <c r="W362" s="259"/>
      <c r="X362" s="259"/>
      <c r="Y362" s="259"/>
      <c r="Z362" s="259"/>
      <c r="AA362" s="259"/>
      <c r="AB362" s="259"/>
      <c r="AC362" s="259"/>
      <c r="AD362" s="259"/>
      <c r="AE362" s="259"/>
      <c r="AF362" s="259"/>
      <c r="AG362" s="259"/>
      <c r="AH362" s="259"/>
      <c r="AI362" s="259"/>
      <c r="AJ362" s="259"/>
      <c r="AK362" s="259"/>
      <c r="AL362" s="259"/>
      <c r="AM362" s="259"/>
      <c r="AN362" s="259"/>
      <c r="AO362" s="259"/>
      <c r="AP362" s="259"/>
      <c r="AQ362" s="259"/>
      <c r="AR362" s="259"/>
      <c r="AS362" s="259"/>
    </row>
    <row r="363" spans="1:45" x14ac:dyDescent="0.25">
      <c r="A363" s="396"/>
      <c r="B363" s="396"/>
      <c r="C363" s="396"/>
      <c r="D363" s="396"/>
      <c r="E363" s="396"/>
      <c r="F363" s="396"/>
      <c r="G363" s="396"/>
      <c r="H363" s="396"/>
      <c r="I363" s="396"/>
      <c r="J363" s="396"/>
      <c r="K363" s="396"/>
      <c r="L363" s="396"/>
      <c r="M363" s="396"/>
      <c r="N363" s="396"/>
      <c r="O363" s="396"/>
      <c r="P363" s="396"/>
      <c r="Q363" s="259"/>
      <c r="R363" s="259"/>
      <c r="S363" s="259"/>
      <c r="T363" s="259"/>
      <c r="U363" s="259"/>
      <c r="V363" s="259"/>
      <c r="W363" s="259"/>
      <c r="X363" s="259"/>
      <c r="Y363" s="259"/>
      <c r="Z363" s="259"/>
      <c r="AA363" s="259"/>
      <c r="AB363" s="259"/>
      <c r="AC363" s="259"/>
      <c r="AD363" s="259"/>
      <c r="AE363" s="259"/>
      <c r="AF363" s="259"/>
      <c r="AG363" s="259"/>
      <c r="AH363" s="259"/>
      <c r="AI363" s="259"/>
      <c r="AJ363" s="259"/>
      <c r="AK363" s="259"/>
      <c r="AL363" s="259"/>
      <c r="AM363" s="259"/>
      <c r="AN363" s="259"/>
      <c r="AO363" s="259"/>
      <c r="AP363" s="259"/>
      <c r="AQ363" s="259"/>
      <c r="AR363" s="259"/>
      <c r="AS363" s="259"/>
    </row>
    <row r="364" spans="1:45" x14ac:dyDescent="0.25">
      <c r="A364" s="396"/>
      <c r="B364" s="396"/>
      <c r="C364" s="396"/>
      <c r="D364" s="396"/>
      <c r="E364" s="396"/>
      <c r="F364" s="396"/>
      <c r="G364" s="396"/>
      <c r="H364" s="396"/>
      <c r="I364" s="396"/>
      <c r="J364" s="396"/>
      <c r="K364" s="396"/>
      <c r="L364" s="396"/>
      <c r="M364" s="396"/>
      <c r="N364" s="396"/>
      <c r="O364" s="396"/>
      <c r="P364" s="396"/>
      <c r="Q364" s="259"/>
      <c r="R364" s="259"/>
      <c r="S364" s="259"/>
      <c r="T364" s="259"/>
      <c r="U364" s="259"/>
      <c r="V364" s="259"/>
      <c r="W364" s="259"/>
      <c r="X364" s="259"/>
      <c r="Y364" s="259"/>
      <c r="Z364" s="259"/>
      <c r="AA364" s="259"/>
      <c r="AB364" s="259"/>
      <c r="AC364" s="259"/>
      <c r="AD364" s="259"/>
      <c r="AE364" s="259"/>
      <c r="AF364" s="259"/>
      <c r="AG364" s="259"/>
      <c r="AH364" s="259"/>
      <c r="AI364" s="259"/>
      <c r="AJ364" s="259"/>
      <c r="AK364" s="259"/>
      <c r="AL364" s="259"/>
      <c r="AM364" s="259"/>
      <c r="AN364" s="259"/>
      <c r="AO364" s="259"/>
      <c r="AP364" s="259"/>
      <c r="AQ364" s="259"/>
      <c r="AR364" s="259"/>
      <c r="AS364" s="259"/>
    </row>
    <row r="365" spans="1:45" x14ac:dyDescent="0.25">
      <c r="A365" s="396"/>
      <c r="B365" s="396"/>
      <c r="C365" s="396"/>
      <c r="D365" s="396"/>
      <c r="E365" s="396"/>
      <c r="F365" s="396"/>
      <c r="G365" s="396"/>
      <c r="H365" s="396"/>
      <c r="I365" s="396"/>
      <c r="J365" s="396"/>
      <c r="K365" s="396"/>
      <c r="L365" s="396"/>
      <c r="M365" s="396"/>
      <c r="N365" s="396"/>
      <c r="O365" s="396"/>
      <c r="P365" s="396"/>
      <c r="Q365" s="259"/>
      <c r="R365" s="259"/>
      <c r="S365" s="259"/>
      <c r="T365" s="259"/>
      <c r="U365" s="259"/>
      <c r="V365" s="259"/>
      <c r="W365" s="259"/>
      <c r="X365" s="259"/>
      <c r="Y365" s="259"/>
      <c r="Z365" s="259"/>
      <c r="AA365" s="259"/>
      <c r="AB365" s="259"/>
      <c r="AC365" s="259"/>
      <c r="AD365" s="259"/>
      <c r="AE365" s="259"/>
      <c r="AF365" s="259"/>
      <c r="AG365" s="259"/>
      <c r="AH365" s="259"/>
      <c r="AI365" s="259"/>
      <c r="AJ365" s="259"/>
      <c r="AK365" s="259"/>
      <c r="AL365" s="259"/>
      <c r="AM365" s="259"/>
      <c r="AN365" s="259"/>
      <c r="AO365" s="259"/>
      <c r="AP365" s="259"/>
      <c r="AQ365" s="259"/>
      <c r="AR365" s="259"/>
      <c r="AS365" s="259"/>
    </row>
    <row r="366" spans="1:45" x14ac:dyDescent="0.25">
      <c r="A366" s="396"/>
      <c r="B366" s="396"/>
      <c r="C366" s="396"/>
      <c r="D366" s="396"/>
      <c r="E366" s="396"/>
      <c r="F366" s="396"/>
      <c r="G366" s="396"/>
      <c r="H366" s="396"/>
      <c r="I366" s="396"/>
      <c r="J366" s="396"/>
      <c r="K366" s="396"/>
      <c r="L366" s="396"/>
      <c r="M366" s="396"/>
      <c r="N366" s="396"/>
      <c r="O366" s="396"/>
      <c r="P366" s="396"/>
      <c r="Q366" s="259"/>
      <c r="R366" s="259"/>
      <c r="S366" s="259"/>
      <c r="T366" s="259"/>
      <c r="U366" s="259"/>
      <c r="V366" s="259"/>
      <c r="W366" s="259"/>
      <c r="X366" s="259"/>
      <c r="Y366" s="259"/>
      <c r="Z366" s="259"/>
      <c r="AA366" s="259"/>
      <c r="AB366" s="259"/>
      <c r="AC366" s="259"/>
      <c r="AD366" s="259"/>
      <c r="AE366" s="259"/>
      <c r="AF366" s="259"/>
      <c r="AG366" s="259"/>
      <c r="AH366" s="259"/>
      <c r="AI366" s="259"/>
      <c r="AJ366" s="259"/>
      <c r="AK366" s="259"/>
      <c r="AL366" s="259"/>
      <c r="AM366" s="259"/>
      <c r="AN366" s="259"/>
      <c r="AO366" s="259"/>
      <c r="AP366" s="259"/>
      <c r="AQ366" s="259"/>
      <c r="AR366" s="259"/>
      <c r="AS366" s="259"/>
    </row>
    <row r="367" spans="1:45" x14ac:dyDescent="0.25">
      <c r="A367" s="396"/>
      <c r="B367" s="396"/>
      <c r="C367" s="396"/>
      <c r="D367" s="396"/>
      <c r="E367" s="396"/>
      <c r="F367" s="396"/>
      <c r="G367" s="396"/>
      <c r="H367" s="396"/>
      <c r="I367" s="396"/>
      <c r="J367" s="396"/>
      <c r="K367" s="396"/>
      <c r="L367" s="396"/>
      <c r="M367" s="396"/>
      <c r="N367" s="396"/>
      <c r="O367" s="396"/>
      <c r="P367" s="396"/>
      <c r="Q367" s="259"/>
      <c r="R367" s="259"/>
      <c r="S367" s="259"/>
      <c r="T367" s="259"/>
      <c r="U367" s="259"/>
      <c r="V367" s="259"/>
      <c r="W367" s="259"/>
      <c r="X367" s="259"/>
      <c r="Y367" s="259"/>
      <c r="Z367" s="259"/>
      <c r="AA367" s="259"/>
      <c r="AB367" s="259"/>
      <c r="AC367" s="259"/>
      <c r="AD367" s="259"/>
      <c r="AE367" s="259"/>
      <c r="AF367" s="259"/>
      <c r="AG367" s="259"/>
      <c r="AH367" s="259"/>
      <c r="AI367" s="259"/>
      <c r="AJ367" s="259"/>
      <c r="AK367" s="259"/>
      <c r="AL367" s="259"/>
      <c r="AM367" s="259"/>
      <c r="AN367" s="259"/>
      <c r="AO367" s="259"/>
      <c r="AP367" s="259"/>
      <c r="AQ367" s="259"/>
      <c r="AR367" s="259"/>
      <c r="AS367" s="259"/>
    </row>
    <row r="368" spans="1:45" x14ac:dyDescent="0.25">
      <c r="A368" s="396"/>
      <c r="B368" s="396"/>
      <c r="C368" s="396"/>
      <c r="D368" s="396"/>
      <c r="E368" s="396"/>
      <c r="F368" s="396"/>
      <c r="G368" s="396"/>
      <c r="H368" s="396"/>
      <c r="I368" s="396"/>
      <c r="J368" s="396"/>
      <c r="K368" s="396"/>
      <c r="L368" s="396"/>
      <c r="M368" s="396"/>
      <c r="N368" s="396"/>
      <c r="O368" s="396"/>
      <c r="P368" s="396"/>
      <c r="Q368" s="259"/>
      <c r="R368" s="259"/>
      <c r="S368" s="259"/>
      <c r="T368" s="259"/>
      <c r="U368" s="259"/>
      <c r="V368" s="259"/>
      <c r="W368" s="259"/>
      <c r="X368" s="259"/>
      <c r="Y368" s="259"/>
      <c r="Z368" s="259"/>
      <c r="AA368" s="259"/>
      <c r="AB368" s="259"/>
      <c r="AC368" s="259"/>
      <c r="AD368" s="259"/>
      <c r="AE368" s="259"/>
      <c r="AF368" s="259"/>
      <c r="AG368" s="259"/>
      <c r="AH368" s="259"/>
      <c r="AI368" s="259"/>
      <c r="AJ368" s="259"/>
      <c r="AK368" s="259"/>
      <c r="AL368" s="259"/>
      <c r="AM368" s="259"/>
      <c r="AN368" s="259"/>
      <c r="AO368" s="259"/>
      <c r="AP368" s="259"/>
      <c r="AQ368" s="259"/>
      <c r="AR368" s="259"/>
      <c r="AS368" s="259"/>
    </row>
    <row r="369" spans="1:45" x14ac:dyDescent="0.25">
      <c r="A369" s="396"/>
      <c r="B369" s="396"/>
      <c r="C369" s="396"/>
      <c r="D369" s="396"/>
      <c r="E369" s="396"/>
      <c r="F369" s="396"/>
      <c r="G369" s="396"/>
      <c r="H369" s="396"/>
      <c r="I369" s="396"/>
      <c r="J369" s="396"/>
      <c r="K369" s="396"/>
      <c r="L369" s="396"/>
      <c r="M369" s="396"/>
      <c r="N369" s="396"/>
      <c r="O369" s="396"/>
      <c r="P369" s="396"/>
      <c r="Q369" s="259"/>
      <c r="R369" s="259"/>
      <c r="S369" s="259"/>
      <c r="T369" s="259"/>
      <c r="U369" s="259"/>
      <c r="V369" s="259"/>
      <c r="W369" s="259"/>
      <c r="X369" s="259"/>
      <c r="Y369" s="259"/>
      <c r="Z369" s="259"/>
      <c r="AA369" s="259"/>
      <c r="AB369" s="259"/>
      <c r="AC369" s="259"/>
      <c r="AD369" s="259"/>
      <c r="AE369" s="259"/>
      <c r="AF369" s="259"/>
      <c r="AG369" s="259"/>
      <c r="AH369" s="259"/>
      <c r="AI369" s="259"/>
      <c r="AJ369" s="259"/>
      <c r="AK369" s="259"/>
      <c r="AL369" s="259"/>
      <c r="AM369" s="259"/>
      <c r="AN369" s="259"/>
      <c r="AO369" s="259"/>
      <c r="AP369" s="259"/>
      <c r="AQ369" s="259"/>
      <c r="AR369" s="259"/>
      <c r="AS369" s="259"/>
    </row>
    <row r="370" spans="1:45" x14ac:dyDescent="0.25">
      <c r="A370" s="396"/>
      <c r="B370" s="396"/>
      <c r="C370" s="396"/>
      <c r="D370" s="396"/>
      <c r="E370" s="396"/>
      <c r="F370" s="396"/>
      <c r="G370" s="396"/>
      <c r="H370" s="396"/>
      <c r="I370" s="396"/>
      <c r="J370" s="396"/>
      <c r="K370" s="396"/>
      <c r="L370" s="396"/>
      <c r="M370" s="396"/>
      <c r="N370" s="396"/>
      <c r="O370" s="396"/>
      <c r="P370" s="396"/>
      <c r="Q370" s="259"/>
      <c r="R370" s="259"/>
      <c r="S370" s="259"/>
      <c r="T370" s="259"/>
      <c r="U370" s="259"/>
      <c r="V370" s="259"/>
      <c r="W370" s="259"/>
      <c r="X370" s="259"/>
      <c r="Y370" s="259"/>
      <c r="Z370" s="259"/>
      <c r="AA370" s="259"/>
      <c r="AB370" s="259"/>
      <c r="AC370" s="259"/>
      <c r="AD370" s="259"/>
      <c r="AE370" s="259"/>
      <c r="AF370" s="259"/>
      <c r="AG370" s="259"/>
      <c r="AH370" s="259"/>
      <c r="AI370" s="259"/>
      <c r="AJ370" s="259"/>
      <c r="AK370" s="259"/>
      <c r="AL370" s="259"/>
      <c r="AM370" s="259"/>
      <c r="AN370" s="259"/>
      <c r="AO370" s="259"/>
      <c r="AP370" s="259"/>
      <c r="AQ370" s="259"/>
      <c r="AR370" s="259"/>
      <c r="AS370" s="259"/>
    </row>
    <row r="371" spans="1:45" x14ac:dyDescent="0.25">
      <c r="A371" s="396"/>
      <c r="B371" s="396"/>
      <c r="C371" s="396"/>
      <c r="D371" s="396"/>
      <c r="E371" s="396"/>
      <c r="F371" s="396"/>
      <c r="G371" s="396"/>
      <c r="H371" s="396"/>
      <c r="I371" s="396"/>
      <c r="J371" s="396"/>
      <c r="K371" s="396"/>
      <c r="L371" s="396"/>
      <c r="M371" s="396"/>
      <c r="N371" s="396"/>
      <c r="O371" s="396"/>
      <c r="P371" s="396"/>
      <c r="Q371" s="259"/>
      <c r="R371" s="259"/>
      <c r="S371" s="259"/>
      <c r="T371" s="259"/>
      <c r="U371" s="259"/>
      <c r="V371" s="259"/>
      <c r="W371" s="259"/>
      <c r="X371" s="259"/>
      <c r="Y371" s="259"/>
      <c r="Z371" s="259"/>
      <c r="AA371" s="259"/>
      <c r="AB371" s="259"/>
      <c r="AC371" s="259"/>
      <c r="AD371" s="259"/>
      <c r="AE371" s="259"/>
      <c r="AF371" s="259"/>
      <c r="AG371" s="259"/>
      <c r="AH371" s="259"/>
      <c r="AI371" s="259"/>
      <c r="AJ371" s="259"/>
      <c r="AK371" s="259"/>
      <c r="AL371" s="259"/>
      <c r="AM371" s="259"/>
      <c r="AN371" s="259"/>
      <c r="AO371" s="259"/>
      <c r="AP371" s="259"/>
      <c r="AQ371" s="259"/>
      <c r="AR371" s="259"/>
      <c r="AS371" s="259"/>
    </row>
    <row r="372" spans="1:45" x14ac:dyDescent="0.25">
      <c r="A372" s="396"/>
      <c r="B372" s="396"/>
      <c r="C372" s="396"/>
      <c r="D372" s="396"/>
      <c r="E372" s="396"/>
      <c r="F372" s="396"/>
      <c r="G372" s="396"/>
      <c r="H372" s="396"/>
      <c r="I372" s="396"/>
      <c r="J372" s="396"/>
      <c r="K372" s="396"/>
      <c r="L372" s="396"/>
      <c r="M372" s="396"/>
      <c r="N372" s="396"/>
      <c r="O372" s="396"/>
      <c r="P372" s="396"/>
      <c r="Q372" s="259"/>
      <c r="R372" s="259"/>
      <c r="S372" s="259"/>
      <c r="T372" s="259"/>
      <c r="U372" s="259"/>
      <c r="V372" s="259"/>
      <c r="W372" s="259"/>
      <c r="X372" s="259"/>
      <c r="Y372" s="259"/>
      <c r="Z372" s="259"/>
      <c r="AA372" s="259"/>
      <c r="AB372" s="259"/>
      <c r="AC372" s="259"/>
      <c r="AD372" s="259"/>
      <c r="AE372" s="259"/>
      <c r="AF372" s="259"/>
      <c r="AG372" s="259"/>
      <c r="AH372" s="259"/>
      <c r="AI372" s="259"/>
      <c r="AJ372" s="259"/>
      <c r="AK372" s="259"/>
      <c r="AL372" s="259"/>
      <c r="AM372" s="259"/>
      <c r="AN372" s="259"/>
      <c r="AO372" s="259"/>
      <c r="AP372" s="259"/>
      <c r="AQ372" s="259"/>
      <c r="AR372" s="259"/>
      <c r="AS372" s="259"/>
    </row>
    <row r="373" spans="1:45" x14ac:dyDescent="0.25">
      <c r="A373" s="396"/>
      <c r="B373" s="396"/>
      <c r="C373" s="396"/>
      <c r="D373" s="396"/>
      <c r="E373" s="396"/>
      <c r="F373" s="396"/>
      <c r="G373" s="396"/>
      <c r="H373" s="396"/>
      <c r="I373" s="396"/>
      <c r="J373" s="396"/>
      <c r="K373" s="396"/>
      <c r="L373" s="396"/>
      <c r="M373" s="396"/>
      <c r="N373" s="396"/>
      <c r="O373" s="396"/>
      <c r="P373" s="396"/>
      <c r="Q373" s="259"/>
      <c r="R373" s="259"/>
      <c r="S373" s="259"/>
      <c r="T373" s="259"/>
      <c r="U373" s="259"/>
      <c r="V373" s="259"/>
      <c r="W373" s="259"/>
      <c r="X373" s="259"/>
      <c r="Y373" s="259"/>
      <c r="Z373" s="259"/>
      <c r="AA373" s="259"/>
      <c r="AB373" s="259"/>
      <c r="AC373" s="259"/>
      <c r="AD373" s="259"/>
      <c r="AE373" s="259"/>
      <c r="AF373" s="259"/>
      <c r="AG373" s="259"/>
      <c r="AH373" s="259"/>
      <c r="AI373" s="259"/>
      <c r="AJ373" s="259"/>
      <c r="AK373" s="259"/>
      <c r="AL373" s="259"/>
      <c r="AM373" s="259"/>
      <c r="AN373" s="259"/>
      <c r="AO373" s="259"/>
      <c r="AP373" s="259"/>
      <c r="AQ373" s="259"/>
      <c r="AR373" s="259"/>
      <c r="AS373" s="259"/>
    </row>
    <row r="374" spans="1:45" x14ac:dyDescent="0.25">
      <c r="A374" s="396"/>
      <c r="B374" s="396"/>
      <c r="C374" s="396"/>
      <c r="D374" s="396"/>
      <c r="E374" s="396"/>
      <c r="F374" s="396"/>
      <c r="G374" s="396"/>
      <c r="H374" s="396"/>
      <c r="I374" s="396"/>
      <c r="J374" s="396"/>
      <c r="K374" s="396"/>
      <c r="L374" s="396"/>
      <c r="M374" s="396"/>
      <c r="N374" s="396"/>
      <c r="O374" s="396"/>
      <c r="P374" s="396"/>
      <c r="Q374" s="259"/>
      <c r="R374" s="259"/>
      <c r="S374" s="259"/>
      <c r="T374" s="259"/>
      <c r="U374" s="259"/>
      <c r="V374" s="259"/>
      <c r="W374" s="259"/>
      <c r="X374" s="259"/>
      <c r="Y374" s="259"/>
      <c r="Z374" s="259"/>
      <c r="AA374" s="259"/>
      <c r="AB374" s="259"/>
      <c r="AC374" s="259"/>
      <c r="AD374" s="259"/>
      <c r="AE374" s="259"/>
      <c r="AF374" s="259"/>
      <c r="AG374" s="259"/>
      <c r="AH374" s="259"/>
      <c r="AI374" s="259"/>
      <c r="AJ374" s="259"/>
      <c r="AK374" s="259"/>
      <c r="AL374" s="259"/>
      <c r="AM374" s="259"/>
      <c r="AN374" s="259"/>
      <c r="AO374" s="259"/>
      <c r="AP374" s="259"/>
      <c r="AQ374" s="259"/>
      <c r="AR374" s="259"/>
      <c r="AS374" s="259"/>
    </row>
    <row r="375" spans="1:45" x14ac:dyDescent="0.25">
      <c r="A375" s="396"/>
      <c r="B375" s="396"/>
      <c r="C375" s="396"/>
      <c r="D375" s="396"/>
      <c r="E375" s="396"/>
      <c r="F375" s="396"/>
      <c r="G375" s="396"/>
      <c r="H375" s="396"/>
      <c r="I375" s="396"/>
      <c r="J375" s="396"/>
      <c r="K375" s="396"/>
      <c r="L375" s="396"/>
      <c r="M375" s="396"/>
      <c r="N375" s="396"/>
      <c r="O375" s="396"/>
      <c r="P375" s="396"/>
      <c r="Q375" s="259"/>
      <c r="R375" s="259"/>
      <c r="S375" s="259"/>
      <c r="T375" s="259"/>
      <c r="U375" s="259"/>
      <c r="V375" s="259"/>
      <c r="W375" s="259"/>
      <c r="X375" s="259"/>
      <c r="Y375" s="259"/>
      <c r="Z375" s="259"/>
      <c r="AA375" s="259"/>
      <c r="AB375" s="259"/>
      <c r="AC375" s="259"/>
      <c r="AD375" s="259"/>
      <c r="AE375" s="259"/>
      <c r="AF375" s="259"/>
      <c r="AG375" s="259"/>
      <c r="AH375" s="259"/>
      <c r="AI375" s="259"/>
      <c r="AJ375" s="259"/>
      <c r="AK375" s="259"/>
      <c r="AL375" s="259"/>
      <c r="AM375" s="259"/>
      <c r="AN375" s="259"/>
      <c r="AO375" s="259"/>
      <c r="AP375" s="259"/>
      <c r="AQ375" s="259"/>
      <c r="AR375" s="259"/>
      <c r="AS375" s="259"/>
    </row>
    <row r="376" spans="1:45" x14ac:dyDescent="0.25">
      <c r="A376" s="396"/>
      <c r="B376" s="396"/>
      <c r="C376" s="396"/>
      <c r="D376" s="396"/>
      <c r="E376" s="396"/>
      <c r="F376" s="396"/>
      <c r="G376" s="396"/>
      <c r="H376" s="396"/>
      <c r="I376" s="396"/>
      <c r="J376" s="396"/>
      <c r="K376" s="396"/>
      <c r="L376" s="396"/>
      <c r="M376" s="396"/>
      <c r="N376" s="396"/>
      <c r="O376" s="396"/>
      <c r="P376" s="396"/>
      <c r="Q376" s="259"/>
      <c r="R376" s="259"/>
      <c r="S376" s="259"/>
      <c r="T376" s="259"/>
      <c r="U376" s="259"/>
      <c r="V376" s="259"/>
      <c r="W376" s="259"/>
      <c r="X376" s="259"/>
      <c r="Y376" s="259"/>
      <c r="Z376" s="259"/>
      <c r="AA376" s="259"/>
      <c r="AB376" s="259"/>
      <c r="AC376" s="259"/>
      <c r="AD376" s="259"/>
      <c r="AE376" s="259"/>
      <c r="AF376" s="259"/>
      <c r="AG376" s="259"/>
      <c r="AH376" s="259"/>
      <c r="AI376" s="259"/>
      <c r="AJ376" s="259"/>
      <c r="AK376" s="259"/>
      <c r="AL376" s="259"/>
      <c r="AM376" s="259"/>
      <c r="AN376" s="259"/>
      <c r="AO376" s="259"/>
      <c r="AP376" s="259"/>
      <c r="AQ376" s="259"/>
      <c r="AR376" s="259"/>
      <c r="AS376" s="259"/>
    </row>
    <row r="377" spans="1:45" x14ac:dyDescent="0.25">
      <c r="A377" s="396"/>
      <c r="B377" s="396"/>
      <c r="C377" s="396"/>
      <c r="D377" s="396"/>
      <c r="E377" s="396"/>
      <c r="F377" s="396"/>
      <c r="G377" s="396"/>
      <c r="H377" s="396"/>
      <c r="I377" s="396"/>
      <c r="J377" s="396"/>
      <c r="K377" s="396"/>
      <c r="L377" s="396"/>
      <c r="M377" s="396"/>
      <c r="N377" s="396"/>
      <c r="O377" s="396"/>
      <c r="P377" s="396"/>
      <c r="Q377" s="259"/>
      <c r="R377" s="259"/>
      <c r="S377" s="259"/>
      <c r="T377" s="259"/>
      <c r="U377" s="259"/>
      <c r="V377" s="259"/>
      <c r="W377" s="259"/>
      <c r="X377" s="259"/>
      <c r="Y377" s="259"/>
      <c r="Z377" s="259"/>
      <c r="AA377" s="259"/>
      <c r="AB377" s="259"/>
      <c r="AC377" s="259"/>
      <c r="AD377" s="259"/>
      <c r="AE377" s="259"/>
      <c r="AF377" s="259"/>
      <c r="AG377" s="259"/>
      <c r="AH377" s="259"/>
      <c r="AI377" s="259"/>
      <c r="AJ377" s="259"/>
      <c r="AK377" s="259"/>
      <c r="AL377" s="259"/>
      <c r="AM377" s="259"/>
      <c r="AN377" s="259"/>
      <c r="AO377" s="259"/>
      <c r="AP377" s="259"/>
      <c r="AQ377" s="259"/>
      <c r="AR377" s="259"/>
      <c r="AS377" s="259"/>
    </row>
    <row r="378" spans="1:45" x14ac:dyDescent="0.25">
      <c r="A378" s="396"/>
      <c r="B378" s="396"/>
      <c r="C378" s="396"/>
      <c r="D378" s="396"/>
      <c r="E378" s="396"/>
      <c r="F378" s="396"/>
      <c r="G378" s="396"/>
      <c r="H378" s="396"/>
      <c r="I378" s="396"/>
      <c r="J378" s="396"/>
      <c r="K378" s="396"/>
      <c r="L378" s="396"/>
      <c r="M378" s="396"/>
      <c r="N378" s="396"/>
      <c r="O378" s="396"/>
      <c r="P378" s="396"/>
      <c r="Q378" s="259"/>
      <c r="R378" s="259"/>
      <c r="S378" s="259"/>
      <c r="T378" s="259"/>
      <c r="U378" s="259"/>
      <c r="V378" s="259"/>
      <c r="W378" s="259"/>
      <c r="X378" s="259"/>
      <c r="Y378" s="259"/>
      <c r="Z378" s="259"/>
      <c r="AA378" s="259"/>
      <c r="AB378" s="259"/>
      <c r="AC378" s="259"/>
      <c r="AD378" s="259"/>
      <c r="AE378" s="259"/>
      <c r="AF378" s="259"/>
      <c r="AG378" s="259"/>
      <c r="AH378" s="259"/>
      <c r="AI378" s="259"/>
      <c r="AJ378" s="259"/>
      <c r="AK378" s="259"/>
      <c r="AL378" s="259"/>
      <c r="AM378" s="259"/>
      <c r="AN378" s="259"/>
      <c r="AO378" s="259"/>
      <c r="AP378" s="259"/>
      <c r="AQ378" s="259"/>
      <c r="AR378" s="259"/>
      <c r="AS378" s="259"/>
    </row>
    <row r="379" spans="1:45" x14ac:dyDescent="0.25">
      <c r="A379" s="396"/>
      <c r="B379" s="396"/>
      <c r="C379" s="396"/>
      <c r="D379" s="396"/>
      <c r="E379" s="396"/>
      <c r="F379" s="396"/>
      <c r="G379" s="396"/>
      <c r="H379" s="396"/>
      <c r="I379" s="396"/>
      <c r="J379" s="396"/>
      <c r="K379" s="396"/>
      <c r="L379" s="396"/>
      <c r="M379" s="396"/>
      <c r="N379" s="396"/>
      <c r="O379" s="396"/>
      <c r="P379" s="396"/>
      <c r="Q379" s="259"/>
      <c r="R379" s="259"/>
      <c r="S379" s="259"/>
      <c r="T379" s="259"/>
      <c r="U379" s="259"/>
      <c r="V379" s="259"/>
      <c r="W379" s="259"/>
      <c r="X379" s="259"/>
      <c r="Y379" s="259"/>
      <c r="Z379" s="259"/>
      <c r="AA379" s="259"/>
      <c r="AB379" s="259"/>
      <c r="AC379" s="259"/>
      <c r="AD379" s="259"/>
      <c r="AE379" s="259"/>
      <c r="AF379" s="259"/>
      <c r="AG379" s="259"/>
      <c r="AH379" s="259"/>
      <c r="AI379" s="259"/>
      <c r="AJ379" s="259"/>
      <c r="AK379" s="259"/>
      <c r="AL379" s="259"/>
      <c r="AM379" s="259"/>
      <c r="AN379" s="259"/>
      <c r="AO379" s="259"/>
      <c r="AP379" s="259"/>
      <c r="AQ379" s="259"/>
      <c r="AR379" s="259"/>
      <c r="AS379" s="259"/>
    </row>
    <row r="380" spans="1:45" x14ac:dyDescent="0.25">
      <c r="A380" s="396"/>
      <c r="B380" s="396"/>
      <c r="C380" s="396"/>
      <c r="D380" s="396"/>
      <c r="E380" s="396"/>
      <c r="F380" s="396"/>
      <c r="G380" s="396"/>
      <c r="H380" s="396"/>
      <c r="I380" s="396"/>
      <c r="J380" s="396"/>
      <c r="K380" s="396"/>
      <c r="L380" s="396"/>
      <c r="M380" s="396"/>
      <c r="N380" s="396"/>
      <c r="O380" s="396"/>
      <c r="P380" s="396"/>
      <c r="Q380" s="259"/>
      <c r="R380" s="259"/>
      <c r="S380" s="259"/>
      <c r="T380" s="259"/>
      <c r="U380" s="259"/>
      <c r="V380" s="259"/>
      <c r="W380" s="259"/>
      <c r="X380" s="259"/>
      <c r="Y380" s="259"/>
      <c r="Z380" s="259"/>
      <c r="AA380" s="259"/>
      <c r="AB380" s="259"/>
      <c r="AC380" s="259"/>
      <c r="AD380" s="259"/>
      <c r="AE380" s="259"/>
      <c r="AF380" s="259"/>
      <c r="AG380" s="259"/>
      <c r="AH380" s="259"/>
      <c r="AI380" s="259"/>
      <c r="AJ380" s="259"/>
      <c r="AK380" s="259"/>
      <c r="AL380" s="259"/>
      <c r="AM380" s="259"/>
      <c r="AN380" s="259"/>
      <c r="AO380" s="259"/>
      <c r="AP380" s="259"/>
      <c r="AQ380" s="259"/>
      <c r="AR380" s="259"/>
      <c r="AS380" s="259"/>
    </row>
    <row r="381" spans="1:45" x14ac:dyDescent="0.25">
      <c r="A381" s="396"/>
      <c r="B381" s="396"/>
      <c r="C381" s="396"/>
      <c r="D381" s="396"/>
      <c r="E381" s="396"/>
      <c r="F381" s="396"/>
      <c r="G381" s="396"/>
      <c r="H381" s="396"/>
      <c r="I381" s="396"/>
      <c r="J381" s="396"/>
      <c r="K381" s="396"/>
      <c r="L381" s="396"/>
      <c r="M381" s="396"/>
      <c r="N381" s="396"/>
      <c r="O381" s="396"/>
      <c r="P381" s="396"/>
      <c r="Q381" s="259"/>
      <c r="R381" s="259"/>
      <c r="S381" s="259"/>
      <c r="T381" s="259"/>
      <c r="U381" s="259"/>
      <c r="V381" s="259"/>
      <c r="W381" s="259"/>
      <c r="X381" s="259"/>
      <c r="Y381" s="259"/>
      <c r="Z381" s="259"/>
      <c r="AA381" s="259"/>
      <c r="AB381" s="259"/>
      <c r="AC381" s="259"/>
      <c r="AD381" s="259"/>
      <c r="AE381" s="259"/>
      <c r="AF381" s="259"/>
      <c r="AG381" s="259"/>
      <c r="AH381" s="259"/>
      <c r="AI381" s="259"/>
      <c r="AJ381" s="259"/>
      <c r="AK381" s="259"/>
      <c r="AL381" s="259"/>
      <c r="AM381" s="259"/>
      <c r="AN381" s="259"/>
      <c r="AO381" s="259"/>
      <c r="AP381" s="259"/>
      <c r="AQ381" s="259"/>
      <c r="AR381" s="259"/>
      <c r="AS381" s="259"/>
    </row>
    <row r="382" spans="1:45" x14ac:dyDescent="0.25">
      <c r="A382" s="396"/>
      <c r="B382" s="396"/>
      <c r="C382" s="396"/>
      <c r="D382" s="396"/>
      <c r="E382" s="396"/>
      <c r="F382" s="396"/>
      <c r="G382" s="396"/>
      <c r="H382" s="396"/>
      <c r="I382" s="396"/>
      <c r="J382" s="396"/>
      <c r="K382" s="396"/>
      <c r="L382" s="396"/>
      <c r="M382" s="396"/>
      <c r="N382" s="396"/>
      <c r="O382" s="396"/>
      <c r="P382" s="396"/>
      <c r="Q382" s="259"/>
      <c r="R382" s="259"/>
      <c r="S382" s="259"/>
      <c r="T382" s="259"/>
      <c r="U382" s="259"/>
      <c r="V382" s="259"/>
      <c r="W382" s="259"/>
      <c r="X382" s="259"/>
      <c r="Y382" s="259"/>
      <c r="Z382" s="259"/>
      <c r="AA382" s="259"/>
      <c r="AB382" s="259"/>
      <c r="AC382" s="259"/>
      <c r="AD382" s="259"/>
      <c r="AE382" s="259"/>
      <c r="AF382" s="259"/>
      <c r="AG382" s="259"/>
      <c r="AH382" s="259"/>
      <c r="AI382" s="259"/>
      <c r="AJ382" s="259"/>
      <c r="AK382" s="259"/>
      <c r="AL382" s="259"/>
      <c r="AM382" s="259"/>
      <c r="AN382" s="259"/>
      <c r="AO382" s="259"/>
      <c r="AP382" s="259"/>
      <c r="AQ382" s="259"/>
      <c r="AR382" s="259"/>
      <c r="AS382" s="259"/>
    </row>
    <row r="383" spans="1:45" x14ac:dyDescent="0.25">
      <c r="A383" s="396"/>
      <c r="B383" s="396"/>
      <c r="C383" s="396"/>
      <c r="D383" s="396"/>
      <c r="E383" s="396"/>
      <c r="F383" s="396"/>
      <c r="G383" s="396"/>
      <c r="H383" s="396"/>
      <c r="I383" s="396"/>
      <c r="J383" s="396"/>
      <c r="K383" s="396"/>
      <c r="L383" s="396"/>
      <c r="M383" s="396"/>
      <c r="N383" s="396"/>
      <c r="O383" s="396"/>
      <c r="P383" s="396"/>
      <c r="Q383" s="259"/>
      <c r="R383" s="259"/>
      <c r="S383" s="259"/>
      <c r="T383" s="259"/>
      <c r="U383" s="259"/>
      <c r="V383" s="259"/>
      <c r="W383" s="259"/>
      <c r="X383" s="259"/>
      <c r="Y383" s="259"/>
      <c r="Z383" s="259"/>
      <c r="AA383" s="259"/>
      <c r="AB383" s="259"/>
      <c r="AC383" s="259"/>
      <c r="AD383" s="259"/>
      <c r="AE383" s="259"/>
      <c r="AF383" s="259"/>
      <c r="AG383" s="259"/>
      <c r="AH383" s="259"/>
      <c r="AI383" s="259"/>
      <c r="AJ383" s="259"/>
      <c r="AK383" s="259"/>
      <c r="AL383" s="259"/>
      <c r="AM383" s="259"/>
      <c r="AN383" s="259"/>
      <c r="AO383" s="259"/>
      <c r="AP383" s="259"/>
      <c r="AQ383" s="259"/>
      <c r="AR383" s="259"/>
      <c r="AS383" s="259"/>
    </row>
    <row r="384" spans="1:45" x14ac:dyDescent="0.25">
      <c r="A384" s="396"/>
      <c r="B384" s="396"/>
      <c r="C384" s="396"/>
      <c r="D384" s="396"/>
      <c r="E384" s="396"/>
      <c r="F384" s="396"/>
      <c r="G384" s="396"/>
      <c r="H384" s="396"/>
      <c r="I384" s="396"/>
      <c r="J384" s="396"/>
      <c r="K384" s="396"/>
      <c r="L384" s="396"/>
      <c r="M384" s="396"/>
      <c r="N384" s="396"/>
      <c r="O384" s="396"/>
      <c r="P384" s="396"/>
      <c r="Q384" s="259"/>
      <c r="R384" s="259"/>
      <c r="S384" s="259"/>
      <c r="T384" s="259"/>
      <c r="U384" s="259"/>
      <c r="V384" s="259"/>
      <c r="W384" s="259"/>
      <c r="X384" s="259"/>
      <c r="Y384" s="259"/>
      <c r="Z384" s="259"/>
      <c r="AA384" s="259"/>
      <c r="AB384" s="259"/>
      <c r="AC384" s="259"/>
      <c r="AD384" s="259"/>
      <c r="AE384" s="259"/>
      <c r="AF384" s="259"/>
      <c r="AG384" s="259"/>
      <c r="AH384" s="259"/>
      <c r="AI384" s="259"/>
      <c r="AJ384" s="259"/>
      <c r="AK384" s="259"/>
      <c r="AL384" s="259"/>
      <c r="AM384" s="259"/>
      <c r="AN384" s="259"/>
      <c r="AO384" s="259"/>
      <c r="AP384" s="259"/>
      <c r="AQ384" s="259"/>
      <c r="AR384" s="259"/>
      <c r="AS384" s="259"/>
    </row>
    <row r="385" spans="1:45" x14ac:dyDescent="0.25">
      <c r="A385" s="396"/>
      <c r="B385" s="396"/>
      <c r="C385" s="396"/>
      <c r="D385" s="396"/>
      <c r="E385" s="396"/>
      <c r="F385" s="396"/>
      <c r="G385" s="396"/>
      <c r="H385" s="396"/>
      <c r="I385" s="396"/>
      <c r="J385" s="396"/>
      <c r="K385" s="396"/>
      <c r="L385" s="396"/>
      <c r="M385" s="396"/>
      <c r="N385" s="396"/>
      <c r="O385" s="396"/>
      <c r="P385" s="396"/>
      <c r="Q385" s="259"/>
      <c r="R385" s="259"/>
      <c r="S385" s="259"/>
      <c r="T385" s="259"/>
      <c r="U385" s="259"/>
      <c r="V385" s="259"/>
      <c r="W385" s="259"/>
      <c r="X385" s="259"/>
      <c r="Y385" s="259"/>
      <c r="Z385" s="259"/>
      <c r="AA385" s="259"/>
      <c r="AB385" s="259"/>
      <c r="AC385" s="259"/>
      <c r="AD385" s="259"/>
      <c r="AE385" s="259"/>
      <c r="AF385" s="259"/>
      <c r="AG385" s="259"/>
      <c r="AH385" s="259"/>
      <c r="AI385" s="259"/>
      <c r="AJ385" s="259"/>
      <c r="AK385" s="259"/>
      <c r="AL385" s="259"/>
      <c r="AM385" s="259"/>
      <c r="AN385" s="259"/>
      <c r="AO385" s="259"/>
      <c r="AP385" s="259"/>
      <c r="AQ385" s="259"/>
      <c r="AR385" s="259"/>
      <c r="AS385" s="259"/>
    </row>
    <row r="386" spans="1:45" x14ac:dyDescent="0.25">
      <c r="A386" s="396"/>
      <c r="B386" s="396"/>
      <c r="C386" s="396"/>
      <c r="D386" s="396"/>
      <c r="E386" s="396"/>
      <c r="F386" s="396"/>
      <c r="G386" s="396"/>
      <c r="H386" s="396"/>
      <c r="I386" s="396"/>
      <c r="J386" s="396"/>
      <c r="K386" s="396"/>
      <c r="L386" s="396"/>
      <c r="M386" s="396"/>
      <c r="N386" s="396"/>
      <c r="O386" s="396"/>
      <c r="P386" s="396"/>
      <c r="Q386" s="259"/>
      <c r="R386" s="259"/>
      <c r="S386" s="259"/>
      <c r="T386" s="259"/>
      <c r="U386" s="259"/>
      <c r="V386" s="259"/>
      <c r="W386" s="259"/>
      <c r="X386" s="259"/>
      <c r="Y386" s="259"/>
      <c r="Z386" s="259"/>
      <c r="AA386" s="259"/>
      <c r="AB386" s="259"/>
      <c r="AC386" s="259"/>
      <c r="AD386" s="259"/>
      <c r="AE386" s="259"/>
      <c r="AF386" s="259"/>
      <c r="AG386" s="259"/>
      <c r="AH386" s="259"/>
      <c r="AI386" s="259"/>
      <c r="AJ386" s="259"/>
      <c r="AK386" s="259"/>
      <c r="AL386" s="259"/>
      <c r="AM386" s="259"/>
      <c r="AN386" s="259"/>
      <c r="AO386" s="259"/>
      <c r="AP386" s="259"/>
      <c r="AQ386" s="259"/>
      <c r="AR386" s="259"/>
      <c r="AS386" s="259"/>
    </row>
    <row r="387" spans="1:45" x14ac:dyDescent="0.25">
      <c r="A387" s="396"/>
      <c r="B387" s="396"/>
      <c r="C387" s="396"/>
      <c r="D387" s="396"/>
      <c r="E387" s="396"/>
      <c r="F387" s="396"/>
      <c r="G387" s="396"/>
      <c r="H387" s="396"/>
      <c r="I387" s="396"/>
      <c r="J387" s="396"/>
      <c r="K387" s="396"/>
      <c r="L387" s="396"/>
      <c r="M387" s="396"/>
      <c r="N387" s="396"/>
      <c r="O387" s="396"/>
      <c r="P387" s="396"/>
      <c r="Q387" s="259"/>
      <c r="R387" s="259"/>
      <c r="S387" s="259"/>
      <c r="T387" s="259"/>
      <c r="U387" s="259"/>
      <c r="V387" s="259"/>
      <c r="W387" s="259"/>
      <c r="X387" s="259"/>
      <c r="Y387" s="259"/>
      <c r="Z387" s="259"/>
      <c r="AA387" s="259"/>
      <c r="AB387" s="259"/>
      <c r="AC387" s="259"/>
      <c r="AD387" s="259"/>
      <c r="AE387" s="259"/>
      <c r="AF387" s="259"/>
      <c r="AG387" s="259"/>
      <c r="AH387" s="259"/>
      <c r="AI387" s="259"/>
      <c r="AJ387" s="259"/>
      <c r="AK387" s="259"/>
      <c r="AL387" s="259"/>
      <c r="AM387" s="259"/>
      <c r="AN387" s="259"/>
      <c r="AO387" s="259"/>
      <c r="AP387" s="259"/>
      <c r="AQ387" s="259"/>
      <c r="AR387" s="259"/>
      <c r="AS387" s="259"/>
    </row>
    <row r="388" spans="1:45" x14ac:dyDescent="0.25">
      <c r="A388" s="396"/>
      <c r="B388" s="396"/>
      <c r="C388" s="396"/>
      <c r="D388" s="396"/>
      <c r="E388" s="396"/>
      <c r="F388" s="396"/>
      <c r="G388" s="396"/>
      <c r="H388" s="396"/>
      <c r="I388" s="396"/>
      <c r="J388" s="396"/>
      <c r="K388" s="396"/>
      <c r="L388" s="396"/>
      <c r="M388" s="396"/>
      <c r="N388" s="396"/>
      <c r="O388" s="396"/>
      <c r="P388" s="396"/>
      <c r="Q388" s="259"/>
      <c r="R388" s="259"/>
      <c r="S388" s="259"/>
      <c r="T388" s="259"/>
      <c r="U388" s="259"/>
      <c r="V388" s="259"/>
      <c r="W388" s="259"/>
      <c r="X388" s="259"/>
      <c r="Y388" s="259"/>
      <c r="Z388" s="259"/>
      <c r="AA388" s="259"/>
      <c r="AB388" s="259"/>
      <c r="AC388" s="259"/>
      <c r="AD388" s="259"/>
      <c r="AE388" s="259"/>
      <c r="AF388" s="259"/>
      <c r="AG388" s="259"/>
      <c r="AH388" s="259"/>
      <c r="AI388" s="259"/>
      <c r="AJ388" s="259"/>
      <c r="AK388" s="259"/>
      <c r="AL388" s="259"/>
      <c r="AM388" s="259"/>
      <c r="AN388" s="259"/>
      <c r="AO388" s="259"/>
      <c r="AP388" s="259"/>
      <c r="AQ388" s="259"/>
      <c r="AR388" s="259"/>
      <c r="AS388" s="259"/>
    </row>
    <row r="389" spans="1:45" x14ac:dyDescent="0.25">
      <c r="A389" s="396"/>
      <c r="B389" s="396"/>
      <c r="C389" s="396"/>
      <c r="D389" s="396"/>
      <c r="E389" s="396"/>
      <c r="F389" s="396"/>
      <c r="G389" s="396"/>
      <c r="H389" s="396"/>
      <c r="I389" s="396"/>
      <c r="J389" s="396"/>
      <c r="K389" s="396"/>
      <c r="L389" s="396"/>
      <c r="M389" s="396"/>
      <c r="N389" s="396"/>
      <c r="O389" s="396"/>
      <c r="P389" s="396"/>
      <c r="Q389" s="259"/>
      <c r="R389" s="259"/>
      <c r="S389" s="259"/>
      <c r="T389" s="259"/>
      <c r="U389" s="259"/>
      <c r="V389" s="259"/>
      <c r="W389" s="259"/>
      <c r="X389" s="259"/>
      <c r="Y389" s="259"/>
      <c r="Z389" s="259"/>
      <c r="AA389" s="259"/>
      <c r="AB389" s="259"/>
      <c r="AC389" s="259"/>
      <c r="AD389" s="259"/>
      <c r="AE389" s="259"/>
      <c r="AF389" s="259"/>
      <c r="AG389" s="259"/>
      <c r="AH389" s="259"/>
      <c r="AI389" s="259"/>
      <c r="AJ389" s="259"/>
      <c r="AK389" s="259"/>
      <c r="AL389" s="259"/>
      <c r="AM389" s="259"/>
      <c r="AN389" s="259"/>
      <c r="AO389" s="259"/>
      <c r="AP389" s="259"/>
      <c r="AQ389" s="259"/>
      <c r="AR389" s="259"/>
      <c r="AS389" s="259"/>
    </row>
    <row r="390" spans="1:45" x14ac:dyDescent="0.25">
      <c r="A390" s="396"/>
      <c r="B390" s="396"/>
      <c r="C390" s="396"/>
      <c r="D390" s="396"/>
      <c r="E390" s="396"/>
      <c r="F390" s="396"/>
      <c r="G390" s="396"/>
      <c r="H390" s="396"/>
      <c r="I390" s="396"/>
      <c r="J390" s="396"/>
      <c r="K390" s="396"/>
      <c r="L390" s="396"/>
      <c r="M390" s="396"/>
      <c r="N390" s="396"/>
      <c r="O390" s="396"/>
      <c r="P390" s="396"/>
      <c r="Q390" s="259"/>
      <c r="R390" s="259"/>
      <c r="S390" s="259"/>
      <c r="T390" s="259"/>
      <c r="U390" s="259"/>
      <c r="V390" s="259"/>
      <c r="W390" s="259"/>
      <c r="X390" s="259"/>
      <c r="Y390" s="259"/>
      <c r="Z390" s="259"/>
      <c r="AA390" s="259"/>
      <c r="AB390" s="259"/>
      <c r="AC390" s="259"/>
      <c r="AD390" s="259"/>
      <c r="AE390" s="259"/>
      <c r="AF390" s="259"/>
      <c r="AG390" s="259"/>
      <c r="AH390" s="259"/>
      <c r="AI390" s="259"/>
      <c r="AJ390" s="259"/>
      <c r="AK390" s="259"/>
      <c r="AL390" s="259"/>
      <c r="AM390" s="259"/>
      <c r="AN390" s="259"/>
      <c r="AO390" s="259"/>
      <c r="AP390" s="259"/>
      <c r="AQ390" s="259"/>
      <c r="AR390" s="259"/>
      <c r="AS390" s="259"/>
    </row>
    <row r="391" spans="1:45" x14ac:dyDescent="0.25">
      <c r="A391" s="396"/>
      <c r="B391" s="396"/>
      <c r="C391" s="396"/>
      <c r="D391" s="396"/>
      <c r="E391" s="396"/>
      <c r="F391" s="396"/>
      <c r="G391" s="396"/>
      <c r="H391" s="396"/>
      <c r="I391" s="396"/>
      <c r="J391" s="396"/>
      <c r="K391" s="396"/>
      <c r="L391" s="396"/>
      <c r="M391" s="396"/>
      <c r="N391" s="396"/>
      <c r="O391" s="396"/>
      <c r="P391" s="396"/>
      <c r="Q391" s="259"/>
      <c r="R391" s="259"/>
      <c r="S391" s="259"/>
      <c r="T391" s="259"/>
      <c r="U391" s="259"/>
      <c r="V391" s="259"/>
      <c r="W391" s="259"/>
      <c r="X391" s="259"/>
      <c r="Y391" s="259"/>
      <c r="Z391" s="259"/>
      <c r="AA391" s="259"/>
      <c r="AB391" s="259"/>
      <c r="AC391" s="259"/>
      <c r="AD391" s="259"/>
      <c r="AE391" s="259"/>
      <c r="AF391" s="259"/>
      <c r="AG391" s="259"/>
      <c r="AH391" s="259"/>
      <c r="AI391" s="259"/>
      <c r="AJ391" s="259"/>
      <c r="AK391" s="259"/>
      <c r="AL391" s="259"/>
      <c r="AM391" s="259"/>
      <c r="AN391" s="259"/>
      <c r="AO391" s="259"/>
      <c r="AP391" s="259"/>
      <c r="AQ391" s="259"/>
      <c r="AR391" s="259"/>
      <c r="AS391" s="259"/>
    </row>
    <row r="392" spans="1:45" x14ac:dyDescent="0.25">
      <c r="A392" s="396"/>
      <c r="B392" s="396"/>
      <c r="C392" s="396"/>
      <c r="D392" s="396"/>
      <c r="E392" s="396"/>
      <c r="F392" s="396"/>
      <c r="G392" s="396"/>
      <c r="H392" s="396"/>
      <c r="I392" s="396"/>
      <c r="J392" s="396"/>
      <c r="K392" s="396"/>
      <c r="L392" s="396"/>
      <c r="M392" s="396"/>
      <c r="N392" s="396"/>
      <c r="O392" s="396"/>
      <c r="P392" s="396"/>
      <c r="Q392" s="259"/>
      <c r="R392" s="259"/>
      <c r="S392" s="259"/>
      <c r="T392" s="259"/>
      <c r="U392" s="259"/>
      <c r="V392" s="259"/>
      <c r="W392" s="259"/>
      <c r="X392" s="259"/>
      <c r="Y392" s="259"/>
      <c r="Z392" s="259"/>
      <c r="AA392" s="259"/>
      <c r="AB392" s="259"/>
      <c r="AC392" s="259"/>
      <c r="AD392" s="259"/>
      <c r="AE392" s="259"/>
      <c r="AF392" s="259"/>
      <c r="AG392" s="259"/>
      <c r="AH392" s="259"/>
      <c r="AI392" s="259"/>
      <c r="AJ392" s="259"/>
      <c r="AK392" s="259"/>
      <c r="AL392" s="259"/>
      <c r="AM392" s="259"/>
      <c r="AN392" s="259"/>
      <c r="AO392" s="259"/>
      <c r="AP392" s="259"/>
      <c r="AQ392" s="259"/>
      <c r="AR392" s="259"/>
      <c r="AS392" s="259"/>
    </row>
    <row r="393" spans="1:45" x14ac:dyDescent="0.25">
      <c r="A393" s="396"/>
      <c r="B393" s="396"/>
      <c r="C393" s="396"/>
      <c r="D393" s="396"/>
      <c r="E393" s="396"/>
      <c r="F393" s="396"/>
      <c r="G393" s="396"/>
      <c r="H393" s="396"/>
      <c r="I393" s="396"/>
      <c r="J393" s="396"/>
      <c r="K393" s="396"/>
      <c r="L393" s="396"/>
      <c r="M393" s="396"/>
      <c r="N393" s="396"/>
      <c r="O393" s="396"/>
      <c r="P393" s="396"/>
      <c r="Q393" s="259"/>
      <c r="R393" s="259"/>
      <c r="S393" s="259"/>
      <c r="T393" s="259"/>
      <c r="U393" s="259"/>
      <c r="V393" s="259"/>
      <c r="W393" s="259"/>
      <c r="X393" s="259"/>
      <c r="Y393" s="259"/>
      <c r="Z393" s="259"/>
      <c r="AA393" s="259"/>
      <c r="AB393" s="259"/>
      <c r="AC393" s="259"/>
      <c r="AD393" s="259"/>
      <c r="AE393" s="259"/>
      <c r="AF393" s="259"/>
      <c r="AG393" s="259"/>
      <c r="AH393" s="259"/>
      <c r="AI393" s="259"/>
      <c r="AJ393" s="259"/>
      <c r="AK393" s="259"/>
      <c r="AL393" s="259"/>
      <c r="AM393" s="259"/>
      <c r="AN393" s="259"/>
      <c r="AO393" s="259"/>
      <c r="AP393" s="259"/>
      <c r="AQ393" s="259"/>
      <c r="AR393" s="259"/>
      <c r="AS393" s="259"/>
    </row>
    <row r="394" spans="1:45" x14ac:dyDescent="0.25">
      <c r="A394" s="396"/>
      <c r="B394" s="396"/>
      <c r="C394" s="396"/>
      <c r="D394" s="396"/>
      <c r="E394" s="396"/>
      <c r="F394" s="396"/>
      <c r="G394" s="396"/>
      <c r="H394" s="396"/>
      <c r="I394" s="396"/>
      <c r="J394" s="396"/>
      <c r="K394" s="396"/>
      <c r="L394" s="396"/>
      <c r="M394" s="396"/>
      <c r="N394" s="396"/>
      <c r="O394" s="396"/>
      <c r="P394" s="396"/>
      <c r="Q394" s="259"/>
      <c r="R394" s="259"/>
      <c r="S394" s="259"/>
      <c r="T394" s="259"/>
      <c r="U394" s="259"/>
      <c r="V394" s="259"/>
      <c r="W394" s="259"/>
      <c r="X394" s="259"/>
      <c r="Y394" s="259"/>
      <c r="Z394" s="259"/>
      <c r="AA394" s="259"/>
      <c r="AB394" s="259"/>
      <c r="AC394" s="259"/>
      <c r="AD394" s="259"/>
      <c r="AE394" s="259"/>
      <c r="AF394" s="259"/>
      <c r="AG394" s="259"/>
      <c r="AH394" s="259"/>
      <c r="AI394" s="259"/>
      <c r="AJ394" s="259"/>
      <c r="AK394" s="259"/>
      <c r="AL394" s="259"/>
      <c r="AM394" s="259"/>
      <c r="AN394" s="259"/>
      <c r="AO394" s="259"/>
      <c r="AP394" s="259"/>
      <c r="AQ394" s="259"/>
      <c r="AR394" s="259"/>
      <c r="AS394" s="259"/>
    </row>
    <row r="395" spans="1:45" x14ac:dyDescent="0.25">
      <c r="A395" s="396"/>
      <c r="B395" s="396"/>
      <c r="C395" s="396"/>
      <c r="D395" s="396"/>
      <c r="E395" s="396"/>
      <c r="F395" s="396"/>
      <c r="G395" s="396"/>
      <c r="H395" s="396"/>
      <c r="I395" s="396"/>
      <c r="J395" s="396"/>
      <c r="K395" s="396"/>
      <c r="L395" s="396"/>
      <c r="M395" s="396"/>
      <c r="N395" s="396"/>
      <c r="O395" s="396"/>
      <c r="P395" s="396"/>
      <c r="Q395" s="259"/>
      <c r="R395" s="259"/>
      <c r="S395" s="259"/>
      <c r="T395" s="259"/>
      <c r="U395" s="259"/>
      <c r="V395" s="259"/>
      <c r="W395" s="259"/>
      <c r="X395" s="259"/>
      <c r="Y395" s="259"/>
      <c r="Z395" s="259"/>
      <c r="AA395" s="259"/>
      <c r="AB395" s="259"/>
      <c r="AC395" s="259"/>
      <c r="AD395" s="259"/>
      <c r="AE395" s="259"/>
      <c r="AF395" s="259"/>
      <c r="AG395" s="259"/>
      <c r="AH395" s="259"/>
      <c r="AI395" s="259"/>
      <c r="AJ395" s="259"/>
      <c r="AK395" s="259"/>
      <c r="AL395" s="259"/>
      <c r="AM395" s="259"/>
      <c r="AN395" s="259"/>
      <c r="AO395" s="259"/>
      <c r="AP395" s="259"/>
      <c r="AQ395" s="259"/>
      <c r="AR395" s="259"/>
      <c r="AS395" s="259"/>
    </row>
    <row r="396" spans="1:45" x14ac:dyDescent="0.25">
      <c r="A396" s="396"/>
      <c r="B396" s="396"/>
      <c r="C396" s="396"/>
      <c r="D396" s="396"/>
      <c r="E396" s="396"/>
      <c r="F396" s="396"/>
      <c r="G396" s="396"/>
      <c r="H396" s="396"/>
      <c r="I396" s="396"/>
      <c r="J396" s="396"/>
      <c r="K396" s="396"/>
      <c r="L396" s="396"/>
      <c r="M396" s="396"/>
      <c r="N396" s="396"/>
      <c r="O396" s="396"/>
      <c r="P396" s="396"/>
      <c r="Q396" s="259"/>
      <c r="R396" s="259"/>
      <c r="S396" s="259"/>
      <c r="T396" s="259"/>
      <c r="U396" s="259"/>
      <c r="V396" s="259"/>
      <c r="W396" s="259"/>
      <c r="X396" s="259"/>
      <c r="Y396" s="259"/>
      <c r="Z396" s="259"/>
      <c r="AA396" s="259"/>
      <c r="AB396" s="259"/>
      <c r="AC396" s="259"/>
      <c r="AD396" s="259"/>
      <c r="AE396" s="259"/>
      <c r="AF396" s="259"/>
      <c r="AG396" s="259"/>
      <c r="AH396" s="259"/>
      <c r="AI396" s="259"/>
      <c r="AJ396" s="259"/>
      <c r="AK396" s="259"/>
      <c r="AL396" s="259"/>
      <c r="AM396" s="259"/>
      <c r="AN396" s="259"/>
      <c r="AO396" s="259"/>
      <c r="AP396" s="259"/>
      <c r="AQ396" s="259"/>
      <c r="AR396" s="259"/>
      <c r="AS396" s="259"/>
    </row>
    <row r="397" spans="1:45" x14ac:dyDescent="0.25">
      <c r="A397" s="396"/>
      <c r="B397" s="396"/>
      <c r="C397" s="396"/>
      <c r="D397" s="396"/>
      <c r="E397" s="396"/>
      <c r="F397" s="396"/>
      <c r="G397" s="396"/>
      <c r="H397" s="396"/>
      <c r="I397" s="396"/>
      <c r="J397" s="396"/>
      <c r="K397" s="396"/>
      <c r="L397" s="396"/>
      <c r="M397" s="396"/>
      <c r="N397" s="396"/>
      <c r="O397" s="396"/>
      <c r="P397" s="396"/>
      <c r="Q397" s="259"/>
      <c r="R397" s="259"/>
      <c r="S397" s="259"/>
      <c r="T397" s="259"/>
      <c r="U397" s="259"/>
      <c r="V397" s="259"/>
      <c r="W397" s="259"/>
      <c r="X397" s="259"/>
      <c r="Y397" s="259"/>
      <c r="Z397" s="259"/>
      <c r="AA397" s="259"/>
      <c r="AB397" s="259"/>
      <c r="AC397" s="259"/>
      <c r="AD397" s="259"/>
      <c r="AE397" s="259"/>
      <c r="AF397" s="259"/>
      <c r="AG397" s="259"/>
      <c r="AH397" s="259"/>
      <c r="AI397" s="259"/>
      <c r="AJ397" s="259"/>
      <c r="AK397" s="259"/>
      <c r="AL397" s="259"/>
      <c r="AM397" s="259"/>
      <c r="AN397" s="259"/>
      <c r="AO397" s="259"/>
      <c r="AP397" s="259"/>
      <c r="AQ397" s="259"/>
      <c r="AR397" s="259"/>
      <c r="AS397" s="259"/>
    </row>
    <row r="398" spans="1:45" x14ac:dyDescent="0.25">
      <c r="A398" s="396"/>
      <c r="B398" s="396"/>
      <c r="C398" s="396"/>
      <c r="D398" s="396"/>
      <c r="E398" s="396"/>
      <c r="F398" s="396"/>
      <c r="G398" s="396"/>
      <c r="H398" s="396"/>
      <c r="I398" s="396"/>
      <c r="J398" s="396"/>
      <c r="K398" s="396"/>
      <c r="L398" s="396"/>
      <c r="M398" s="396"/>
      <c r="N398" s="396"/>
      <c r="O398" s="396"/>
      <c r="P398" s="396"/>
      <c r="Q398" s="259"/>
      <c r="R398" s="259"/>
      <c r="S398" s="259"/>
      <c r="T398" s="259"/>
      <c r="U398" s="259"/>
      <c r="V398" s="259"/>
      <c r="W398" s="259"/>
      <c r="X398" s="259"/>
      <c r="Y398" s="259"/>
      <c r="Z398" s="259"/>
      <c r="AA398" s="259"/>
      <c r="AB398" s="259"/>
      <c r="AC398" s="259"/>
      <c r="AD398" s="259"/>
      <c r="AE398" s="259"/>
      <c r="AF398" s="259"/>
      <c r="AG398" s="259"/>
      <c r="AH398" s="259"/>
      <c r="AI398" s="259"/>
      <c r="AJ398" s="259"/>
      <c r="AK398" s="259"/>
      <c r="AL398" s="259"/>
      <c r="AM398" s="259"/>
      <c r="AN398" s="259"/>
      <c r="AO398" s="259"/>
      <c r="AP398" s="259"/>
      <c r="AQ398" s="259"/>
      <c r="AR398" s="259"/>
      <c r="AS398" s="259"/>
    </row>
    <row r="399" spans="1:45" x14ac:dyDescent="0.25">
      <c r="A399" s="396"/>
      <c r="B399" s="396"/>
      <c r="C399" s="396"/>
      <c r="D399" s="396"/>
      <c r="E399" s="396"/>
      <c r="F399" s="396"/>
      <c r="G399" s="396"/>
      <c r="H399" s="396"/>
      <c r="I399" s="396"/>
      <c r="J399" s="396"/>
      <c r="K399" s="396"/>
      <c r="L399" s="396"/>
      <c r="M399" s="396"/>
      <c r="N399" s="396"/>
      <c r="O399" s="396"/>
      <c r="P399" s="396"/>
      <c r="Q399" s="259"/>
      <c r="R399" s="259"/>
      <c r="S399" s="259"/>
      <c r="T399" s="259"/>
      <c r="U399" s="259"/>
      <c r="V399" s="259"/>
      <c r="W399" s="259"/>
      <c r="X399" s="259"/>
      <c r="Y399" s="259"/>
      <c r="Z399" s="259"/>
      <c r="AA399" s="259"/>
      <c r="AB399" s="259"/>
      <c r="AC399" s="259"/>
      <c r="AD399" s="259"/>
      <c r="AE399" s="259"/>
      <c r="AF399" s="259"/>
      <c r="AG399" s="259"/>
      <c r="AH399" s="259"/>
      <c r="AI399" s="259"/>
      <c r="AJ399" s="259"/>
      <c r="AK399" s="259"/>
      <c r="AL399" s="259"/>
      <c r="AM399" s="259"/>
      <c r="AN399" s="259"/>
      <c r="AO399" s="259"/>
      <c r="AP399" s="259"/>
      <c r="AQ399" s="259"/>
      <c r="AR399" s="259"/>
      <c r="AS399" s="259"/>
    </row>
    <row r="400" spans="1:45" x14ac:dyDescent="0.25">
      <c r="A400" s="396"/>
      <c r="B400" s="396"/>
      <c r="C400" s="396"/>
      <c r="D400" s="396"/>
      <c r="E400" s="396"/>
      <c r="F400" s="396"/>
      <c r="G400" s="396"/>
      <c r="H400" s="396"/>
      <c r="I400" s="396"/>
      <c r="J400" s="396"/>
      <c r="K400" s="396"/>
      <c r="L400" s="396"/>
      <c r="M400" s="396"/>
      <c r="N400" s="396"/>
      <c r="O400" s="396"/>
      <c r="P400" s="396"/>
      <c r="Q400" s="259"/>
      <c r="R400" s="259"/>
      <c r="S400" s="259"/>
      <c r="T400" s="259"/>
      <c r="U400" s="259"/>
      <c r="V400" s="259"/>
      <c r="W400" s="259"/>
      <c r="X400" s="259"/>
      <c r="Y400" s="259"/>
      <c r="Z400" s="259"/>
      <c r="AA400" s="259"/>
      <c r="AB400" s="259"/>
      <c r="AC400" s="259"/>
      <c r="AD400" s="259"/>
      <c r="AE400" s="259"/>
      <c r="AF400" s="259"/>
      <c r="AG400" s="259"/>
      <c r="AH400" s="259"/>
      <c r="AI400" s="259"/>
      <c r="AJ400" s="259"/>
      <c r="AK400" s="259"/>
      <c r="AL400" s="259"/>
      <c r="AM400" s="259"/>
      <c r="AN400" s="259"/>
      <c r="AO400" s="259"/>
      <c r="AP400" s="259"/>
      <c r="AQ400" s="259"/>
      <c r="AR400" s="259"/>
      <c r="AS400" s="259"/>
    </row>
    <row r="401" spans="1:45" x14ac:dyDescent="0.25">
      <c r="A401" s="396"/>
      <c r="B401" s="396"/>
      <c r="C401" s="396"/>
      <c r="D401" s="396"/>
      <c r="E401" s="396"/>
      <c r="F401" s="396"/>
      <c r="G401" s="396"/>
      <c r="H401" s="396"/>
      <c r="I401" s="396"/>
      <c r="J401" s="396"/>
      <c r="K401" s="396"/>
      <c r="L401" s="396"/>
      <c r="M401" s="396"/>
      <c r="N401" s="396"/>
      <c r="O401" s="396"/>
      <c r="P401" s="396"/>
      <c r="Q401" s="259"/>
      <c r="R401" s="259"/>
      <c r="S401" s="259"/>
      <c r="T401" s="259"/>
      <c r="U401" s="259"/>
      <c r="V401" s="259"/>
      <c r="W401" s="259"/>
      <c r="X401" s="259"/>
      <c r="Y401" s="259"/>
      <c r="Z401" s="259"/>
      <c r="AA401" s="259"/>
      <c r="AB401" s="259"/>
      <c r="AC401" s="259"/>
      <c r="AD401" s="259"/>
      <c r="AE401" s="259"/>
      <c r="AF401" s="259"/>
      <c r="AG401" s="259"/>
      <c r="AH401" s="259"/>
      <c r="AI401" s="259"/>
      <c r="AJ401" s="259"/>
      <c r="AK401" s="259"/>
      <c r="AL401" s="259"/>
      <c r="AM401" s="259"/>
      <c r="AN401" s="259"/>
      <c r="AO401" s="259"/>
      <c r="AP401" s="259"/>
      <c r="AQ401" s="259"/>
      <c r="AR401" s="259"/>
      <c r="AS401" s="259"/>
    </row>
    <row r="402" spans="1:45" x14ac:dyDescent="0.25">
      <c r="A402" s="396"/>
      <c r="B402" s="396"/>
      <c r="C402" s="396"/>
      <c r="D402" s="396"/>
      <c r="E402" s="396"/>
      <c r="F402" s="396"/>
      <c r="G402" s="396"/>
      <c r="H402" s="396"/>
      <c r="I402" s="396"/>
      <c r="J402" s="396"/>
      <c r="K402" s="396"/>
      <c r="L402" s="396"/>
      <c r="M402" s="396"/>
      <c r="N402" s="396"/>
      <c r="O402" s="396"/>
      <c r="P402" s="396"/>
      <c r="Q402" s="259"/>
      <c r="R402" s="259"/>
      <c r="S402" s="259"/>
      <c r="T402" s="259"/>
      <c r="U402" s="259"/>
      <c r="V402" s="259"/>
      <c r="W402" s="259"/>
      <c r="X402" s="259"/>
      <c r="Y402" s="259"/>
      <c r="Z402" s="259"/>
      <c r="AA402" s="259"/>
      <c r="AB402" s="259"/>
      <c r="AC402" s="259"/>
      <c r="AD402" s="259"/>
      <c r="AE402" s="259"/>
      <c r="AF402" s="259"/>
      <c r="AG402" s="259"/>
      <c r="AH402" s="259"/>
      <c r="AI402" s="259"/>
      <c r="AJ402" s="259"/>
      <c r="AK402" s="259"/>
      <c r="AL402" s="259"/>
      <c r="AM402" s="259"/>
      <c r="AN402" s="259"/>
      <c r="AO402" s="259"/>
      <c r="AP402" s="259"/>
      <c r="AQ402" s="259"/>
      <c r="AR402" s="259"/>
      <c r="AS402" s="259"/>
    </row>
    <row r="403" spans="1:45" x14ac:dyDescent="0.25">
      <c r="A403" s="396"/>
      <c r="B403" s="396"/>
      <c r="C403" s="396"/>
      <c r="D403" s="396"/>
      <c r="E403" s="396"/>
      <c r="F403" s="396"/>
      <c r="G403" s="396"/>
      <c r="H403" s="396"/>
      <c r="I403" s="396"/>
      <c r="J403" s="396"/>
      <c r="K403" s="396"/>
      <c r="L403" s="396"/>
      <c r="M403" s="396"/>
      <c r="N403" s="396"/>
      <c r="O403" s="396"/>
      <c r="P403" s="396"/>
      <c r="Q403" s="259"/>
      <c r="R403" s="259"/>
      <c r="S403" s="259"/>
      <c r="T403" s="259"/>
      <c r="U403" s="259"/>
      <c r="V403" s="259"/>
      <c r="W403" s="259"/>
      <c r="X403" s="259"/>
      <c r="Y403" s="259"/>
      <c r="Z403" s="259"/>
      <c r="AA403" s="259"/>
      <c r="AB403" s="259"/>
      <c r="AC403" s="259"/>
      <c r="AD403" s="259"/>
      <c r="AE403" s="259"/>
      <c r="AF403" s="259"/>
      <c r="AG403" s="259"/>
      <c r="AH403" s="259"/>
      <c r="AI403" s="259"/>
      <c r="AJ403" s="259"/>
      <c r="AK403" s="259"/>
      <c r="AL403" s="259"/>
      <c r="AM403" s="259"/>
      <c r="AN403" s="259"/>
      <c r="AO403" s="259"/>
      <c r="AP403" s="259"/>
      <c r="AQ403" s="259"/>
      <c r="AR403" s="259"/>
      <c r="AS403" s="259"/>
    </row>
    <row r="404" spans="1:45" x14ac:dyDescent="0.25">
      <c r="A404" s="396"/>
      <c r="B404" s="396"/>
      <c r="C404" s="396"/>
      <c r="D404" s="396"/>
      <c r="E404" s="396"/>
      <c r="F404" s="396"/>
      <c r="G404" s="396"/>
      <c r="H404" s="396"/>
      <c r="I404" s="396"/>
      <c r="J404" s="396"/>
      <c r="K404" s="396"/>
      <c r="L404" s="396"/>
      <c r="M404" s="396"/>
      <c r="N404" s="396"/>
      <c r="O404" s="396"/>
      <c r="P404" s="396"/>
      <c r="Q404" s="259"/>
      <c r="R404" s="259"/>
      <c r="S404" s="259"/>
      <c r="T404" s="259"/>
      <c r="U404" s="259"/>
      <c r="V404" s="259"/>
      <c r="W404" s="259"/>
      <c r="X404" s="259"/>
      <c r="Y404" s="259"/>
      <c r="Z404" s="259"/>
      <c r="AA404" s="259"/>
      <c r="AB404" s="259"/>
      <c r="AC404" s="259"/>
      <c r="AD404" s="259"/>
      <c r="AE404" s="259"/>
      <c r="AF404" s="259"/>
      <c r="AG404" s="259"/>
      <c r="AH404" s="259"/>
      <c r="AI404" s="259"/>
      <c r="AJ404" s="259"/>
      <c r="AK404" s="259"/>
      <c r="AL404" s="259"/>
      <c r="AM404" s="259"/>
      <c r="AN404" s="259"/>
      <c r="AO404" s="259"/>
      <c r="AP404" s="259"/>
      <c r="AQ404" s="259"/>
      <c r="AR404" s="259"/>
      <c r="AS404" s="259"/>
    </row>
    <row r="405" spans="1:45" x14ac:dyDescent="0.25">
      <c r="A405" s="396"/>
      <c r="B405" s="396"/>
      <c r="C405" s="396"/>
      <c r="D405" s="396"/>
      <c r="E405" s="396"/>
      <c r="F405" s="396"/>
      <c r="G405" s="396"/>
      <c r="H405" s="396"/>
      <c r="I405" s="396"/>
      <c r="J405" s="396"/>
      <c r="K405" s="396"/>
      <c r="L405" s="396"/>
      <c r="M405" s="396"/>
      <c r="N405" s="396"/>
      <c r="O405" s="396"/>
      <c r="P405" s="396"/>
      <c r="Q405" s="259"/>
      <c r="R405" s="259"/>
      <c r="S405" s="259"/>
      <c r="T405" s="259"/>
      <c r="U405" s="259"/>
      <c r="V405" s="259"/>
      <c r="W405" s="259"/>
      <c r="X405" s="259"/>
      <c r="Y405" s="259"/>
      <c r="Z405" s="259"/>
      <c r="AA405" s="259"/>
      <c r="AB405" s="259"/>
      <c r="AC405" s="259"/>
      <c r="AD405" s="259"/>
      <c r="AE405" s="259"/>
      <c r="AF405" s="259"/>
      <c r="AG405" s="259"/>
      <c r="AH405" s="259"/>
      <c r="AI405" s="259"/>
      <c r="AJ405" s="259"/>
      <c r="AK405" s="259"/>
      <c r="AL405" s="259"/>
      <c r="AM405" s="259"/>
      <c r="AN405" s="259"/>
      <c r="AO405" s="259"/>
      <c r="AP405" s="259"/>
      <c r="AQ405" s="259"/>
      <c r="AR405" s="259"/>
      <c r="AS405" s="259"/>
    </row>
    <row r="406" spans="1:45" x14ac:dyDescent="0.25">
      <c r="A406" s="396"/>
      <c r="B406" s="396"/>
      <c r="C406" s="396"/>
      <c r="D406" s="396"/>
      <c r="E406" s="396"/>
      <c r="F406" s="396"/>
      <c r="G406" s="396"/>
      <c r="H406" s="396"/>
      <c r="I406" s="396"/>
      <c r="J406" s="396"/>
      <c r="K406" s="396"/>
      <c r="L406" s="396"/>
      <c r="M406" s="396"/>
      <c r="N406" s="396"/>
      <c r="O406" s="396"/>
      <c r="P406" s="396"/>
      <c r="Q406" s="259"/>
      <c r="R406" s="259"/>
      <c r="S406" s="259"/>
      <c r="T406" s="259"/>
      <c r="U406" s="259"/>
      <c r="V406" s="259"/>
      <c r="W406" s="259"/>
      <c r="X406" s="259"/>
      <c r="Y406" s="259"/>
      <c r="Z406" s="259"/>
      <c r="AA406" s="259"/>
      <c r="AB406" s="259"/>
      <c r="AC406" s="259"/>
      <c r="AD406" s="259"/>
      <c r="AE406" s="259"/>
      <c r="AF406" s="259"/>
      <c r="AG406" s="259"/>
      <c r="AH406" s="259"/>
      <c r="AI406" s="259"/>
      <c r="AJ406" s="259"/>
      <c r="AK406" s="259"/>
      <c r="AL406" s="259"/>
      <c r="AM406" s="259"/>
      <c r="AN406" s="259"/>
      <c r="AO406" s="259"/>
      <c r="AP406" s="259"/>
      <c r="AQ406" s="259"/>
      <c r="AR406" s="259"/>
      <c r="AS406" s="259"/>
    </row>
    <row r="407" spans="1:45" x14ac:dyDescent="0.25">
      <c r="A407" s="396"/>
      <c r="B407" s="396"/>
      <c r="C407" s="396"/>
      <c r="D407" s="396"/>
      <c r="E407" s="396"/>
      <c r="F407" s="396"/>
      <c r="G407" s="396"/>
      <c r="H407" s="396"/>
      <c r="I407" s="396"/>
      <c r="J407" s="396"/>
      <c r="K407" s="396"/>
      <c r="L407" s="396"/>
      <c r="M407" s="396"/>
      <c r="N407" s="396"/>
      <c r="O407" s="396"/>
      <c r="P407" s="396"/>
      <c r="Q407" s="259"/>
      <c r="R407" s="259"/>
      <c r="S407" s="259"/>
      <c r="T407" s="259"/>
      <c r="U407" s="259"/>
      <c r="V407" s="259"/>
      <c r="W407" s="259"/>
      <c r="X407" s="259"/>
      <c r="Y407" s="259"/>
      <c r="Z407" s="259"/>
      <c r="AA407" s="259"/>
      <c r="AB407" s="259"/>
      <c r="AC407" s="259"/>
      <c r="AD407" s="259"/>
      <c r="AE407" s="259"/>
      <c r="AF407" s="259"/>
      <c r="AG407" s="259"/>
      <c r="AH407" s="259"/>
      <c r="AI407" s="259"/>
      <c r="AJ407" s="259"/>
      <c r="AK407" s="259"/>
      <c r="AL407" s="259"/>
      <c r="AM407" s="259"/>
      <c r="AN407" s="259"/>
      <c r="AO407" s="259"/>
      <c r="AP407" s="259"/>
      <c r="AQ407" s="259"/>
      <c r="AR407" s="259"/>
      <c r="AS407" s="259"/>
    </row>
    <row r="408" spans="1:45" x14ac:dyDescent="0.25">
      <c r="A408" s="396"/>
      <c r="B408" s="396"/>
      <c r="C408" s="396"/>
      <c r="D408" s="396"/>
      <c r="E408" s="396"/>
      <c r="F408" s="396"/>
      <c r="G408" s="396"/>
      <c r="H408" s="396"/>
      <c r="I408" s="396"/>
      <c r="J408" s="396"/>
      <c r="K408" s="396"/>
      <c r="L408" s="396"/>
      <c r="M408" s="396"/>
      <c r="N408" s="396"/>
      <c r="O408" s="396"/>
      <c r="P408" s="396"/>
      <c r="Q408" s="259"/>
      <c r="R408" s="259"/>
      <c r="S408" s="259"/>
      <c r="T408" s="259"/>
      <c r="U408" s="259"/>
      <c r="V408" s="259"/>
      <c r="W408" s="259"/>
      <c r="X408" s="259"/>
      <c r="Y408" s="259"/>
      <c r="Z408" s="259"/>
      <c r="AA408" s="259"/>
      <c r="AB408" s="259"/>
      <c r="AC408" s="259"/>
      <c r="AD408" s="259"/>
      <c r="AE408" s="259"/>
      <c r="AF408" s="259"/>
      <c r="AG408" s="259"/>
      <c r="AH408" s="259"/>
      <c r="AI408" s="259"/>
      <c r="AJ408" s="259"/>
      <c r="AK408" s="259"/>
      <c r="AL408" s="259"/>
      <c r="AM408" s="259"/>
      <c r="AN408" s="259"/>
      <c r="AO408" s="259"/>
      <c r="AP408" s="259"/>
      <c r="AQ408" s="259"/>
      <c r="AR408" s="259"/>
      <c r="AS408" s="259"/>
    </row>
    <row r="409" spans="1:45" x14ac:dyDescent="0.25">
      <c r="A409" s="396"/>
      <c r="B409" s="396"/>
      <c r="C409" s="396"/>
      <c r="D409" s="396"/>
      <c r="E409" s="396"/>
      <c r="F409" s="396"/>
      <c r="G409" s="396"/>
      <c r="H409" s="396"/>
      <c r="I409" s="396"/>
      <c r="J409" s="396"/>
      <c r="K409" s="396"/>
      <c r="L409" s="396"/>
      <c r="M409" s="396"/>
      <c r="N409" s="396"/>
      <c r="O409" s="396"/>
      <c r="P409" s="396"/>
      <c r="Q409" s="259"/>
      <c r="R409" s="259"/>
      <c r="S409" s="259"/>
      <c r="T409" s="259"/>
      <c r="U409" s="259"/>
      <c r="V409" s="259"/>
      <c r="W409" s="259"/>
      <c r="X409" s="259"/>
      <c r="Y409" s="259"/>
      <c r="Z409" s="259"/>
      <c r="AA409" s="259"/>
      <c r="AB409" s="259"/>
      <c r="AC409" s="259"/>
      <c r="AD409" s="259"/>
      <c r="AE409" s="259"/>
      <c r="AF409" s="259"/>
      <c r="AG409" s="259"/>
      <c r="AH409" s="259"/>
      <c r="AI409" s="259"/>
      <c r="AJ409" s="259"/>
      <c r="AK409" s="259"/>
      <c r="AL409" s="259"/>
      <c r="AM409" s="259"/>
      <c r="AN409" s="259"/>
      <c r="AO409" s="259"/>
      <c r="AP409" s="259"/>
      <c r="AQ409" s="259"/>
      <c r="AR409" s="259"/>
      <c r="AS409" s="259"/>
    </row>
    <row r="410" spans="1:45" x14ac:dyDescent="0.25">
      <c r="A410" s="396"/>
      <c r="B410" s="396"/>
      <c r="C410" s="396"/>
      <c r="D410" s="396"/>
      <c r="E410" s="396"/>
      <c r="F410" s="396"/>
      <c r="G410" s="396"/>
      <c r="H410" s="396"/>
      <c r="I410" s="396"/>
      <c r="J410" s="396"/>
      <c r="K410" s="396"/>
      <c r="L410" s="396"/>
      <c r="M410" s="396"/>
      <c r="N410" s="396"/>
      <c r="O410" s="396"/>
      <c r="P410" s="396"/>
      <c r="Q410" s="259"/>
      <c r="R410" s="259"/>
      <c r="S410" s="259"/>
      <c r="T410" s="259"/>
      <c r="U410" s="259"/>
      <c r="V410" s="259"/>
      <c r="W410" s="259"/>
      <c r="X410" s="259"/>
      <c r="Y410" s="259"/>
      <c r="Z410" s="259"/>
      <c r="AA410" s="259"/>
      <c r="AB410" s="259"/>
      <c r="AC410" s="259"/>
      <c r="AD410" s="259"/>
      <c r="AE410" s="259"/>
      <c r="AF410" s="259"/>
      <c r="AG410" s="259"/>
      <c r="AH410" s="259"/>
      <c r="AI410" s="259"/>
      <c r="AJ410" s="259"/>
      <c r="AK410" s="259"/>
      <c r="AL410" s="259"/>
      <c r="AM410" s="259"/>
      <c r="AN410" s="259"/>
      <c r="AO410" s="259"/>
      <c r="AP410" s="259"/>
      <c r="AQ410" s="259"/>
      <c r="AR410" s="259"/>
      <c r="AS410" s="259"/>
    </row>
    <row r="411" spans="1:45" x14ac:dyDescent="0.25">
      <c r="A411" s="396"/>
      <c r="B411" s="396"/>
      <c r="C411" s="396"/>
      <c r="D411" s="396"/>
      <c r="E411" s="396"/>
      <c r="F411" s="396"/>
      <c r="G411" s="396"/>
      <c r="H411" s="396"/>
      <c r="I411" s="396"/>
      <c r="J411" s="396"/>
      <c r="K411" s="396"/>
      <c r="L411" s="396"/>
      <c r="M411" s="396"/>
      <c r="N411" s="396"/>
      <c r="O411" s="396"/>
      <c r="P411" s="396"/>
      <c r="Q411" s="259"/>
      <c r="R411" s="259"/>
      <c r="S411" s="259"/>
      <c r="T411" s="259"/>
      <c r="U411" s="259"/>
      <c r="V411" s="259"/>
      <c r="W411" s="259"/>
      <c r="X411" s="259"/>
      <c r="Y411" s="259"/>
      <c r="Z411" s="259"/>
      <c r="AA411" s="259"/>
      <c r="AB411" s="259"/>
      <c r="AC411" s="259"/>
      <c r="AD411" s="259"/>
      <c r="AE411" s="259"/>
      <c r="AF411" s="259"/>
      <c r="AG411" s="259"/>
      <c r="AH411" s="259"/>
      <c r="AI411" s="259"/>
      <c r="AJ411" s="259"/>
      <c r="AK411" s="259"/>
      <c r="AL411" s="259"/>
      <c r="AM411" s="259"/>
      <c r="AN411" s="259"/>
      <c r="AO411" s="259"/>
      <c r="AP411" s="259"/>
      <c r="AQ411" s="259"/>
      <c r="AR411" s="259"/>
      <c r="AS411" s="259"/>
    </row>
    <row r="412" spans="1:45" x14ac:dyDescent="0.25">
      <c r="A412" s="396"/>
      <c r="B412" s="396"/>
      <c r="C412" s="396"/>
      <c r="D412" s="396"/>
      <c r="E412" s="396"/>
      <c r="F412" s="396"/>
      <c r="G412" s="396"/>
      <c r="H412" s="396"/>
      <c r="I412" s="396"/>
      <c r="J412" s="396"/>
      <c r="K412" s="396"/>
      <c r="L412" s="396"/>
      <c r="M412" s="396"/>
      <c r="N412" s="396"/>
      <c r="O412" s="396"/>
      <c r="P412" s="396"/>
      <c r="Q412" s="259"/>
      <c r="R412" s="259"/>
      <c r="S412" s="259"/>
      <c r="T412" s="259"/>
      <c r="U412" s="259"/>
      <c r="V412" s="259"/>
      <c r="W412" s="259"/>
      <c r="X412" s="259"/>
      <c r="Y412" s="259"/>
      <c r="Z412" s="259"/>
      <c r="AA412" s="259"/>
      <c r="AB412" s="259"/>
      <c r="AC412" s="259"/>
      <c r="AD412" s="259"/>
      <c r="AE412" s="259"/>
      <c r="AF412" s="259"/>
      <c r="AG412" s="259"/>
      <c r="AH412" s="259"/>
      <c r="AI412" s="259"/>
      <c r="AJ412" s="259"/>
      <c r="AK412" s="259"/>
      <c r="AL412" s="259"/>
      <c r="AM412" s="259"/>
      <c r="AN412" s="259"/>
      <c r="AO412" s="259"/>
      <c r="AP412" s="259"/>
      <c r="AQ412" s="259"/>
      <c r="AR412" s="259"/>
      <c r="AS412" s="259"/>
    </row>
    <row r="413" spans="1:45" x14ac:dyDescent="0.25">
      <c r="A413" s="396"/>
      <c r="B413" s="396"/>
      <c r="C413" s="396"/>
      <c r="D413" s="396"/>
      <c r="E413" s="396"/>
      <c r="F413" s="396"/>
      <c r="G413" s="396"/>
      <c r="H413" s="396"/>
      <c r="I413" s="396"/>
      <c r="J413" s="396"/>
      <c r="K413" s="396"/>
      <c r="L413" s="396"/>
      <c r="M413" s="396"/>
      <c r="N413" s="396"/>
      <c r="O413" s="396"/>
      <c r="P413" s="396"/>
      <c r="Q413" s="259"/>
      <c r="R413" s="259"/>
      <c r="S413" s="259"/>
      <c r="T413" s="259"/>
      <c r="U413" s="259"/>
      <c r="V413" s="259"/>
      <c r="W413" s="259"/>
      <c r="X413" s="259"/>
      <c r="Y413" s="259"/>
      <c r="Z413" s="259"/>
      <c r="AA413" s="259"/>
      <c r="AB413" s="259"/>
      <c r="AC413" s="259"/>
      <c r="AD413" s="259"/>
      <c r="AE413" s="259"/>
      <c r="AF413" s="259"/>
      <c r="AG413" s="259"/>
      <c r="AH413" s="259"/>
      <c r="AI413" s="259"/>
      <c r="AJ413" s="259"/>
      <c r="AK413" s="259"/>
      <c r="AL413" s="259"/>
      <c r="AM413" s="259"/>
      <c r="AN413" s="259"/>
      <c r="AO413" s="259"/>
      <c r="AP413" s="259"/>
      <c r="AQ413" s="259"/>
      <c r="AR413" s="259"/>
      <c r="AS413" s="259"/>
    </row>
    <row r="414" spans="1:45" x14ac:dyDescent="0.25">
      <c r="A414" s="396"/>
      <c r="B414" s="396"/>
      <c r="C414" s="396"/>
      <c r="D414" s="396"/>
      <c r="E414" s="396"/>
      <c r="F414" s="396"/>
      <c r="G414" s="396"/>
      <c r="H414" s="396"/>
      <c r="I414" s="396"/>
      <c r="J414" s="396"/>
      <c r="K414" s="396"/>
      <c r="L414" s="396"/>
      <c r="M414" s="396"/>
      <c r="N414" s="396"/>
      <c r="O414" s="396"/>
      <c r="P414" s="396"/>
      <c r="Q414" s="259"/>
      <c r="R414" s="259"/>
      <c r="S414" s="259"/>
      <c r="T414" s="259"/>
      <c r="U414" s="259"/>
      <c r="V414" s="259"/>
      <c r="W414" s="259"/>
      <c r="X414" s="259"/>
      <c r="Y414" s="259"/>
      <c r="Z414" s="259"/>
      <c r="AA414" s="259"/>
      <c r="AB414" s="259"/>
      <c r="AC414" s="259"/>
      <c r="AD414" s="259"/>
      <c r="AE414" s="259"/>
      <c r="AF414" s="259"/>
      <c r="AG414" s="259"/>
      <c r="AH414" s="259"/>
      <c r="AI414" s="259"/>
      <c r="AJ414" s="259"/>
      <c r="AK414" s="259"/>
      <c r="AL414" s="259"/>
      <c r="AM414" s="259"/>
      <c r="AN414" s="259"/>
      <c r="AO414" s="259"/>
      <c r="AP414" s="259"/>
      <c r="AQ414" s="259"/>
      <c r="AR414" s="259"/>
      <c r="AS414" s="259"/>
    </row>
    <row r="415" spans="1:45" x14ac:dyDescent="0.25">
      <c r="A415" s="396"/>
      <c r="B415" s="396"/>
      <c r="C415" s="396"/>
      <c r="D415" s="396"/>
      <c r="E415" s="396"/>
      <c r="F415" s="396"/>
      <c r="G415" s="396"/>
      <c r="H415" s="396"/>
      <c r="I415" s="396"/>
      <c r="J415" s="396"/>
      <c r="K415" s="396"/>
      <c r="L415" s="396"/>
      <c r="M415" s="396"/>
      <c r="N415" s="396"/>
      <c r="O415" s="396"/>
      <c r="P415" s="396"/>
      <c r="Q415" s="259"/>
      <c r="R415" s="259"/>
      <c r="S415" s="259"/>
      <c r="T415" s="259"/>
      <c r="U415" s="259"/>
      <c r="V415" s="259"/>
      <c r="W415" s="259"/>
      <c r="X415" s="259"/>
      <c r="Y415" s="259"/>
      <c r="Z415" s="259"/>
      <c r="AA415" s="259"/>
      <c r="AB415" s="259"/>
      <c r="AC415" s="259"/>
      <c r="AD415" s="259"/>
      <c r="AE415" s="259"/>
      <c r="AF415" s="259"/>
      <c r="AG415" s="259"/>
      <c r="AH415" s="259"/>
      <c r="AI415" s="259"/>
      <c r="AJ415" s="259"/>
      <c r="AK415" s="259"/>
      <c r="AL415" s="259"/>
      <c r="AM415" s="259"/>
      <c r="AN415" s="259"/>
      <c r="AO415" s="259"/>
      <c r="AP415" s="259"/>
      <c r="AQ415" s="259"/>
      <c r="AR415" s="259"/>
      <c r="AS415" s="259"/>
    </row>
    <row r="416" spans="1:45" x14ac:dyDescent="0.25">
      <c r="A416" s="396"/>
      <c r="B416" s="396"/>
      <c r="C416" s="396"/>
      <c r="D416" s="396"/>
      <c r="E416" s="396"/>
      <c r="F416" s="396"/>
      <c r="G416" s="396"/>
      <c r="H416" s="396"/>
      <c r="I416" s="396"/>
      <c r="J416" s="396"/>
      <c r="K416" s="396"/>
      <c r="L416" s="396"/>
      <c r="M416" s="396"/>
      <c r="N416" s="396"/>
      <c r="O416" s="396"/>
      <c r="P416" s="396"/>
      <c r="Q416" s="259"/>
      <c r="R416" s="259"/>
      <c r="S416" s="259"/>
      <c r="T416" s="259"/>
      <c r="U416" s="259"/>
      <c r="V416" s="259"/>
      <c r="W416" s="259"/>
      <c r="X416" s="259"/>
      <c r="Y416" s="259"/>
      <c r="Z416" s="259"/>
      <c r="AA416" s="259"/>
      <c r="AB416" s="259"/>
      <c r="AC416" s="259"/>
      <c r="AD416" s="259"/>
      <c r="AE416" s="259"/>
      <c r="AF416" s="259"/>
      <c r="AG416" s="259"/>
      <c r="AH416" s="259"/>
      <c r="AI416" s="259"/>
      <c r="AJ416" s="259"/>
      <c r="AK416" s="259"/>
      <c r="AL416" s="259"/>
      <c r="AM416" s="259"/>
      <c r="AN416" s="259"/>
      <c r="AO416" s="259"/>
      <c r="AP416" s="259"/>
      <c r="AQ416" s="259"/>
      <c r="AR416" s="259"/>
      <c r="AS416" s="259"/>
    </row>
    <row r="417" spans="1:45" x14ac:dyDescent="0.25">
      <c r="A417" s="396"/>
      <c r="B417" s="396"/>
      <c r="C417" s="396"/>
      <c r="D417" s="396"/>
      <c r="E417" s="396"/>
      <c r="F417" s="396"/>
      <c r="G417" s="396"/>
      <c r="H417" s="396"/>
      <c r="I417" s="396"/>
      <c r="J417" s="396"/>
      <c r="K417" s="396"/>
      <c r="L417" s="396"/>
      <c r="M417" s="396"/>
      <c r="N417" s="396"/>
      <c r="O417" s="396"/>
      <c r="P417" s="396"/>
      <c r="Q417" s="259"/>
      <c r="R417" s="259"/>
      <c r="S417" s="259"/>
      <c r="T417" s="259"/>
      <c r="U417" s="259"/>
      <c r="V417" s="259"/>
      <c r="W417" s="259"/>
      <c r="X417" s="259"/>
      <c r="Y417" s="259"/>
      <c r="Z417" s="259"/>
      <c r="AA417" s="259"/>
      <c r="AB417" s="259"/>
      <c r="AC417" s="259"/>
      <c r="AD417" s="259"/>
      <c r="AE417" s="259"/>
      <c r="AF417" s="259"/>
      <c r="AG417" s="259"/>
      <c r="AH417" s="259"/>
      <c r="AI417" s="259"/>
      <c r="AJ417" s="259"/>
      <c r="AK417" s="259"/>
      <c r="AL417" s="259"/>
      <c r="AM417" s="259"/>
      <c r="AN417" s="259"/>
      <c r="AO417" s="259"/>
      <c r="AP417" s="259"/>
      <c r="AQ417" s="259"/>
      <c r="AR417" s="259"/>
      <c r="AS417" s="259"/>
    </row>
    <row r="418" spans="1:45" x14ac:dyDescent="0.25">
      <c r="A418" s="396"/>
      <c r="B418" s="396"/>
      <c r="C418" s="396"/>
      <c r="D418" s="396"/>
      <c r="E418" s="396"/>
      <c r="F418" s="396"/>
      <c r="G418" s="396"/>
      <c r="H418" s="396"/>
      <c r="I418" s="396"/>
      <c r="J418" s="396"/>
      <c r="K418" s="396"/>
      <c r="L418" s="396"/>
      <c r="M418" s="396"/>
      <c r="N418" s="396"/>
      <c r="O418" s="396"/>
      <c r="P418" s="396"/>
      <c r="Q418" s="259"/>
      <c r="R418" s="259"/>
      <c r="S418" s="259"/>
      <c r="T418" s="259"/>
      <c r="U418" s="259"/>
      <c r="V418" s="259"/>
      <c r="W418" s="259"/>
      <c r="X418" s="259"/>
      <c r="Y418" s="259"/>
      <c r="Z418" s="259"/>
      <c r="AA418" s="259"/>
      <c r="AB418" s="259"/>
      <c r="AC418" s="259"/>
      <c r="AD418" s="259"/>
      <c r="AE418" s="259"/>
      <c r="AF418" s="259"/>
      <c r="AG418" s="259"/>
      <c r="AH418" s="259"/>
      <c r="AI418" s="259"/>
      <c r="AJ418" s="259"/>
      <c r="AK418" s="259"/>
      <c r="AL418" s="259"/>
      <c r="AM418" s="259"/>
      <c r="AN418" s="259"/>
      <c r="AO418" s="259"/>
      <c r="AP418" s="259"/>
      <c r="AQ418" s="259"/>
      <c r="AR418" s="259"/>
      <c r="AS418" s="259"/>
    </row>
    <row r="419" spans="1:45" x14ac:dyDescent="0.25">
      <c r="A419" s="396"/>
      <c r="B419" s="396"/>
      <c r="C419" s="396"/>
      <c r="D419" s="396"/>
      <c r="E419" s="396"/>
      <c r="F419" s="396"/>
      <c r="G419" s="396"/>
      <c r="H419" s="396"/>
      <c r="I419" s="396"/>
      <c r="J419" s="396"/>
      <c r="K419" s="396"/>
      <c r="L419" s="396"/>
      <c r="M419" s="396"/>
      <c r="N419" s="396"/>
      <c r="O419" s="396"/>
      <c r="P419" s="396"/>
      <c r="Q419" s="259"/>
      <c r="R419" s="259"/>
      <c r="S419" s="259"/>
      <c r="T419" s="259"/>
      <c r="U419" s="259"/>
      <c r="V419" s="259"/>
      <c r="W419" s="259"/>
      <c r="X419" s="259"/>
      <c r="Y419" s="259"/>
      <c r="Z419" s="259"/>
      <c r="AA419" s="259"/>
      <c r="AB419" s="259"/>
      <c r="AC419" s="259"/>
      <c r="AD419" s="259"/>
      <c r="AE419" s="259"/>
      <c r="AF419" s="259"/>
      <c r="AG419" s="259"/>
      <c r="AH419" s="259"/>
      <c r="AI419" s="259"/>
      <c r="AJ419" s="259"/>
      <c r="AK419" s="259"/>
      <c r="AL419" s="259"/>
      <c r="AM419" s="259"/>
      <c r="AN419" s="259"/>
      <c r="AO419" s="259"/>
      <c r="AP419" s="259"/>
      <c r="AQ419" s="259"/>
      <c r="AR419" s="259"/>
      <c r="AS419" s="259"/>
    </row>
    <row r="420" spans="1:45" x14ac:dyDescent="0.25">
      <c r="A420" s="396"/>
      <c r="B420" s="396"/>
      <c r="C420" s="396"/>
      <c r="D420" s="396"/>
      <c r="E420" s="396"/>
      <c r="F420" s="396"/>
      <c r="G420" s="396"/>
      <c r="H420" s="396"/>
      <c r="I420" s="396"/>
      <c r="J420" s="396"/>
      <c r="K420" s="396"/>
      <c r="L420" s="396"/>
      <c r="M420" s="396"/>
      <c r="N420" s="396"/>
      <c r="O420" s="396"/>
      <c r="P420" s="396"/>
      <c r="Q420" s="259"/>
      <c r="R420" s="259"/>
      <c r="S420" s="259"/>
      <c r="T420" s="259"/>
      <c r="U420" s="259"/>
      <c r="V420" s="259"/>
      <c r="W420" s="259"/>
      <c r="X420" s="259"/>
      <c r="Y420" s="259"/>
      <c r="Z420" s="259"/>
      <c r="AA420" s="259"/>
      <c r="AB420" s="259"/>
      <c r="AC420" s="259"/>
      <c r="AD420" s="259"/>
      <c r="AE420" s="259"/>
      <c r="AF420" s="259"/>
      <c r="AG420" s="259"/>
      <c r="AH420" s="259"/>
      <c r="AI420" s="259"/>
      <c r="AJ420" s="259"/>
      <c r="AK420" s="259"/>
      <c r="AL420" s="259"/>
      <c r="AM420" s="259"/>
      <c r="AN420" s="259"/>
      <c r="AO420" s="259"/>
      <c r="AP420" s="259"/>
      <c r="AQ420" s="259"/>
      <c r="AR420" s="259"/>
      <c r="AS420" s="259"/>
    </row>
    <row r="421" spans="1:45" x14ac:dyDescent="0.25">
      <c r="A421" s="396"/>
      <c r="B421" s="396"/>
      <c r="C421" s="396"/>
      <c r="D421" s="396"/>
      <c r="E421" s="396"/>
      <c r="F421" s="396"/>
      <c r="G421" s="396"/>
      <c r="H421" s="396"/>
      <c r="I421" s="396"/>
      <c r="J421" s="396"/>
      <c r="K421" s="396"/>
      <c r="L421" s="396"/>
      <c r="M421" s="396"/>
      <c r="N421" s="396"/>
      <c r="O421" s="396"/>
      <c r="P421" s="396"/>
      <c r="Q421" s="259"/>
      <c r="R421" s="259"/>
      <c r="S421" s="259"/>
      <c r="T421" s="259"/>
      <c r="U421" s="259"/>
      <c r="V421" s="259"/>
      <c r="W421" s="259"/>
      <c r="X421" s="259"/>
      <c r="Y421" s="259"/>
      <c r="Z421" s="259"/>
      <c r="AA421" s="259"/>
      <c r="AB421" s="259"/>
      <c r="AC421" s="259"/>
      <c r="AD421" s="259"/>
      <c r="AE421" s="259"/>
      <c r="AF421" s="259"/>
      <c r="AG421" s="259"/>
      <c r="AH421" s="259"/>
      <c r="AI421" s="259"/>
      <c r="AJ421" s="259"/>
      <c r="AK421" s="259"/>
      <c r="AL421" s="259"/>
      <c r="AM421" s="259"/>
      <c r="AN421" s="259"/>
      <c r="AO421" s="259"/>
      <c r="AP421" s="259"/>
      <c r="AQ421" s="259"/>
      <c r="AR421" s="259"/>
      <c r="AS421" s="259"/>
    </row>
    <row r="422" spans="1:45" x14ac:dyDescent="0.25">
      <c r="A422" s="396"/>
      <c r="B422" s="396"/>
      <c r="C422" s="396"/>
      <c r="D422" s="396"/>
      <c r="E422" s="396"/>
      <c r="F422" s="396"/>
      <c r="G422" s="396"/>
      <c r="H422" s="396"/>
      <c r="I422" s="396"/>
      <c r="J422" s="396"/>
      <c r="K422" s="396"/>
      <c r="L422" s="396"/>
      <c r="M422" s="396"/>
      <c r="N422" s="396"/>
      <c r="O422" s="396"/>
      <c r="P422" s="396"/>
      <c r="Q422" s="259"/>
      <c r="R422" s="259"/>
      <c r="S422" s="259"/>
      <c r="T422" s="259"/>
      <c r="U422" s="259"/>
      <c r="V422" s="259"/>
      <c r="W422" s="259"/>
      <c r="X422" s="259"/>
      <c r="Y422" s="259"/>
      <c r="Z422" s="259"/>
      <c r="AA422" s="259"/>
      <c r="AB422" s="259"/>
      <c r="AC422" s="259"/>
      <c r="AD422" s="259"/>
      <c r="AE422" s="259"/>
      <c r="AF422" s="259"/>
      <c r="AG422" s="259"/>
      <c r="AH422" s="259"/>
      <c r="AI422" s="259"/>
      <c r="AJ422" s="259"/>
      <c r="AK422" s="259"/>
      <c r="AL422" s="259"/>
      <c r="AM422" s="259"/>
      <c r="AN422" s="259"/>
      <c r="AO422" s="259"/>
      <c r="AP422" s="259"/>
      <c r="AQ422" s="259"/>
      <c r="AR422" s="259"/>
      <c r="AS422" s="259"/>
    </row>
    <row r="423" spans="1:45" x14ac:dyDescent="0.25">
      <c r="A423" s="396"/>
      <c r="B423" s="396"/>
      <c r="C423" s="396"/>
      <c r="D423" s="396"/>
      <c r="E423" s="396"/>
      <c r="F423" s="396"/>
      <c r="G423" s="396"/>
      <c r="H423" s="396"/>
      <c r="I423" s="396"/>
      <c r="J423" s="396"/>
      <c r="K423" s="396"/>
      <c r="L423" s="396"/>
      <c r="M423" s="396"/>
      <c r="N423" s="396"/>
      <c r="O423" s="396"/>
      <c r="P423" s="396"/>
      <c r="Q423" s="259"/>
      <c r="R423" s="259"/>
      <c r="S423" s="259"/>
      <c r="T423" s="259"/>
      <c r="U423" s="259"/>
      <c r="V423" s="259"/>
      <c r="W423" s="259"/>
      <c r="X423" s="259"/>
      <c r="Y423" s="259"/>
      <c r="Z423" s="259"/>
      <c r="AA423" s="259"/>
      <c r="AB423" s="259"/>
      <c r="AC423" s="259"/>
      <c r="AD423" s="259"/>
      <c r="AE423" s="259"/>
      <c r="AF423" s="259"/>
      <c r="AG423" s="259"/>
      <c r="AH423" s="259"/>
      <c r="AI423" s="259"/>
      <c r="AJ423" s="259"/>
      <c r="AK423" s="259"/>
      <c r="AL423" s="259"/>
      <c r="AM423" s="259"/>
      <c r="AN423" s="259"/>
      <c r="AO423" s="259"/>
      <c r="AP423" s="259"/>
      <c r="AQ423" s="259"/>
      <c r="AR423" s="259"/>
      <c r="AS423" s="259"/>
    </row>
    <row r="424" spans="1:45" x14ac:dyDescent="0.25">
      <c r="A424" s="396"/>
      <c r="B424" s="396"/>
      <c r="C424" s="396"/>
      <c r="D424" s="396"/>
      <c r="E424" s="396"/>
      <c r="F424" s="396"/>
      <c r="G424" s="396"/>
      <c r="H424" s="396"/>
      <c r="I424" s="396"/>
      <c r="J424" s="396"/>
      <c r="K424" s="396"/>
      <c r="L424" s="396"/>
      <c r="M424" s="396"/>
      <c r="N424" s="396"/>
      <c r="O424" s="396"/>
      <c r="P424" s="396"/>
      <c r="Q424" s="259"/>
      <c r="R424" s="259"/>
      <c r="S424" s="259"/>
      <c r="T424" s="259"/>
      <c r="U424" s="259"/>
      <c r="V424" s="259"/>
      <c r="W424" s="259"/>
      <c r="X424" s="259"/>
      <c r="Y424" s="259"/>
      <c r="Z424" s="259"/>
      <c r="AA424" s="259"/>
      <c r="AB424" s="259"/>
      <c r="AC424" s="259"/>
      <c r="AD424" s="259"/>
      <c r="AE424" s="259"/>
      <c r="AF424" s="259"/>
      <c r="AG424" s="259"/>
      <c r="AH424" s="259"/>
      <c r="AI424" s="259"/>
      <c r="AJ424" s="259"/>
      <c r="AK424" s="259"/>
      <c r="AL424" s="259"/>
      <c r="AM424" s="259"/>
      <c r="AN424" s="259"/>
      <c r="AO424" s="259"/>
      <c r="AP424" s="259"/>
      <c r="AQ424" s="259"/>
      <c r="AR424" s="259"/>
      <c r="AS424" s="259"/>
    </row>
    <row r="425" spans="1:45" x14ac:dyDescent="0.25">
      <c r="A425" s="396"/>
      <c r="B425" s="396"/>
      <c r="C425" s="396"/>
      <c r="D425" s="396"/>
      <c r="E425" s="396"/>
      <c r="F425" s="396"/>
      <c r="G425" s="396"/>
      <c r="H425" s="396"/>
      <c r="I425" s="396"/>
      <c r="J425" s="396"/>
      <c r="K425" s="396"/>
      <c r="L425" s="396"/>
      <c r="M425" s="396"/>
      <c r="N425" s="396"/>
      <c r="O425" s="396"/>
      <c r="P425" s="396"/>
      <c r="Q425" s="259"/>
      <c r="R425" s="259"/>
      <c r="S425" s="259"/>
      <c r="T425" s="259"/>
      <c r="U425" s="259"/>
      <c r="V425" s="259"/>
      <c r="W425" s="259"/>
      <c r="X425" s="259"/>
      <c r="Y425" s="259"/>
      <c r="Z425" s="259"/>
      <c r="AA425" s="259"/>
      <c r="AB425" s="259"/>
      <c r="AC425" s="259"/>
      <c r="AD425" s="259"/>
      <c r="AE425" s="259"/>
      <c r="AF425" s="259"/>
      <c r="AG425" s="259"/>
      <c r="AH425" s="259"/>
      <c r="AI425" s="259"/>
      <c r="AJ425" s="259"/>
      <c r="AK425" s="259"/>
      <c r="AL425" s="259"/>
      <c r="AM425" s="259"/>
      <c r="AN425" s="259"/>
      <c r="AO425" s="259"/>
      <c r="AP425" s="259"/>
      <c r="AQ425" s="259"/>
      <c r="AR425" s="259"/>
      <c r="AS425" s="259"/>
    </row>
    <row r="426" spans="1:45" x14ac:dyDescent="0.25">
      <c r="A426" s="396"/>
      <c r="B426" s="396"/>
      <c r="C426" s="396"/>
      <c r="D426" s="396"/>
      <c r="E426" s="396"/>
      <c r="F426" s="396"/>
      <c r="G426" s="396"/>
      <c r="H426" s="396"/>
      <c r="I426" s="396"/>
      <c r="J426" s="396"/>
      <c r="K426" s="396"/>
      <c r="L426" s="396"/>
      <c r="M426" s="396"/>
      <c r="N426" s="396"/>
      <c r="O426" s="396"/>
      <c r="P426" s="396"/>
      <c r="Q426" s="259"/>
      <c r="R426" s="259"/>
      <c r="S426" s="259"/>
      <c r="T426" s="259"/>
      <c r="U426" s="259"/>
      <c r="V426" s="259"/>
      <c r="W426" s="259"/>
      <c r="X426" s="259"/>
      <c r="Y426" s="259"/>
      <c r="Z426" s="259"/>
      <c r="AA426" s="259"/>
      <c r="AB426" s="259"/>
      <c r="AC426" s="259"/>
      <c r="AD426" s="259"/>
      <c r="AE426" s="259"/>
      <c r="AF426" s="259"/>
      <c r="AG426" s="259"/>
      <c r="AH426" s="259"/>
      <c r="AI426" s="259"/>
      <c r="AJ426" s="259"/>
      <c r="AK426" s="259"/>
      <c r="AL426" s="259"/>
      <c r="AM426" s="259"/>
      <c r="AN426" s="259"/>
      <c r="AO426" s="259"/>
      <c r="AP426" s="259"/>
      <c r="AQ426" s="259"/>
      <c r="AR426" s="259"/>
      <c r="AS426" s="259"/>
    </row>
    <row r="427" spans="1:45" x14ac:dyDescent="0.25">
      <c r="A427" s="396"/>
      <c r="B427" s="396"/>
      <c r="C427" s="396"/>
      <c r="D427" s="396"/>
      <c r="E427" s="396"/>
      <c r="F427" s="396"/>
      <c r="G427" s="396"/>
      <c r="H427" s="396"/>
      <c r="I427" s="396"/>
      <c r="J427" s="396"/>
      <c r="K427" s="396"/>
      <c r="L427" s="396"/>
      <c r="M427" s="396"/>
      <c r="N427" s="396"/>
      <c r="O427" s="396"/>
      <c r="P427" s="396"/>
      <c r="Q427" s="259"/>
      <c r="R427" s="259"/>
      <c r="S427" s="259"/>
      <c r="T427" s="259"/>
      <c r="U427" s="259"/>
      <c r="V427" s="259"/>
      <c r="W427" s="259"/>
      <c r="X427" s="259"/>
      <c r="Y427" s="259"/>
      <c r="Z427" s="259"/>
      <c r="AA427" s="259"/>
      <c r="AB427" s="259"/>
      <c r="AC427" s="259"/>
      <c r="AD427" s="259"/>
      <c r="AE427" s="259"/>
      <c r="AF427" s="259"/>
      <c r="AG427" s="259"/>
      <c r="AH427" s="259"/>
      <c r="AI427" s="259"/>
      <c r="AJ427" s="259"/>
      <c r="AK427" s="259"/>
      <c r="AL427" s="259"/>
      <c r="AM427" s="259"/>
      <c r="AN427" s="259"/>
      <c r="AO427" s="259"/>
      <c r="AP427" s="259"/>
      <c r="AQ427" s="259"/>
      <c r="AR427" s="259"/>
      <c r="AS427" s="259"/>
    </row>
    <row r="428" spans="1:45" x14ac:dyDescent="0.25">
      <c r="A428" s="396"/>
      <c r="B428" s="396"/>
      <c r="C428" s="396"/>
      <c r="D428" s="396"/>
      <c r="E428" s="396"/>
      <c r="F428" s="396"/>
      <c r="G428" s="396"/>
      <c r="H428" s="396"/>
      <c r="I428" s="396"/>
      <c r="J428" s="396"/>
      <c r="K428" s="396"/>
      <c r="L428" s="396"/>
      <c r="M428" s="396"/>
      <c r="N428" s="396"/>
      <c r="O428" s="396"/>
      <c r="P428" s="396"/>
      <c r="Q428" s="259"/>
      <c r="R428" s="259"/>
      <c r="S428" s="259"/>
      <c r="T428" s="259"/>
      <c r="U428" s="259"/>
      <c r="V428" s="259"/>
      <c r="W428" s="259"/>
      <c r="X428" s="259"/>
      <c r="Y428" s="259"/>
      <c r="Z428" s="259"/>
      <c r="AA428" s="259"/>
      <c r="AB428" s="259"/>
      <c r="AC428" s="259"/>
      <c r="AD428" s="259"/>
      <c r="AE428" s="259"/>
      <c r="AF428" s="259"/>
      <c r="AG428" s="259"/>
      <c r="AH428" s="259"/>
      <c r="AI428" s="259"/>
      <c r="AJ428" s="259"/>
      <c r="AK428" s="259"/>
      <c r="AL428" s="259"/>
      <c r="AM428" s="259"/>
      <c r="AN428" s="259"/>
      <c r="AO428" s="259"/>
      <c r="AP428" s="259"/>
      <c r="AQ428" s="259"/>
      <c r="AR428" s="259"/>
      <c r="AS428" s="259"/>
    </row>
    <row r="429" spans="1:45" x14ac:dyDescent="0.25">
      <c r="A429" s="396"/>
      <c r="B429" s="396"/>
      <c r="C429" s="396"/>
      <c r="D429" s="396"/>
      <c r="E429" s="396"/>
      <c r="F429" s="396"/>
      <c r="G429" s="396"/>
      <c r="H429" s="396"/>
      <c r="I429" s="396"/>
      <c r="J429" s="396"/>
      <c r="K429" s="396"/>
      <c r="L429" s="396"/>
      <c r="M429" s="396"/>
      <c r="N429" s="396"/>
      <c r="O429" s="396"/>
      <c r="P429" s="396"/>
      <c r="Q429" s="259"/>
      <c r="R429" s="259"/>
      <c r="S429" s="259"/>
      <c r="T429" s="259"/>
      <c r="U429" s="259"/>
      <c r="V429" s="259"/>
      <c r="W429" s="259"/>
      <c r="X429" s="259"/>
      <c r="Y429" s="259"/>
      <c r="Z429" s="259"/>
      <c r="AA429" s="259"/>
      <c r="AB429" s="259"/>
      <c r="AC429" s="259"/>
      <c r="AD429" s="259"/>
      <c r="AE429" s="259"/>
      <c r="AF429" s="259"/>
      <c r="AG429" s="259"/>
      <c r="AH429" s="259"/>
      <c r="AI429" s="259"/>
      <c r="AJ429" s="259"/>
      <c r="AK429" s="259"/>
      <c r="AL429" s="259"/>
      <c r="AM429" s="259"/>
      <c r="AN429" s="259"/>
      <c r="AO429" s="259"/>
      <c r="AP429" s="259"/>
      <c r="AQ429" s="259"/>
      <c r="AR429" s="259"/>
      <c r="AS429" s="259"/>
    </row>
    <row r="430" spans="1:45" x14ac:dyDescent="0.25">
      <c r="A430" s="396"/>
      <c r="B430" s="396"/>
      <c r="C430" s="396"/>
      <c r="D430" s="396"/>
      <c r="E430" s="396"/>
      <c r="F430" s="396"/>
      <c r="G430" s="396"/>
      <c r="H430" s="396"/>
      <c r="I430" s="396"/>
      <c r="J430" s="396"/>
      <c r="K430" s="396"/>
      <c r="L430" s="396"/>
      <c r="M430" s="396"/>
      <c r="N430" s="396"/>
      <c r="O430" s="396"/>
      <c r="P430" s="396"/>
      <c r="Q430" s="259"/>
      <c r="R430" s="259"/>
      <c r="S430" s="259"/>
      <c r="T430" s="259"/>
      <c r="U430" s="259"/>
      <c r="V430" s="259"/>
      <c r="W430" s="259"/>
      <c r="X430" s="259"/>
      <c r="Y430" s="259"/>
      <c r="Z430" s="259"/>
      <c r="AA430" s="259"/>
      <c r="AB430" s="259"/>
      <c r="AC430" s="259"/>
      <c r="AD430" s="259"/>
      <c r="AE430" s="259"/>
      <c r="AF430" s="259"/>
      <c r="AG430" s="259"/>
      <c r="AH430" s="259"/>
      <c r="AI430" s="259"/>
      <c r="AJ430" s="259"/>
      <c r="AK430" s="259"/>
      <c r="AL430" s="259"/>
      <c r="AM430" s="259"/>
      <c r="AN430" s="259"/>
      <c r="AO430" s="259"/>
      <c r="AP430" s="259"/>
      <c r="AQ430" s="259"/>
      <c r="AR430" s="259"/>
      <c r="AS430" s="259"/>
    </row>
    <row r="431" spans="1:45" x14ac:dyDescent="0.25">
      <c r="A431" s="396"/>
      <c r="B431" s="396"/>
      <c r="C431" s="396"/>
      <c r="D431" s="396"/>
      <c r="E431" s="396"/>
      <c r="F431" s="396"/>
      <c r="G431" s="396"/>
      <c r="H431" s="396"/>
      <c r="I431" s="396"/>
      <c r="J431" s="396"/>
      <c r="K431" s="396"/>
      <c r="L431" s="396"/>
      <c r="M431" s="396"/>
      <c r="N431" s="396"/>
      <c r="O431" s="396"/>
      <c r="P431" s="396"/>
      <c r="Q431" s="259"/>
      <c r="R431" s="259"/>
      <c r="S431" s="259"/>
      <c r="T431" s="259"/>
      <c r="U431" s="259"/>
      <c r="V431" s="259"/>
      <c r="W431" s="259"/>
      <c r="X431" s="259"/>
      <c r="Y431" s="259"/>
      <c r="Z431" s="259"/>
      <c r="AA431" s="259"/>
      <c r="AB431" s="259"/>
      <c r="AC431" s="259"/>
      <c r="AD431" s="259"/>
      <c r="AE431" s="259"/>
      <c r="AF431" s="259"/>
      <c r="AG431" s="259"/>
      <c r="AH431" s="259"/>
      <c r="AI431" s="259"/>
      <c r="AJ431" s="259"/>
      <c r="AK431" s="259"/>
      <c r="AL431" s="259"/>
      <c r="AM431" s="259"/>
      <c r="AN431" s="259"/>
      <c r="AO431" s="259"/>
      <c r="AP431" s="259"/>
      <c r="AQ431" s="259"/>
      <c r="AR431" s="259"/>
      <c r="AS431" s="259"/>
    </row>
    <row r="432" spans="1:45" x14ac:dyDescent="0.25">
      <c r="A432" s="396"/>
      <c r="B432" s="396"/>
      <c r="C432" s="396"/>
      <c r="D432" s="396"/>
      <c r="E432" s="396"/>
      <c r="F432" s="396"/>
      <c r="G432" s="396"/>
      <c r="H432" s="396"/>
      <c r="I432" s="396"/>
      <c r="J432" s="396"/>
      <c r="K432" s="396"/>
      <c r="L432" s="396"/>
      <c r="M432" s="396"/>
      <c r="N432" s="396"/>
      <c r="O432" s="396"/>
      <c r="P432" s="396"/>
      <c r="Q432" s="259"/>
      <c r="R432" s="259"/>
      <c r="S432" s="259"/>
      <c r="T432" s="259"/>
      <c r="U432" s="259"/>
      <c r="V432" s="259"/>
      <c r="W432" s="259"/>
      <c r="X432" s="259"/>
      <c r="Y432" s="259"/>
      <c r="Z432" s="259"/>
      <c r="AA432" s="259"/>
      <c r="AB432" s="259"/>
      <c r="AC432" s="259"/>
      <c r="AD432" s="259"/>
      <c r="AE432" s="259"/>
      <c r="AF432" s="259"/>
      <c r="AG432" s="259"/>
      <c r="AH432" s="259"/>
      <c r="AI432" s="259"/>
      <c r="AJ432" s="259"/>
      <c r="AK432" s="259"/>
      <c r="AL432" s="259"/>
      <c r="AM432" s="259"/>
      <c r="AN432" s="259"/>
      <c r="AO432" s="259"/>
      <c r="AP432" s="259"/>
      <c r="AQ432" s="259"/>
      <c r="AR432" s="259"/>
      <c r="AS432" s="259"/>
    </row>
    <row r="433" spans="1:45" x14ac:dyDescent="0.25">
      <c r="A433" s="396"/>
      <c r="B433" s="396"/>
      <c r="C433" s="396"/>
      <c r="D433" s="396"/>
      <c r="E433" s="396"/>
      <c r="F433" s="396"/>
      <c r="G433" s="396"/>
      <c r="H433" s="396"/>
      <c r="I433" s="396"/>
      <c r="J433" s="396"/>
      <c r="K433" s="396"/>
      <c r="L433" s="396"/>
      <c r="M433" s="396"/>
      <c r="N433" s="396"/>
      <c r="O433" s="396"/>
      <c r="P433" s="396"/>
      <c r="Q433" s="259"/>
      <c r="R433" s="259"/>
      <c r="S433" s="259"/>
      <c r="T433" s="259"/>
      <c r="U433" s="259"/>
      <c r="V433" s="259"/>
      <c r="W433" s="259"/>
      <c r="X433" s="259"/>
      <c r="Y433" s="259"/>
      <c r="Z433" s="259"/>
      <c r="AA433" s="259"/>
      <c r="AB433" s="259"/>
      <c r="AC433" s="259"/>
      <c r="AD433" s="259"/>
      <c r="AE433" s="259"/>
      <c r="AF433" s="259"/>
      <c r="AG433" s="259"/>
      <c r="AH433" s="259"/>
      <c r="AI433" s="259"/>
      <c r="AJ433" s="259"/>
      <c r="AK433" s="259"/>
      <c r="AL433" s="259"/>
      <c r="AM433" s="259"/>
      <c r="AN433" s="259"/>
      <c r="AO433" s="259"/>
      <c r="AP433" s="259"/>
      <c r="AQ433" s="259"/>
      <c r="AR433" s="259"/>
      <c r="AS433" s="259"/>
    </row>
    <row r="434" spans="1:45" x14ac:dyDescent="0.25">
      <c r="A434" s="396"/>
      <c r="B434" s="396"/>
      <c r="C434" s="396"/>
      <c r="D434" s="396"/>
      <c r="E434" s="396"/>
      <c r="F434" s="396"/>
      <c r="G434" s="396"/>
      <c r="H434" s="396"/>
      <c r="I434" s="396"/>
      <c r="J434" s="396"/>
      <c r="K434" s="396"/>
      <c r="L434" s="396"/>
      <c r="M434" s="396"/>
      <c r="N434" s="396"/>
      <c r="O434" s="396"/>
      <c r="P434" s="396"/>
      <c r="Q434" s="259"/>
      <c r="R434" s="259"/>
      <c r="S434" s="259"/>
      <c r="T434" s="259"/>
      <c r="U434" s="259"/>
      <c r="V434" s="259"/>
      <c r="W434" s="259"/>
      <c r="X434" s="259"/>
      <c r="Y434" s="259"/>
      <c r="Z434" s="259"/>
      <c r="AA434" s="259"/>
      <c r="AB434" s="259"/>
      <c r="AC434" s="259"/>
      <c r="AD434" s="259"/>
      <c r="AE434" s="259"/>
      <c r="AF434" s="259"/>
      <c r="AG434" s="259"/>
      <c r="AH434" s="259"/>
      <c r="AI434" s="259"/>
      <c r="AJ434" s="259"/>
      <c r="AK434" s="259"/>
      <c r="AL434" s="259"/>
      <c r="AM434" s="259"/>
      <c r="AN434" s="259"/>
      <c r="AO434" s="259"/>
      <c r="AP434" s="259"/>
      <c r="AQ434" s="259"/>
      <c r="AR434" s="259"/>
      <c r="AS434" s="259"/>
    </row>
    <row r="435" spans="1:45" x14ac:dyDescent="0.25">
      <c r="A435" s="396"/>
      <c r="B435" s="396"/>
      <c r="C435" s="396"/>
      <c r="D435" s="396"/>
      <c r="E435" s="396"/>
      <c r="F435" s="396"/>
      <c r="G435" s="396"/>
      <c r="H435" s="396"/>
      <c r="I435" s="396"/>
      <c r="J435" s="396"/>
      <c r="K435" s="396"/>
      <c r="L435" s="396"/>
      <c r="M435" s="396"/>
      <c r="N435" s="396"/>
      <c r="O435" s="396"/>
      <c r="P435" s="396"/>
      <c r="Q435" s="259"/>
      <c r="R435" s="259"/>
      <c r="S435" s="259"/>
      <c r="T435" s="259"/>
      <c r="U435" s="259"/>
      <c r="V435" s="259"/>
      <c r="W435" s="259"/>
      <c r="X435" s="259"/>
      <c r="Y435" s="259"/>
      <c r="Z435" s="259"/>
      <c r="AA435" s="259"/>
      <c r="AB435" s="259"/>
      <c r="AC435" s="259"/>
      <c r="AD435" s="259"/>
      <c r="AE435" s="259"/>
      <c r="AF435" s="259"/>
      <c r="AG435" s="259"/>
      <c r="AH435" s="259"/>
      <c r="AI435" s="259"/>
      <c r="AJ435" s="259"/>
      <c r="AK435" s="259"/>
      <c r="AL435" s="259"/>
      <c r="AM435" s="259"/>
      <c r="AN435" s="259"/>
      <c r="AO435" s="259"/>
      <c r="AP435" s="259"/>
      <c r="AQ435" s="259"/>
      <c r="AR435" s="259"/>
      <c r="AS435" s="259"/>
    </row>
    <row r="436" spans="1:45" x14ac:dyDescent="0.25">
      <c r="A436" s="396"/>
      <c r="B436" s="396"/>
      <c r="C436" s="396"/>
      <c r="D436" s="396"/>
      <c r="E436" s="396"/>
      <c r="F436" s="396"/>
      <c r="G436" s="396"/>
      <c r="H436" s="396"/>
      <c r="I436" s="396"/>
      <c r="J436" s="396"/>
      <c r="K436" s="396"/>
      <c r="L436" s="396"/>
      <c r="M436" s="396"/>
      <c r="N436" s="396"/>
      <c r="O436" s="396"/>
      <c r="P436" s="396"/>
      <c r="Q436" s="259"/>
      <c r="R436" s="259"/>
      <c r="S436" s="259"/>
      <c r="T436" s="259"/>
      <c r="U436" s="259"/>
      <c r="V436" s="259"/>
      <c r="W436" s="259"/>
      <c r="X436" s="259"/>
      <c r="Y436" s="259"/>
      <c r="Z436" s="259"/>
      <c r="AA436" s="259"/>
      <c r="AB436" s="259"/>
      <c r="AC436" s="259"/>
      <c r="AD436" s="259"/>
      <c r="AE436" s="259"/>
      <c r="AF436" s="259"/>
      <c r="AG436" s="259"/>
      <c r="AH436" s="259"/>
      <c r="AI436" s="259"/>
      <c r="AJ436" s="259"/>
      <c r="AK436" s="259"/>
      <c r="AL436" s="259"/>
      <c r="AM436" s="259"/>
      <c r="AN436" s="259"/>
      <c r="AO436" s="259"/>
      <c r="AP436" s="259"/>
      <c r="AQ436" s="259"/>
      <c r="AR436" s="259"/>
      <c r="AS436" s="259"/>
    </row>
    <row r="437" spans="1:45" x14ac:dyDescent="0.25">
      <c r="A437" s="396"/>
      <c r="B437" s="396"/>
      <c r="C437" s="396"/>
      <c r="D437" s="396"/>
      <c r="E437" s="396"/>
      <c r="F437" s="396"/>
      <c r="G437" s="396"/>
      <c r="H437" s="396"/>
      <c r="I437" s="396"/>
      <c r="J437" s="396"/>
      <c r="K437" s="396"/>
      <c r="L437" s="396"/>
      <c r="M437" s="396"/>
      <c r="N437" s="396"/>
      <c r="O437" s="396"/>
      <c r="P437" s="396"/>
      <c r="Q437" s="259"/>
      <c r="R437" s="259"/>
      <c r="S437" s="259"/>
      <c r="T437" s="259"/>
      <c r="U437" s="259"/>
      <c r="V437" s="259"/>
      <c r="W437" s="259"/>
      <c r="X437" s="259"/>
      <c r="Y437" s="259"/>
      <c r="Z437" s="259"/>
      <c r="AA437" s="259"/>
      <c r="AB437" s="259"/>
      <c r="AC437" s="259"/>
      <c r="AD437" s="259"/>
      <c r="AE437" s="259"/>
      <c r="AF437" s="259"/>
      <c r="AG437" s="259"/>
      <c r="AH437" s="259"/>
      <c r="AI437" s="259"/>
      <c r="AJ437" s="259"/>
      <c r="AK437" s="259"/>
      <c r="AL437" s="259"/>
      <c r="AM437" s="259"/>
      <c r="AN437" s="259"/>
      <c r="AO437" s="259"/>
      <c r="AP437" s="259"/>
      <c r="AQ437" s="259"/>
      <c r="AR437" s="259"/>
      <c r="AS437" s="259"/>
    </row>
    <row r="438" spans="1:45" x14ac:dyDescent="0.25">
      <c r="A438" s="396"/>
      <c r="B438" s="396"/>
      <c r="C438" s="396"/>
      <c r="D438" s="396"/>
      <c r="E438" s="396"/>
      <c r="F438" s="396"/>
      <c r="G438" s="396"/>
      <c r="H438" s="396"/>
      <c r="I438" s="396"/>
      <c r="J438" s="396"/>
      <c r="K438" s="396"/>
      <c r="L438" s="396"/>
      <c r="M438" s="396"/>
      <c r="N438" s="396"/>
      <c r="O438" s="396"/>
      <c r="P438" s="396"/>
      <c r="Q438" s="259"/>
      <c r="R438" s="259"/>
      <c r="S438" s="259"/>
      <c r="T438" s="259"/>
      <c r="U438" s="259"/>
      <c r="V438" s="259"/>
      <c r="W438" s="259"/>
      <c r="X438" s="259"/>
      <c r="Y438" s="259"/>
      <c r="Z438" s="259"/>
      <c r="AA438" s="259"/>
      <c r="AB438" s="259"/>
      <c r="AC438" s="259"/>
      <c r="AD438" s="259"/>
      <c r="AE438" s="259"/>
      <c r="AF438" s="259"/>
      <c r="AG438" s="259"/>
      <c r="AH438" s="259"/>
      <c r="AI438" s="259"/>
      <c r="AJ438" s="259"/>
      <c r="AK438" s="259"/>
      <c r="AL438" s="259"/>
      <c r="AM438" s="259"/>
      <c r="AN438" s="259"/>
      <c r="AO438" s="259"/>
      <c r="AP438" s="259"/>
      <c r="AQ438" s="259"/>
      <c r="AR438" s="259"/>
      <c r="AS438" s="259"/>
    </row>
    <row r="439" spans="1:45" x14ac:dyDescent="0.25">
      <c r="A439" s="396"/>
      <c r="B439" s="396"/>
      <c r="C439" s="396"/>
      <c r="D439" s="396"/>
      <c r="E439" s="396"/>
      <c r="F439" s="396"/>
      <c r="G439" s="396"/>
      <c r="H439" s="396"/>
      <c r="I439" s="396"/>
      <c r="J439" s="396"/>
      <c r="K439" s="396"/>
      <c r="L439" s="396"/>
      <c r="M439" s="396"/>
      <c r="N439" s="396"/>
      <c r="O439" s="396"/>
      <c r="P439" s="396"/>
      <c r="Q439" s="259"/>
      <c r="R439" s="259"/>
      <c r="S439" s="259"/>
      <c r="T439" s="259"/>
      <c r="U439" s="259"/>
      <c r="V439" s="259"/>
      <c r="W439" s="259"/>
      <c r="X439" s="259"/>
      <c r="Y439" s="259"/>
      <c r="Z439" s="259"/>
      <c r="AA439" s="259"/>
      <c r="AB439" s="259"/>
      <c r="AC439" s="259"/>
      <c r="AD439" s="259"/>
      <c r="AE439" s="259"/>
      <c r="AF439" s="259"/>
      <c r="AG439" s="259"/>
      <c r="AH439" s="259"/>
      <c r="AI439" s="259"/>
      <c r="AJ439" s="259"/>
      <c r="AK439" s="259"/>
      <c r="AL439" s="259"/>
      <c r="AM439" s="259"/>
      <c r="AN439" s="259"/>
      <c r="AO439" s="259"/>
      <c r="AP439" s="259"/>
      <c r="AQ439" s="259"/>
      <c r="AR439" s="259"/>
      <c r="AS439" s="259"/>
    </row>
    <row r="440" spans="1:45" x14ac:dyDescent="0.25">
      <c r="A440" s="396"/>
      <c r="B440" s="396"/>
      <c r="C440" s="396"/>
      <c r="D440" s="396"/>
      <c r="E440" s="396"/>
      <c r="F440" s="396"/>
      <c r="G440" s="396"/>
      <c r="H440" s="396"/>
      <c r="I440" s="396"/>
      <c r="J440" s="396"/>
      <c r="K440" s="396"/>
      <c r="L440" s="396"/>
      <c r="M440" s="396"/>
      <c r="N440" s="396"/>
      <c r="O440" s="396"/>
      <c r="P440" s="396"/>
      <c r="Q440" s="259"/>
      <c r="R440" s="259"/>
      <c r="S440" s="259"/>
      <c r="T440" s="259"/>
      <c r="U440" s="259"/>
      <c r="V440" s="259"/>
      <c r="W440" s="259"/>
      <c r="X440" s="259"/>
      <c r="Y440" s="259"/>
      <c r="Z440" s="259"/>
      <c r="AA440" s="259"/>
      <c r="AB440" s="259"/>
      <c r="AC440" s="259"/>
      <c r="AD440" s="259"/>
      <c r="AE440" s="259"/>
      <c r="AF440" s="259"/>
      <c r="AG440" s="259"/>
      <c r="AH440" s="259"/>
      <c r="AI440" s="259"/>
      <c r="AJ440" s="259"/>
      <c r="AK440" s="259"/>
      <c r="AL440" s="259"/>
      <c r="AM440" s="259"/>
      <c r="AN440" s="259"/>
      <c r="AO440" s="259"/>
      <c r="AP440" s="259"/>
      <c r="AQ440" s="259"/>
      <c r="AR440" s="259"/>
      <c r="AS440" s="259"/>
    </row>
    <row r="441" spans="1:45" x14ac:dyDescent="0.25">
      <c r="A441" s="396"/>
      <c r="B441" s="396"/>
      <c r="C441" s="396"/>
      <c r="D441" s="396"/>
      <c r="E441" s="396"/>
      <c r="F441" s="396"/>
      <c r="G441" s="396"/>
      <c r="H441" s="396"/>
      <c r="I441" s="396"/>
      <c r="J441" s="396"/>
      <c r="K441" s="396"/>
      <c r="L441" s="396"/>
      <c r="M441" s="396"/>
      <c r="N441" s="396"/>
      <c r="O441" s="396"/>
      <c r="P441" s="396"/>
      <c r="Q441" s="259"/>
      <c r="R441" s="259"/>
      <c r="S441" s="259"/>
      <c r="T441" s="259"/>
      <c r="U441" s="259"/>
      <c r="V441" s="259"/>
      <c r="W441" s="259"/>
      <c r="X441" s="259"/>
      <c r="Y441" s="259"/>
      <c r="Z441" s="259"/>
      <c r="AA441" s="259"/>
      <c r="AB441" s="259"/>
      <c r="AC441" s="259"/>
      <c r="AD441" s="259"/>
      <c r="AE441" s="259"/>
      <c r="AF441" s="259"/>
      <c r="AG441" s="259"/>
      <c r="AH441" s="259"/>
      <c r="AI441" s="259"/>
      <c r="AJ441" s="259"/>
      <c r="AK441" s="259"/>
      <c r="AL441" s="259"/>
      <c r="AM441" s="259"/>
      <c r="AN441" s="259"/>
      <c r="AO441" s="259"/>
      <c r="AP441" s="259"/>
      <c r="AQ441" s="259"/>
      <c r="AR441" s="259"/>
      <c r="AS441" s="259"/>
    </row>
    <row r="442" spans="1:45" x14ac:dyDescent="0.25">
      <c r="A442" s="396"/>
      <c r="B442" s="396"/>
      <c r="C442" s="396"/>
      <c r="D442" s="396"/>
      <c r="E442" s="396"/>
      <c r="F442" s="396"/>
      <c r="G442" s="396"/>
      <c r="H442" s="396"/>
      <c r="I442" s="396"/>
      <c r="J442" s="396"/>
      <c r="K442" s="396"/>
      <c r="L442" s="396"/>
      <c r="M442" s="396"/>
      <c r="N442" s="396"/>
      <c r="O442" s="396"/>
      <c r="P442" s="396"/>
      <c r="Q442" s="259"/>
      <c r="R442" s="259"/>
      <c r="S442" s="259"/>
      <c r="T442" s="259"/>
      <c r="U442" s="259"/>
      <c r="V442" s="259"/>
      <c r="W442" s="259"/>
      <c r="X442" s="259"/>
      <c r="Y442" s="259"/>
      <c r="Z442" s="259"/>
      <c r="AA442" s="259"/>
      <c r="AB442" s="259"/>
      <c r="AC442" s="259"/>
      <c r="AD442" s="259"/>
      <c r="AE442" s="259"/>
      <c r="AF442" s="259"/>
      <c r="AG442" s="259"/>
      <c r="AH442" s="259"/>
      <c r="AI442" s="259"/>
      <c r="AJ442" s="259"/>
      <c r="AK442" s="259"/>
      <c r="AL442" s="259"/>
      <c r="AM442" s="259"/>
      <c r="AN442" s="259"/>
      <c r="AO442" s="259"/>
      <c r="AP442" s="259"/>
      <c r="AQ442" s="259"/>
      <c r="AR442" s="259"/>
      <c r="AS442" s="259"/>
    </row>
    <row r="443" spans="1:45" x14ac:dyDescent="0.25">
      <c r="A443" s="396"/>
      <c r="B443" s="396"/>
      <c r="C443" s="396"/>
      <c r="D443" s="396"/>
      <c r="E443" s="396"/>
      <c r="F443" s="396"/>
      <c r="G443" s="396"/>
      <c r="H443" s="396"/>
      <c r="I443" s="396"/>
      <c r="J443" s="396"/>
      <c r="K443" s="396"/>
      <c r="L443" s="396"/>
      <c r="M443" s="396"/>
      <c r="N443" s="396"/>
      <c r="O443" s="396"/>
      <c r="P443" s="396"/>
      <c r="Q443" s="259"/>
      <c r="R443" s="259"/>
      <c r="S443" s="259"/>
      <c r="T443" s="259"/>
      <c r="U443" s="259"/>
      <c r="V443" s="259"/>
      <c r="W443" s="259"/>
      <c r="X443" s="259"/>
      <c r="Y443" s="259"/>
      <c r="Z443" s="259"/>
      <c r="AA443" s="259"/>
      <c r="AB443" s="259"/>
      <c r="AC443" s="259"/>
      <c r="AD443" s="259"/>
      <c r="AE443" s="259"/>
      <c r="AF443" s="259"/>
      <c r="AG443" s="259"/>
      <c r="AH443" s="259"/>
      <c r="AI443" s="259"/>
      <c r="AJ443" s="259"/>
      <c r="AK443" s="259"/>
      <c r="AL443" s="259"/>
      <c r="AM443" s="259"/>
      <c r="AN443" s="259"/>
      <c r="AO443" s="259"/>
      <c r="AP443" s="259"/>
      <c r="AQ443" s="259"/>
      <c r="AR443" s="259"/>
      <c r="AS443" s="259"/>
    </row>
    <row r="444" spans="1:45" x14ac:dyDescent="0.25">
      <c r="A444" s="396"/>
      <c r="B444" s="396"/>
      <c r="C444" s="396"/>
      <c r="D444" s="396"/>
      <c r="E444" s="396"/>
      <c r="F444" s="396"/>
      <c r="G444" s="396"/>
      <c r="H444" s="396"/>
      <c r="I444" s="396"/>
      <c r="J444" s="396"/>
      <c r="K444" s="396"/>
      <c r="L444" s="396"/>
      <c r="M444" s="396"/>
      <c r="N444" s="396"/>
      <c r="O444" s="396"/>
      <c r="P444" s="396"/>
      <c r="Q444" s="259"/>
      <c r="R444" s="259"/>
      <c r="S444" s="259"/>
      <c r="T444" s="259"/>
      <c r="U444" s="259"/>
      <c r="V444" s="259"/>
      <c r="W444" s="259"/>
      <c r="X444" s="259"/>
      <c r="Y444" s="259"/>
      <c r="Z444" s="259"/>
      <c r="AA444" s="259"/>
      <c r="AB444" s="259"/>
      <c r="AC444" s="259"/>
      <c r="AD444" s="259"/>
      <c r="AE444" s="259"/>
      <c r="AF444" s="259"/>
      <c r="AG444" s="259"/>
      <c r="AH444" s="259"/>
      <c r="AI444" s="259"/>
      <c r="AJ444" s="259"/>
      <c r="AK444" s="259"/>
      <c r="AL444" s="259"/>
      <c r="AM444" s="259"/>
      <c r="AN444" s="259"/>
      <c r="AO444" s="259"/>
      <c r="AP444" s="259"/>
      <c r="AQ444" s="259"/>
      <c r="AR444" s="259"/>
      <c r="AS444" s="259"/>
    </row>
    <row r="445" spans="1:45" x14ac:dyDescent="0.25">
      <c r="A445" s="396"/>
      <c r="B445" s="396"/>
      <c r="C445" s="396"/>
      <c r="D445" s="396"/>
      <c r="E445" s="396"/>
      <c r="F445" s="396"/>
      <c r="G445" s="396"/>
      <c r="H445" s="396"/>
      <c r="I445" s="396"/>
      <c r="J445" s="396"/>
      <c r="K445" s="396"/>
      <c r="L445" s="396"/>
      <c r="M445" s="396"/>
      <c r="N445" s="396"/>
      <c r="O445" s="396"/>
      <c r="P445" s="396"/>
      <c r="Q445" s="259"/>
      <c r="R445" s="259"/>
      <c r="S445" s="259"/>
      <c r="T445" s="259"/>
      <c r="U445" s="259"/>
      <c r="V445" s="259"/>
      <c r="W445" s="259"/>
      <c r="X445" s="259"/>
      <c r="Y445" s="259"/>
      <c r="Z445" s="259"/>
      <c r="AA445" s="259"/>
      <c r="AB445" s="259"/>
      <c r="AC445" s="259"/>
      <c r="AD445" s="259"/>
      <c r="AE445" s="259"/>
      <c r="AF445" s="259"/>
      <c r="AG445" s="259"/>
      <c r="AH445" s="259"/>
      <c r="AI445" s="259"/>
      <c r="AJ445" s="259"/>
      <c r="AK445" s="259"/>
      <c r="AL445" s="259"/>
      <c r="AM445" s="259"/>
      <c r="AN445" s="259"/>
      <c r="AO445" s="259"/>
      <c r="AP445" s="259"/>
      <c r="AQ445" s="259"/>
      <c r="AR445" s="259"/>
      <c r="AS445" s="259"/>
    </row>
    <row r="446" spans="1:45" x14ac:dyDescent="0.25">
      <c r="A446" s="396"/>
      <c r="B446" s="396"/>
      <c r="C446" s="396"/>
      <c r="D446" s="396"/>
      <c r="E446" s="396"/>
      <c r="F446" s="396"/>
      <c r="G446" s="396"/>
      <c r="H446" s="396"/>
      <c r="I446" s="396"/>
      <c r="J446" s="396"/>
      <c r="K446" s="396"/>
      <c r="L446" s="396"/>
      <c r="M446" s="396"/>
      <c r="N446" s="396"/>
      <c r="O446" s="396"/>
      <c r="P446" s="396"/>
      <c r="Q446" s="259"/>
      <c r="R446" s="259"/>
      <c r="S446" s="259"/>
      <c r="T446" s="259"/>
      <c r="U446" s="259"/>
      <c r="V446" s="259"/>
      <c r="W446" s="259"/>
      <c r="X446" s="259"/>
      <c r="Y446" s="259"/>
      <c r="Z446" s="259"/>
      <c r="AA446" s="259"/>
      <c r="AB446" s="259"/>
      <c r="AC446" s="259"/>
      <c r="AD446" s="259"/>
      <c r="AE446" s="259"/>
      <c r="AF446" s="259"/>
      <c r="AG446" s="259"/>
      <c r="AH446" s="259"/>
      <c r="AI446" s="259"/>
      <c r="AJ446" s="259"/>
      <c r="AK446" s="259"/>
      <c r="AL446" s="259"/>
      <c r="AM446" s="259"/>
      <c r="AN446" s="259"/>
      <c r="AO446" s="259"/>
      <c r="AP446" s="259"/>
      <c r="AQ446" s="259"/>
      <c r="AR446" s="259"/>
      <c r="AS446" s="259"/>
    </row>
    <row r="447" spans="1:45" x14ac:dyDescent="0.25">
      <c r="A447" s="396"/>
      <c r="B447" s="396"/>
      <c r="C447" s="396"/>
      <c r="D447" s="396"/>
      <c r="E447" s="396"/>
      <c r="F447" s="396"/>
      <c r="G447" s="396"/>
      <c r="H447" s="396"/>
      <c r="I447" s="396"/>
      <c r="J447" s="396"/>
      <c r="K447" s="396"/>
      <c r="L447" s="396"/>
      <c r="M447" s="396"/>
      <c r="N447" s="396"/>
      <c r="O447" s="396"/>
      <c r="P447" s="396"/>
      <c r="Q447" s="259"/>
      <c r="R447" s="259"/>
      <c r="S447" s="259"/>
      <c r="T447" s="259"/>
      <c r="U447" s="259"/>
      <c r="V447" s="259"/>
      <c r="W447" s="259"/>
      <c r="X447" s="259"/>
      <c r="Y447" s="259"/>
      <c r="Z447" s="259"/>
      <c r="AA447" s="259"/>
      <c r="AB447" s="259"/>
      <c r="AC447" s="259"/>
      <c r="AD447" s="259"/>
      <c r="AE447" s="259"/>
      <c r="AF447" s="259"/>
      <c r="AG447" s="259"/>
      <c r="AH447" s="259"/>
      <c r="AI447" s="259"/>
      <c r="AJ447" s="259"/>
      <c r="AK447" s="259"/>
      <c r="AL447" s="259"/>
      <c r="AM447" s="259"/>
      <c r="AN447" s="259"/>
      <c r="AO447" s="259"/>
      <c r="AP447" s="259"/>
      <c r="AQ447" s="259"/>
      <c r="AR447" s="259"/>
      <c r="AS447" s="259"/>
    </row>
    <row r="448" spans="1:45" x14ac:dyDescent="0.25">
      <c r="A448" s="396"/>
      <c r="B448" s="396"/>
      <c r="C448" s="396"/>
      <c r="D448" s="396"/>
      <c r="E448" s="396"/>
      <c r="F448" s="396"/>
      <c r="G448" s="396"/>
      <c r="H448" s="396"/>
      <c r="I448" s="396"/>
      <c r="J448" s="396"/>
      <c r="K448" s="396"/>
      <c r="L448" s="396"/>
      <c r="M448" s="396"/>
      <c r="N448" s="396"/>
      <c r="O448" s="396"/>
      <c r="P448" s="396"/>
      <c r="Q448" s="259"/>
      <c r="R448" s="259"/>
      <c r="S448" s="259"/>
      <c r="T448" s="259"/>
      <c r="U448" s="259"/>
      <c r="V448" s="259"/>
      <c r="W448" s="259"/>
      <c r="X448" s="259"/>
      <c r="Y448" s="259"/>
      <c r="Z448" s="259"/>
      <c r="AA448" s="259"/>
      <c r="AB448" s="259"/>
      <c r="AC448" s="259"/>
      <c r="AD448" s="259"/>
      <c r="AE448" s="259"/>
      <c r="AF448" s="259"/>
      <c r="AG448" s="259"/>
      <c r="AH448" s="259"/>
      <c r="AI448" s="259"/>
      <c r="AJ448" s="259"/>
      <c r="AK448" s="259"/>
      <c r="AL448" s="259"/>
      <c r="AM448" s="259"/>
      <c r="AN448" s="259"/>
      <c r="AO448" s="259"/>
      <c r="AP448" s="259"/>
      <c r="AQ448" s="259"/>
      <c r="AR448" s="259"/>
      <c r="AS448" s="259"/>
    </row>
    <row r="449" spans="1:45" x14ac:dyDescent="0.25">
      <c r="A449" s="396"/>
      <c r="B449" s="396"/>
      <c r="C449" s="396"/>
      <c r="D449" s="396"/>
      <c r="E449" s="396"/>
      <c r="F449" s="396"/>
      <c r="G449" s="396"/>
      <c r="H449" s="396"/>
      <c r="I449" s="396"/>
      <c r="J449" s="396"/>
      <c r="K449" s="396"/>
      <c r="L449" s="396"/>
      <c r="M449" s="396"/>
      <c r="N449" s="396"/>
      <c r="O449" s="396"/>
      <c r="P449" s="396"/>
      <c r="Q449" s="259"/>
      <c r="R449" s="259"/>
      <c r="S449" s="259"/>
      <c r="T449" s="259"/>
      <c r="U449" s="259"/>
      <c r="V449" s="259"/>
      <c r="W449" s="259"/>
      <c r="X449" s="259"/>
      <c r="Y449" s="259"/>
      <c r="Z449" s="259"/>
      <c r="AA449" s="259"/>
      <c r="AB449" s="259"/>
      <c r="AC449" s="259"/>
      <c r="AD449" s="259"/>
      <c r="AE449" s="259"/>
      <c r="AF449" s="259"/>
      <c r="AG449" s="259"/>
      <c r="AH449" s="259"/>
      <c r="AI449" s="259"/>
      <c r="AJ449" s="259"/>
      <c r="AK449" s="259"/>
      <c r="AL449" s="259"/>
      <c r="AM449" s="259"/>
      <c r="AN449" s="259"/>
      <c r="AO449" s="259"/>
      <c r="AP449" s="259"/>
      <c r="AQ449" s="259"/>
      <c r="AR449" s="259"/>
      <c r="AS449" s="259"/>
    </row>
    <row r="450" spans="1:45" x14ac:dyDescent="0.25">
      <c r="A450" s="396"/>
      <c r="B450" s="396"/>
      <c r="C450" s="396"/>
      <c r="D450" s="396"/>
      <c r="E450" s="396"/>
      <c r="F450" s="396"/>
      <c r="G450" s="396"/>
      <c r="H450" s="396"/>
      <c r="I450" s="396"/>
      <c r="J450" s="396"/>
      <c r="K450" s="396"/>
      <c r="L450" s="396"/>
      <c r="M450" s="396"/>
      <c r="N450" s="396"/>
      <c r="O450" s="396"/>
      <c r="P450" s="396"/>
      <c r="Q450" s="259"/>
      <c r="R450" s="259"/>
      <c r="S450" s="259"/>
      <c r="T450" s="259"/>
      <c r="U450" s="259"/>
      <c r="V450" s="259"/>
      <c r="W450" s="259"/>
      <c r="X450" s="259"/>
      <c r="Y450" s="259"/>
      <c r="Z450" s="259"/>
      <c r="AA450" s="259"/>
      <c r="AB450" s="259"/>
      <c r="AC450" s="259"/>
      <c r="AD450" s="259"/>
      <c r="AE450" s="259"/>
      <c r="AF450" s="259"/>
      <c r="AG450" s="259"/>
      <c r="AH450" s="259"/>
      <c r="AI450" s="259"/>
      <c r="AJ450" s="259"/>
      <c r="AK450" s="259"/>
      <c r="AL450" s="259"/>
      <c r="AM450" s="259"/>
      <c r="AN450" s="259"/>
      <c r="AO450" s="259"/>
      <c r="AP450" s="259"/>
      <c r="AQ450" s="259"/>
      <c r="AR450" s="259"/>
      <c r="AS450" s="259"/>
    </row>
    <row r="451" spans="1:45" x14ac:dyDescent="0.25">
      <c r="A451" s="396"/>
      <c r="B451" s="396"/>
      <c r="C451" s="396"/>
      <c r="D451" s="396"/>
      <c r="E451" s="396"/>
      <c r="F451" s="396"/>
      <c r="G451" s="396"/>
      <c r="H451" s="396"/>
      <c r="I451" s="396"/>
      <c r="J451" s="396"/>
      <c r="K451" s="396"/>
      <c r="L451" s="396"/>
      <c r="M451" s="396"/>
      <c r="N451" s="396"/>
      <c r="O451" s="396"/>
      <c r="P451" s="396"/>
      <c r="Q451" s="259"/>
      <c r="R451" s="259"/>
      <c r="S451" s="259"/>
      <c r="T451" s="259"/>
      <c r="U451" s="259"/>
      <c r="V451" s="259"/>
      <c r="W451" s="259"/>
      <c r="X451" s="259"/>
      <c r="Y451" s="259"/>
      <c r="Z451" s="259"/>
      <c r="AA451" s="259"/>
      <c r="AB451" s="259"/>
      <c r="AC451" s="259"/>
      <c r="AD451" s="259"/>
      <c r="AE451" s="259"/>
      <c r="AF451" s="259"/>
      <c r="AG451" s="259"/>
      <c r="AH451" s="259"/>
      <c r="AI451" s="259"/>
      <c r="AJ451" s="259"/>
      <c r="AK451" s="259"/>
      <c r="AL451" s="259"/>
      <c r="AM451" s="259"/>
      <c r="AN451" s="259"/>
      <c r="AO451" s="259"/>
      <c r="AP451" s="259"/>
      <c r="AQ451" s="259"/>
      <c r="AR451" s="259"/>
      <c r="AS451" s="259"/>
    </row>
    <row r="452" spans="1:45" x14ac:dyDescent="0.25">
      <c r="A452" s="396"/>
      <c r="B452" s="396"/>
      <c r="C452" s="396"/>
      <c r="D452" s="396"/>
      <c r="E452" s="396"/>
      <c r="F452" s="396"/>
      <c r="G452" s="396"/>
      <c r="H452" s="396"/>
      <c r="I452" s="396"/>
      <c r="J452" s="396"/>
      <c r="K452" s="396"/>
      <c r="L452" s="396"/>
      <c r="M452" s="396"/>
      <c r="N452" s="396"/>
      <c r="O452" s="396"/>
      <c r="P452" s="396"/>
      <c r="Q452" s="259"/>
      <c r="R452" s="259"/>
      <c r="S452" s="259"/>
      <c r="T452" s="259"/>
      <c r="U452" s="259"/>
      <c r="V452" s="259"/>
      <c r="W452" s="259"/>
      <c r="X452" s="259"/>
      <c r="Y452" s="259"/>
      <c r="Z452" s="259"/>
      <c r="AA452" s="259"/>
      <c r="AB452" s="259"/>
      <c r="AC452" s="259"/>
      <c r="AD452" s="259"/>
      <c r="AE452" s="259"/>
      <c r="AF452" s="259"/>
      <c r="AG452" s="259"/>
      <c r="AH452" s="259"/>
      <c r="AI452" s="259"/>
      <c r="AJ452" s="259"/>
      <c r="AK452" s="259"/>
      <c r="AL452" s="259"/>
      <c r="AM452" s="259"/>
      <c r="AN452" s="259"/>
      <c r="AO452" s="259"/>
      <c r="AP452" s="259"/>
      <c r="AQ452" s="259"/>
      <c r="AR452" s="259"/>
      <c r="AS452" s="259"/>
    </row>
    <row r="453" spans="1:45" x14ac:dyDescent="0.25">
      <c r="A453" s="396"/>
      <c r="B453" s="396"/>
      <c r="C453" s="396"/>
      <c r="D453" s="396"/>
      <c r="E453" s="396"/>
      <c r="F453" s="396"/>
      <c r="G453" s="396"/>
      <c r="H453" s="396"/>
      <c r="I453" s="396"/>
      <c r="J453" s="396"/>
      <c r="K453" s="396"/>
      <c r="L453" s="396"/>
      <c r="M453" s="396"/>
      <c r="N453" s="396"/>
      <c r="O453" s="396"/>
      <c r="P453" s="396"/>
      <c r="Q453" s="259"/>
      <c r="R453" s="259"/>
      <c r="S453" s="259"/>
      <c r="T453" s="259"/>
      <c r="U453" s="259"/>
      <c r="V453" s="259"/>
      <c r="W453" s="259"/>
      <c r="X453" s="259"/>
      <c r="Y453" s="259"/>
      <c r="Z453" s="259"/>
      <c r="AA453" s="259"/>
      <c r="AB453" s="259"/>
      <c r="AC453" s="259"/>
      <c r="AD453" s="259"/>
      <c r="AE453" s="259"/>
      <c r="AF453" s="259"/>
      <c r="AG453" s="259"/>
      <c r="AH453" s="259"/>
      <c r="AI453" s="259"/>
      <c r="AJ453" s="259"/>
      <c r="AK453" s="259"/>
      <c r="AL453" s="259"/>
      <c r="AM453" s="259"/>
      <c r="AN453" s="259"/>
      <c r="AO453" s="259"/>
      <c r="AP453" s="259"/>
      <c r="AQ453" s="259"/>
      <c r="AR453" s="259"/>
      <c r="AS453" s="259"/>
    </row>
    <row r="454" spans="1:45" x14ac:dyDescent="0.25">
      <c r="A454" s="396"/>
      <c r="B454" s="396"/>
      <c r="C454" s="396"/>
      <c r="D454" s="396"/>
      <c r="E454" s="396"/>
      <c r="F454" s="396"/>
      <c r="G454" s="396"/>
      <c r="H454" s="396"/>
      <c r="I454" s="396"/>
      <c r="J454" s="396"/>
      <c r="K454" s="396"/>
      <c r="L454" s="396"/>
      <c r="M454" s="396"/>
      <c r="N454" s="396"/>
      <c r="O454" s="396"/>
      <c r="P454" s="396"/>
      <c r="Q454" s="259"/>
      <c r="R454" s="259"/>
      <c r="S454" s="259"/>
      <c r="T454" s="259"/>
      <c r="U454" s="259"/>
      <c r="V454" s="259"/>
      <c r="W454" s="259"/>
      <c r="X454" s="259"/>
      <c r="Y454" s="259"/>
      <c r="Z454" s="259"/>
      <c r="AA454" s="259"/>
      <c r="AB454" s="259"/>
      <c r="AC454" s="259"/>
      <c r="AD454" s="259"/>
      <c r="AE454" s="259"/>
      <c r="AF454" s="259"/>
      <c r="AG454" s="259"/>
      <c r="AH454" s="259"/>
      <c r="AI454" s="259"/>
      <c r="AJ454" s="259"/>
      <c r="AK454" s="259"/>
      <c r="AL454" s="259"/>
      <c r="AM454" s="259"/>
      <c r="AN454" s="259"/>
      <c r="AO454" s="259"/>
      <c r="AP454" s="259"/>
      <c r="AQ454" s="259"/>
      <c r="AR454" s="259"/>
      <c r="AS454" s="259"/>
    </row>
    <row r="455" spans="1:45" x14ac:dyDescent="0.25">
      <c r="A455" s="396"/>
      <c r="B455" s="396"/>
      <c r="C455" s="396"/>
      <c r="D455" s="396"/>
      <c r="E455" s="396"/>
      <c r="F455" s="396"/>
      <c r="G455" s="396"/>
      <c r="H455" s="396"/>
      <c r="I455" s="396"/>
      <c r="J455" s="396"/>
      <c r="K455" s="396"/>
      <c r="L455" s="396"/>
      <c r="M455" s="396"/>
      <c r="N455" s="396"/>
      <c r="O455" s="396"/>
      <c r="P455" s="396"/>
      <c r="Q455" s="259"/>
      <c r="R455" s="259"/>
      <c r="S455" s="259"/>
      <c r="T455" s="259"/>
      <c r="U455" s="259"/>
      <c r="V455" s="259"/>
      <c r="W455" s="259"/>
      <c r="X455" s="259"/>
      <c r="Y455" s="259"/>
      <c r="Z455" s="259"/>
      <c r="AA455" s="259"/>
      <c r="AB455" s="259"/>
      <c r="AC455" s="259"/>
      <c r="AD455" s="259"/>
      <c r="AE455" s="259"/>
      <c r="AF455" s="259"/>
      <c r="AG455" s="259"/>
      <c r="AH455" s="259"/>
      <c r="AI455" s="259"/>
      <c r="AJ455" s="259"/>
      <c r="AK455" s="259"/>
      <c r="AL455" s="259"/>
      <c r="AM455" s="259"/>
      <c r="AN455" s="259"/>
      <c r="AO455" s="259"/>
      <c r="AP455" s="259"/>
      <c r="AQ455" s="259"/>
      <c r="AR455" s="259"/>
      <c r="AS455" s="259"/>
    </row>
    <row r="456" spans="1:45" x14ac:dyDescent="0.25">
      <c r="A456" s="396"/>
      <c r="B456" s="396"/>
      <c r="C456" s="396"/>
      <c r="D456" s="396"/>
      <c r="E456" s="396"/>
      <c r="F456" s="396"/>
      <c r="G456" s="396"/>
      <c r="H456" s="396"/>
      <c r="I456" s="396"/>
      <c r="J456" s="396"/>
      <c r="K456" s="396"/>
      <c r="L456" s="396"/>
      <c r="M456" s="396"/>
      <c r="N456" s="396"/>
      <c r="O456" s="396"/>
      <c r="P456" s="396"/>
      <c r="Q456" s="259"/>
      <c r="R456" s="259"/>
      <c r="S456" s="259"/>
      <c r="T456" s="259"/>
      <c r="U456" s="259"/>
      <c r="V456" s="259"/>
      <c r="W456" s="259"/>
      <c r="X456" s="259"/>
      <c r="Y456" s="259"/>
      <c r="Z456" s="259"/>
      <c r="AA456" s="259"/>
      <c r="AB456" s="259"/>
      <c r="AC456" s="259"/>
      <c r="AD456" s="259"/>
      <c r="AE456" s="259"/>
      <c r="AF456" s="259"/>
      <c r="AG456" s="259"/>
      <c r="AH456" s="259"/>
      <c r="AI456" s="259"/>
      <c r="AJ456" s="259"/>
      <c r="AK456" s="259"/>
      <c r="AL456" s="259"/>
      <c r="AM456" s="259"/>
      <c r="AN456" s="259"/>
      <c r="AO456" s="259"/>
      <c r="AP456" s="259"/>
      <c r="AQ456" s="259"/>
      <c r="AR456" s="259"/>
      <c r="AS456" s="259"/>
    </row>
    <row r="457" spans="1:45" x14ac:dyDescent="0.25">
      <c r="A457" s="396"/>
      <c r="B457" s="396"/>
      <c r="C457" s="396"/>
      <c r="D457" s="396"/>
      <c r="E457" s="396"/>
      <c r="F457" s="396"/>
      <c r="G457" s="396"/>
      <c r="H457" s="396"/>
      <c r="I457" s="396"/>
      <c r="J457" s="396"/>
      <c r="K457" s="396"/>
      <c r="L457" s="396"/>
      <c r="M457" s="396"/>
      <c r="N457" s="396"/>
      <c r="O457" s="396"/>
      <c r="P457" s="396"/>
      <c r="Q457" s="259"/>
      <c r="R457" s="259"/>
      <c r="S457" s="259"/>
      <c r="T457" s="259"/>
      <c r="U457" s="259"/>
      <c r="V457" s="259"/>
      <c r="W457" s="259"/>
      <c r="X457" s="259"/>
      <c r="Y457" s="259"/>
      <c r="Z457" s="259"/>
      <c r="AA457" s="259"/>
      <c r="AB457" s="259"/>
      <c r="AC457" s="259"/>
      <c r="AD457" s="259"/>
      <c r="AE457" s="259"/>
      <c r="AF457" s="259"/>
      <c r="AG457" s="259"/>
      <c r="AH457" s="259"/>
      <c r="AI457" s="259"/>
      <c r="AJ457" s="259"/>
      <c r="AK457" s="259"/>
      <c r="AL457" s="259"/>
      <c r="AM457" s="259"/>
      <c r="AN457" s="259"/>
      <c r="AO457" s="259"/>
      <c r="AP457" s="259"/>
      <c r="AQ457" s="259"/>
      <c r="AR457" s="259"/>
      <c r="AS457" s="259"/>
    </row>
    <row r="458" spans="1:45" x14ac:dyDescent="0.25">
      <c r="A458" s="396"/>
      <c r="B458" s="396"/>
      <c r="C458" s="396"/>
      <c r="D458" s="396"/>
      <c r="E458" s="396"/>
      <c r="F458" s="396"/>
      <c r="G458" s="396"/>
      <c r="H458" s="396"/>
      <c r="I458" s="396"/>
      <c r="J458" s="396"/>
      <c r="K458" s="396"/>
      <c r="L458" s="396"/>
      <c r="M458" s="396"/>
      <c r="N458" s="396"/>
      <c r="O458" s="396"/>
      <c r="P458" s="396"/>
      <c r="Q458" s="259"/>
      <c r="R458" s="259"/>
      <c r="S458" s="259"/>
      <c r="T458" s="259"/>
      <c r="U458" s="259"/>
      <c r="V458" s="259"/>
      <c r="W458" s="259"/>
      <c r="X458" s="259"/>
      <c r="Y458" s="259"/>
      <c r="Z458" s="259"/>
      <c r="AA458" s="259"/>
      <c r="AB458" s="259"/>
      <c r="AC458" s="259"/>
      <c r="AD458" s="259"/>
      <c r="AE458" s="259"/>
      <c r="AF458" s="259"/>
      <c r="AG458" s="259"/>
      <c r="AH458" s="259"/>
      <c r="AI458" s="259"/>
      <c r="AJ458" s="259"/>
      <c r="AK458" s="259"/>
      <c r="AL458" s="259"/>
      <c r="AM458" s="259"/>
      <c r="AN458" s="259"/>
      <c r="AO458" s="259"/>
      <c r="AP458" s="259"/>
      <c r="AQ458" s="259"/>
      <c r="AR458" s="259"/>
      <c r="AS458" s="259"/>
    </row>
    <row r="459" spans="1:45" x14ac:dyDescent="0.25">
      <c r="A459" s="396"/>
      <c r="B459" s="396"/>
      <c r="C459" s="396"/>
      <c r="D459" s="396"/>
      <c r="E459" s="396"/>
      <c r="F459" s="396"/>
      <c r="G459" s="396"/>
      <c r="H459" s="396"/>
      <c r="I459" s="396"/>
      <c r="J459" s="396"/>
      <c r="K459" s="396"/>
      <c r="L459" s="396"/>
      <c r="M459" s="396"/>
      <c r="N459" s="396"/>
      <c r="O459" s="396"/>
      <c r="P459" s="396"/>
      <c r="Q459" s="259"/>
      <c r="R459" s="259"/>
      <c r="S459" s="259"/>
      <c r="T459" s="259"/>
      <c r="U459" s="259"/>
      <c r="V459" s="259"/>
      <c r="W459" s="259"/>
      <c r="X459" s="259"/>
      <c r="Y459" s="259"/>
      <c r="Z459" s="259"/>
      <c r="AA459" s="259"/>
      <c r="AB459" s="259"/>
      <c r="AC459" s="259"/>
      <c r="AD459" s="259"/>
      <c r="AE459" s="259"/>
      <c r="AF459" s="259"/>
      <c r="AG459" s="259"/>
      <c r="AH459" s="259"/>
      <c r="AI459" s="259"/>
      <c r="AJ459" s="259"/>
      <c r="AK459" s="259"/>
      <c r="AL459" s="259"/>
      <c r="AM459" s="259"/>
      <c r="AN459" s="259"/>
      <c r="AO459" s="259"/>
      <c r="AP459" s="259"/>
      <c r="AQ459" s="259"/>
      <c r="AR459" s="259"/>
      <c r="AS459" s="259"/>
    </row>
    <row r="460" spans="1:45" x14ac:dyDescent="0.25">
      <c r="A460" s="396"/>
      <c r="B460" s="396"/>
      <c r="C460" s="396"/>
      <c r="D460" s="396"/>
      <c r="E460" s="396"/>
      <c r="F460" s="396"/>
      <c r="G460" s="396"/>
      <c r="H460" s="396"/>
      <c r="I460" s="396"/>
      <c r="J460" s="396"/>
      <c r="K460" s="396"/>
      <c r="L460" s="396"/>
      <c r="M460" s="396"/>
      <c r="N460" s="396"/>
      <c r="O460" s="396"/>
      <c r="P460" s="396"/>
      <c r="Q460" s="259"/>
      <c r="R460" s="259"/>
      <c r="S460" s="259"/>
      <c r="T460" s="259"/>
      <c r="U460" s="259"/>
      <c r="V460" s="259"/>
      <c r="W460" s="259"/>
      <c r="X460" s="259"/>
      <c r="Y460" s="259"/>
      <c r="Z460" s="259"/>
      <c r="AA460" s="259"/>
      <c r="AB460" s="259"/>
      <c r="AC460" s="259"/>
      <c r="AD460" s="259"/>
      <c r="AE460" s="259"/>
      <c r="AF460" s="259"/>
      <c r="AG460" s="259"/>
      <c r="AH460" s="259"/>
      <c r="AI460" s="259"/>
      <c r="AJ460" s="259"/>
      <c r="AK460" s="259"/>
      <c r="AL460" s="259"/>
      <c r="AM460" s="259"/>
      <c r="AN460" s="259"/>
      <c r="AO460" s="259"/>
      <c r="AP460" s="259"/>
      <c r="AQ460" s="259"/>
      <c r="AR460" s="259"/>
      <c r="AS460" s="259"/>
    </row>
    <row r="461" spans="1:45" x14ac:dyDescent="0.25">
      <c r="A461" s="396"/>
      <c r="B461" s="396"/>
      <c r="C461" s="396"/>
      <c r="D461" s="396"/>
      <c r="E461" s="396"/>
      <c r="F461" s="396"/>
      <c r="G461" s="396"/>
      <c r="H461" s="396"/>
      <c r="I461" s="396"/>
      <c r="J461" s="396"/>
      <c r="K461" s="396"/>
      <c r="L461" s="396"/>
      <c r="M461" s="396"/>
      <c r="N461" s="396"/>
      <c r="O461" s="396"/>
      <c r="P461" s="396"/>
      <c r="Q461" s="259"/>
      <c r="R461" s="259"/>
      <c r="S461" s="259"/>
      <c r="T461" s="259"/>
      <c r="U461" s="259"/>
      <c r="V461" s="259"/>
      <c r="W461" s="259"/>
      <c r="X461" s="259"/>
      <c r="Y461" s="259"/>
      <c r="Z461" s="259"/>
      <c r="AA461" s="259"/>
      <c r="AB461" s="259"/>
      <c r="AC461" s="259"/>
      <c r="AD461" s="259"/>
      <c r="AE461" s="259"/>
      <c r="AF461" s="259"/>
      <c r="AG461" s="259"/>
      <c r="AH461" s="259"/>
      <c r="AI461" s="259"/>
      <c r="AJ461" s="259"/>
      <c r="AK461" s="259"/>
      <c r="AL461" s="259"/>
      <c r="AM461" s="259"/>
      <c r="AN461" s="259"/>
      <c r="AO461" s="259"/>
      <c r="AP461" s="259"/>
      <c r="AQ461" s="259"/>
      <c r="AR461" s="259"/>
      <c r="AS461" s="259"/>
    </row>
    <row r="462" spans="1:45" x14ac:dyDescent="0.25">
      <c r="A462" s="396"/>
      <c r="B462" s="396"/>
      <c r="C462" s="396"/>
      <c r="D462" s="396"/>
      <c r="E462" s="396"/>
      <c r="F462" s="396"/>
      <c r="G462" s="396"/>
      <c r="H462" s="396"/>
      <c r="I462" s="396"/>
      <c r="J462" s="396"/>
      <c r="K462" s="396"/>
      <c r="L462" s="396"/>
      <c r="M462" s="396"/>
      <c r="N462" s="396"/>
      <c r="O462" s="396"/>
      <c r="P462" s="396"/>
      <c r="Q462" s="259"/>
      <c r="R462" s="259"/>
      <c r="S462" s="259"/>
      <c r="T462" s="259"/>
      <c r="U462" s="259"/>
      <c r="V462" s="259"/>
      <c r="W462" s="259"/>
      <c r="X462" s="259"/>
      <c r="Y462" s="259"/>
      <c r="Z462" s="259"/>
      <c r="AA462" s="259"/>
      <c r="AB462" s="259"/>
      <c r="AC462" s="259"/>
      <c r="AD462" s="259"/>
      <c r="AE462" s="259"/>
      <c r="AF462" s="259"/>
      <c r="AG462" s="259"/>
      <c r="AH462" s="259"/>
      <c r="AI462" s="259"/>
      <c r="AJ462" s="259"/>
      <c r="AK462" s="259"/>
      <c r="AL462" s="259"/>
      <c r="AM462" s="259"/>
      <c r="AN462" s="259"/>
      <c r="AO462" s="259"/>
      <c r="AP462" s="259"/>
      <c r="AQ462" s="259"/>
      <c r="AR462" s="259"/>
      <c r="AS462" s="259"/>
    </row>
    <row r="463" spans="1:45" x14ac:dyDescent="0.25">
      <c r="A463" s="396"/>
      <c r="B463" s="396"/>
      <c r="C463" s="396"/>
      <c r="D463" s="396"/>
      <c r="E463" s="396"/>
      <c r="F463" s="396"/>
      <c r="G463" s="396"/>
      <c r="H463" s="396"/>
      <c r="I463" s="396"/>
      <c r="J463" s="396"/>
      <c r="K463" s="396"/>
      <c r="L463" s="396"/>
      <c r="M463" s="396"/>
      <c r="N463" s="396"/>
      <c r="O463" s="396"/>
      <c r="P463" s="396"/>
      <c r="Q463" s="259"/>
      <c r="R463" s="259"/>
      <c r="S463" s="259"/>
      <c r="T463" s="259"/>
      <c r="U463" s="259"/>
      <c r="V463" s="259"/>
      <c r="W463" s="259"/>
      <c r="X463" s="259"/>
      <c r="Y463" s="259"/>
      <c r="Z463" s="259"/>
      <c r="AA463" s="259"/>
      <c r="AB463" s="259"/>
      <c r="AC463" s="259"/>
      <c r="AD463" s="259"/>
      <c r="AE463" s="259"/>
      <c r="AF463" s="259"/>
      <c r="AG463" s="259"/>
      <c r="AH463" s="259"/>
      <c r="AI463" s="259"/>
      <c r="AJ463" s="259"/>
      <c r="AK463" s="259"/>
      <c r="AL463" s="259"/>
      <c r="AM463" s="259"/>
      <c r="AN463" s="259"/>
      <c r="AO463" s="259"/>
      <c r="AP463" s="259"/>
      <c r="AQ463" s="259"/>
      <c r="AR463" s="259"/>
      <c r="AS463" s="259"/>
    </row>
    <row r="464" spans="1:45" x14ac:dyDescent="0.25">
      <c r="A464" s="396"/>
      <c r="B464" s="396"/>
      <c r="C464" s="396"/>
      <c r="D464" s="396"/>
      <c r="E464" s="396"/>
      <c r="F464" s="396"/>
      <c r="G464" s="396"/>
      <c r="H464" s="396"/>
      <c r="I464" s="396"/>
      <c r="J464" s="396"/>
      <c r="K464" s="396"/>
      <c r="L464" s="396"/>
      <c r="M464" s="396"/>
      <c r="N464" s="396"/>
      <c r="O464" s="396"/>
      <c r="P464" s="396"/>
      <c r="Q464" s="259"/>
      <c r="R464" s="259"/>
      <c r="S464" s="259"/>
      <c r="T464" s="259"/>
      <c r="U464" s="259"/>
      <c r="V464" s="259"/>
      <c r="W464" s="259"/>
      <c r="X464" s="259"/>
      <c r="Y464" s="259"/>
      <c r="Z464" s="259"/>
      <c r="AA464" s="259"/>
      <c r="AB464" s="259"/>
      <c r="AC464" s="259"/>
      <c r="AD464" s="259"/>
      <c r="AE464" s="259"/>
      <c r="AF464" s="259"/>
      <c r="AG464" s="259"/>
      <c r="AH464" s="259"/>
      <c r="AI464" s="259"/>
      <c r="AJ464" s="259"/>
      <c r="AK464" s="259"/>
      <c r="AL464" s="259"/>
      <c r="AM464" s="259"/>
      <c r="AN464" s="259"/>
      <c r="AO464" s="259"/>
      <c r="AP464" s="259"/>
      <c r="AQ464" s="259"/>
      <c r="AR464" s="259"/>
      <c r="AS464" s="259"/>
    </row>
    <row r="465" spans="1:45" x14ac:dyDescent="0.25">
      <c r="A465" s="396"/>
      <c r="B465" s="396"/>
      <c r="C465" s="396"/>
      <c r="D465" s="396"/>
      <c r="E465" s="396"/>
      <c r="F465" s="396"/>
      <c r="G465" s="396"/>
      <c r="H465" s="396"/>
      <c r="I465" s="396"/>
      <c r="J465" s="396"/>
      <c r="K465" s="396"/>
      <c r="L465" s="396"/>
      <c r="M465" s="396"/>
      <c r="N465" s="396"/>
      <c r="O465" s="396"/>
      <c r="P465" s="396"/>
      <c r="Q465" s="259"/>
      <c r="R465" s="259"/>
      <c r="S465" s="259"/>
      <c r="T465" s="259"/>
      <c r="U465" s="259"/>
      <c r="V465" s="259"/>
      <c r="W465" s="259"/>
      <c r="X465" s="259"/>
      <c r="Y465" s="259"/>
      <c r="Z465" s="259"/>
      <c r="AA465" s="259"/>
      <c r="AB465" s="259"/>
      <c r="AC465" s="259"/>
      <c r="AD465" s="259"/>
      <c r="AE465" s="259"/>
      <c r="AF465" s="259"/>
      <c r="AG465" s="259"/>
      <c r="AH465" s="259"/>
      <c r="AI465" s="259"/>
      <c r="AJ465" s="259"/>
      <c r="AK465" s="259"/>
      <c r="AL465" s="259"/>
      <c r="AM465" s="259"/>
      <c r="AN465" s="259"/>
      <c r="AO465" s="259"/>
      <c r="AP465" s="259"/>
      <c r="AQ465" s="259"/>
      <c r="AR465" s="259"/>
      <c r="AS465" s="259"/>
    </row>
    <row r="466" spans="1:45" x14ac:dyDescent="0.25">
      <c r="A466" s="396"/>
      <c r="B466" s="396"/>
      <c r="C466" s="396"/>
      <c r="D466" s="396"/>
      <c r="E466" s="396"/>
      <c r="F466" s="396"/>
      <c r="G466" s="396"/>
      <c r="H466" s="396"/>
      <c r="I466" s="396"/>
      <c r="J466" s="396"/>
      <c r="K466" s="396"/>
      <c r="L466" s="396"/>
      <c r="M466" s="396"/>
      <c r="N466" s="396"/>
      <c r="O466" s="396"/>
      <c r="P466" s="396"/>
      <c r="Q466" s="259"/>
      <c r="R466" s="259"/>
      <c r="S466" s="259"/>
      <c r="T466" s="259"/>
      <c r="U466" s="259"/>
      <c r="V466" s="259"/>
      <c r="W466" s="259"/>
      <c r="X466" s="259"/>
      <c r="Y466" s="259"/>
      <c r="Z466" s="259"/>
      <c r="AA466" s="259"/>
      <c r="AB466" s="259"/>
      <c r="AC466" s="259"/>
      <c r="AD466" s="259"/>
      <c r="AE466" s="259"/>
      <c r="AF466" s="259"/>
      <c r="AG466" s="259"/>
      <c r="AH466" s="259"/>
      <c r="AI466" s="259"/>
      <c r="AJ466" s="259"/>
      <c r="AK466" s="259"/>
      <c r="AL466" s="259"/>
      <c r="AM466" s="259"/>
      <c r="AN466" s="259"/>
      <c r="AO466" s="259"/>
      <c r="AP466" s="259"/>
      <c r="AQ466" s="259"/>
      <c r="AR466" s="259"/>
      <c r="AS466" s="259"/>
    </row>
    <row r="467" spans="1:45" x14ac:dyDescent="0.25">
      <c r="A467" s="396"/>
      <c r="B467" s="396"/>
      <c r="C467" s="396"/>
      <c r="D467" s="396"/>
      <c r="E467" s="396"/>
      <c r="F467" s="396"/>
      <c r="G467" s="396"/>
      <c r="H467" s="396"/>
      <c r="I467" s="396"/>
      <c r="J467" s="396"/>
      <c r="K467" s="396"/>
      <c r="L467" s="396"/>
      <c r="M467" s="396"/>
      <c r="N467" s="396"/>
      <c r="O467" s="396"/>
      <c r="P467" s="396"/>
      <c r="Q467" s="259"/>
      <c r="R467" s="259"/>
      <c r="S467" s="259"/>
      <c r="T467" s="259"/>
      <c r="U467" s="259"/>
      <c r="V467" s="259"/>
      <c r="W467" s="259"/>
      <c r="X467" s="259"/>
      <c r="Y467" s="259"/>
      <c r="Z467" s="259"/>
      <c r="AA467" s="259"/>
      <c r="AB467" s="259"/>
      <c r="AC467" s="259"/>
      <c r="AD467" s="259"/>
      <c r="AE467" s="259"/>
      <c r="AF467" s="259"/>
      <c r="AG467" s="259"/>
      <c r="AH467" s="259"/>
      <c r="AI467" s="259"/>
      <c r="AJ467" s="259"/>
      <c r="AK467" s="259"/>
      <c r="AL467" s="259"/>
      <c r="AM467" s="259"/>
      <c r="AN467" s="259"/>
      <c r="AO467" s="259"/>
      <c r="AP467" s="259"/>
      <c r="AQ467" s="259"/>
      <c r="AR467" s="259"/>
      <c r="AS467" s="259"/>
    </row>
    <row r="468" spans="1:45" x14ac:dyDescent="0.25">
      <c r="A468" s="396"/>
      <c r="B468" s="396"/>
      <c r="C468" s="396"/>
      <c r="D468" s="396"/>
      <c r="E468" s="396"/>
      <c r="F468" s="396"/>
      <c r="G468" s="396"/>
      <c r="H468" s="396"/>
      <c r="I468" s="396"/>
      <c r="J468" s="396"/>
      <c r="K468" s="396"/>
      <c r="L468" s="396"/>
      <c r="M468" s="396"/>
      <c r="N468" s="396"/>
      <c r="O468" s="396"/>
      <c r="P468" s="396"/>
      <c r="Q468" s="259"/>
      <c r="R468" s="259"/>
      <c r="S468" s="259"/>
      <c r="T468" s="259"/>
      <c r="U468" s="259"/>
      <c r="V468" s="259"/>
      <c r="W468" s="259"/>
      <c r="X468" s="259"/>
      <c r="Y468" s="259"/>
      <c r="Z468" s="259"/>
      <c r="AA468" s="259"/>
      <c r="AB468" s="259"/>
      <c r="AC468" s="259"/>
      <c r="AD468" s="259"/>
      <c r="AE468" s="259"/>
      <c r="AF468" s="259"/>
      <c r="AG468" s="259"/>
      <c r="AH468" s="259"/>
      <c r="AI468" s="259"/>
      <c r="AJ468" s="259"/>
      <c r="AK468" s="259"/>
      <c r="AL468" s="259"/>
      <c r="AM468" s="259"/>
      <c r="AN468" s="259"/>
      <c r="AO468" s="259"/>
      <c r="AP468" s="259"/>
      <c r="AQ468" s="259"/>
      <c r="AR468" s="259"/>
      <c r="AS468" s="259"/>
    </row>
    <row r="469" spans="1:45" x14ac:dyDescent="0.25">
      <c r="A469" s="396"/>
      <c r="B469" s="396"/>
      <c r="C469" s="396"/>
      <c r="D469" s="396"/>
      <c r="E469" s="396"/>
      <c r="F469" s="396"/>
      <c r="G469" s="396"/>
      <c r="H469" s="396"/>
      <c r="I469" s="396"/>
      <c r="J469" s="396"/>
      <c r="K469" s="396"/>
      <c r="L469" s="396"/>
      <c r="M469" s="396"/>
      <c r="N469" s="396"/>
      <c r="O469" s="396"/>
      <c r="P469" s="396"/>
      <c r="Q469" s="259"/>
      <c r="R469" s="259"/>
      <c r="S469" s="259"/>
      <c r="T469" s="259"/>
      <c r="U469" s="259"/>
      <c r="V469" s="259"/>
      <c r="W469" s="259"/>
      <c r="X469" s="259"/>
      <c r="Y469" s="259"/>
      <c r="Z469" s="259"/>
      <c r="AA469" s="259"/>
      <c r="AB469" s="259"/>
      <c r="AC469" s="259"/>
      <c r="AD469" s="259"/>
      <c r="AE469" s="259"/>
      <c r="AF469" s="259"/>
      <c r="AG469" s="259"/>
      <c r="AH469" s="259"/>
      <c r="AI469" s="259"/>
      <c r="AJ469" s="259"/>
      <c r="AK469" s="259"/>
      <c r="AL469" s="259"/>
      <c r="AM469" s="259"/>
      <c r="AN469" s="259"/>
      <c r="AO469" s="259"/>
      <c r="AP469" s="259"/>
      <c r="AQ469" s="259"/>
      <c r="AR469" s="259"/>
      <c r="AS469" s="259"/>
    </row>
    <row r="470" spans="1:45" x14ac:dyDescent="0.25">
      <c r="A470" s="396"/>
      <c r="B470" s="396"/>
      <c r="C470" s="396"/>
      <c r="D470" s="396"/>
      <c r="E470" s="396"/>
      <c r="F470" s="396"/>
      <c r="G470" s="396"/>
      <c r="H470" s="396"/>
      <c r="I470" s="396"/>
      <c r="J470" s="396"/>
      <c r="K470" s="396"/>
      <c r="L470" s="396"/>
      <c r="M470" s="396"/>
      <c r="N470" s="396"/>
      <c r="O470" s="396"/>
      <c r="P470" s="396"/>
      <c r="Q470" s="259"/>
      <c r="R470" s="259"/>
      <c r="S470" s="259"/>
      <c r="T470" s="259"/>
      <c r="U470" s="259"/>
      <c r="V470" s="259"/>
      <c r="W470" s="259"/>
      <c r="X470" s="259"/>
      <c r="Y470" s="259"/>
      <c r="Z470" s="259"/>
      <c r="AA470" s="259"/>
      <c r="AB470" s="259"/>
      <c r="AC470" s="259"/>
      <c r="AD470" s="259"/>
      <c r="AE470" s="259"/>
      <c r="AF470" s="259"/>
      <c r="AG470" s="259"/>
      <c r="AH470" s="259"/>
      <c r="AI470" s="259"/>
      <c r="AJ470" s="259"/>
      <c r="AK470" s="259"/>
      <c r="AL470" s="259"/>
      <c r="AM470" s="259"/>
      <c r="AN470" s="259"/>
      <c r="AO470" s="259"/>
      <c r="AP470" s="259"/>
      <c r="AQ470" s="259"/>
      <c r="AR470" s="259"/>
      <c r="AS470" s="259"/>
    </row>
    <row r="471" spans="1:45" x14ac:dyDescent="0.25">
      <c r="A471" s="396"/>
      <c r="B471" s="396"/>
      <c r="C471" s="396"/>
      <c r="D471" s="396"/>
      <c r="E471" s="396"/>
      <c r="F471" s="396"/>
      <c r="G471" s="396"/>
      <c r="H471" s="396"/>
      <c r="I471" s="396"/>
      <c r="J471" s="396"/>
      <c r="K471" s="396"/>
      <c r="L471" s="396"/>
      <c r="M471" s="396"/>
      <c r="N471" s="396"/>
      <c r="O471" s="396"/>
      <c r="P471" s="396"/>
      <c r="Q471" s="259"/>
      <c r="R471" s="259"/>
      <c r="S471" s="259"/>
      <c r="T471" s="259"/>
      <c r="U471" s="259"/>
      <c r="V471" s="259"/>
      <c r="W471" s="259"/>
      <c r="X471" s="259"/>
      <c r="Y471" s="259"/>
      <c r="Z471" s="259"/>
      <c r="AA471" s="259"/>
      <c r="AB471" s="259"/>
      <c r="AC471" s="259"/>
      <c r="AD471" s="259"/>
      <c r="AE471" s="259"/>
      <c r="AF471" s="259"/>
      <c r="AG471" s="259"/>
      <c r="AH471" s="259"/>
      <c r="AI471" s="259"/>
      <c r="AJ471" s="259"/>
      <c r="AK471" s="259"/>
      <c r="AL471" s="259"/>
      <c r="AM471" s="259"/>
      <c r="AN471" s="259"/>
      <c r="AO471" s="259"/>
      <c r="AP471" s="259"/>
      <c r="AQ471" s="259"/>
      <c r="AR471" s="259"/>
      <c r="AS471" s="259"/>
    </row>
    <row r="472" spans="1:45" x14ac:dyDescent="0.25">
      <c r="A472" s="396"/>
      <c r="B472" s="396"/>
      <c r="C472" s="396"/>
      <c r="D472" s="396"/>
      <c r="E472" s="396"/>
      <c r="F472" s="396"/>
      <c r="G472" s="396"/>
      <c r="H472" s="396"/>
      <c r="I472" s="396"/>
      <c r="J472" s="396"/>
      <c r="K472" s="396"/>
      <c r="L472" s="396"/>
      <c r="M472" s="396"/>
      <c r="N472" s="396"/>
      <c r="O472" s="396"/>
      <c r="P472" s="396"/>
      <c r="Q472" s="259"/>
      <c r="R472" s="259"/>
      <c r="S472" s="259"/>
      <c r="T472" s="259"/>
      <c r="U472" s="259"/>
      <c r="V472" s="259"/>
      <c r="W472" s="259"/>
      <c r="X472" s="259"/>
      <c r="Y472" s="259"/>
      <c r="Z472" s="259"/>
      <c r="AA472" s="259"/>
      <c r="AB472" s="259"/>
      <c r="AC472" s="259"/>
      <c r="AD472" s="259"/>
      <c r="AE472" s="259"/>
      <c r="AF472" s="259"/>
      <c r="AG472" s="259"/>
      <c r="AH472" s="259"/>
      <c r="AI472" s="259"/>
      <c r="AJ472" s="259"/>
      <c r="AK472" s="259"/>
      <c r="AL472" s="259"/>
      <c r="AM472" s="259"/>
      <c r="AN472" s="259"/>
      <c r="AO472" s="259"/>
      <c r="AP472" s="259"/>
      <c r="AQ472" s="259"/>
      <c r="AR472" s="259"/>
      <c r="AS472" s="259"/>
    </row>
    <row r="473" spans="1:45" x14ac:dyDescent="0.25">
      <c r="A473" s="396"/>
      <c r="B473" s="396"/>
      <c r="C473" s="396"/>
      <c r="D473" s="396"/>
      <c r="E473" s="396"/>
      <c r="F473" s="396"/>
      <c r="G473" s="396"/>
      <c r="H473" s="396"/>
      <c r="I473" s="396"/>
      <c r="J473" s="396"/>
      <c r="K473" s="396"/>
      <c r="L473" s="396"/>
      <c r="M473" s="396"/>
      <c r="N473" s="396"/>
      <c r="O473" s="396"/>
      <c r="P473" s="396"/>
      <c r="Q473" s="259"/>
      <c r="R473" s="259"/>
      <c r="S473" s="259"/>
      <c r="T473" s="259"/>
      <c r="U473" s="259"/>
      <c r="V473" s="259"/>
      <c r="W473" s="259"/>
      <c r="X473" s="259"/>
      <c r="Y473" s="259"/>
      <c r="Z473" s="259"/>
      <c r="AA473" s="259"/>
      <c r="AB473" s="259"/>
      <c r="AC473" s="259"/>
      <c r="AD473" s="259"/>
      <c r="AE473" s="259"/>
      <c r="AF473" s="259"/>
      <c r="AG473" s="259"/>
      <c r="AH473" s="259"/>
      <c r="AI473" s="259"/>
      <c r="AJ473" s="259"/>
      <c r="AK473" s="259"/>
      <c r="AL473" s="259"/>
      <c r="AM473" s="259"/>
      <c r="AN473" s="259"/>
      <c r="AO473" s="259"/>
      <c r="AP473" s="259"/>
      <c r="AQ473" s="259"/>
      <c r="AR473" s="259"/>
      <c r="AS473" s="259"/>
    </row>
    <row r="474" spans="1:45" x14ac:dyDescent="0.25">
      <c r="A474" s="396"/>
      <c r="B474" s="396"/>
      <c r="C474" s="396"/>
      <c r="D474" s="396"/>
      <c r="E474" s="396"/>
      <c r="F474" s="396"/>
      <c r="G474" s="396"/>
      <c r="H474" s="396"/>
      <c r="I474" s="396"/>
      <c r="J474" s="396"/>
      <c r="K474" s="396"/>
      <c r="L474" s="396"/>
      <c r="M474" s="396"/>
      <c r="N474" s="396"/>
      <c r="O474" s="396"/>
      <c r="P474" s="396"/>
      <c r="Q474" s="259"/>
      <c r="R474" s="259"/>
      <c r="S474" s="259"/>
      <c r="T474" s="259"/>
      <c r="U474" s="259"/>
      <c r="V474" s="259"/>
      <c r="W474" s="259"/>
      <c r="X474" s="259"/>
      <c r="Y474" s="259"/>
      <c r="Z474" s="259"/>
      <c r="AA474" s="259"/>
      <c r="AB474" s="259"/>
      <c r="AC474" s="259"/>
      <c r="AD474" s="259"/>
      <c r="AE474" s="259"/>
      <c r="AF474" s="259"/>
      <c r="AG474" s="259"/>
      <c r="AH474" s="259"/>
      <c r="AI474" s="259"/>
      <c r="AJ474" s="259"/>
      <c r="AK474" s="259"/>
      <c r="AL474" s="259"/>
      <c r="AM474" s="259"/>
      <c r="AN474" s="259"/>
      <c r="AO474" s="259"/>
      <c r="AP474" s="259"/>
      <c r="AQ474" s="259"/>
      <c r="AR474" s="259"/>
      <c r="AS474" s="259"/>
    </row>
    <row r="475" spans="1:45" x14ac:dyDescent="0.25">
      <c r="A475" s="396"/>
      <c r="B475" s="396"/>
      <c r="C475" s="396"/>
      <c r="D475" s="396"/>
      <c r="E475" s="396"/>
      <c r="F475" s="396"/>
      <c r="G475" s="396"/>
      <c r="H475" s="396"/>
      <c r="I475" s="396"/>
      <c r="J475" s="396"/>
      <c r="K475" s="396"/>
      <c r="L475" s="396"/>
      <c r="M475" s="396"/>
      <c r="N475" s="396"/>
      <c r="O475" s="396"/>
      <c r="P475" s="396"/>
      <c r="Q475" s="259"/>
      <c r="R475" s="259"/>
      <c r="S475" s="259"/>
      <c r="T475" s="259"/>
      <c r="U475" s="259"/>
      <c r="V475" s="259"/>
      <c r="W475" s="259"/>
      <c r="X475" s="259"/>
      <c r="Y475" s="259"/>
      <c r="Z475" s="259"/>
      <c r="AA475" s="259"/>
      <c r="AB475" s="259"/>
      <c r="AC475" s="259"/>
      <c r="AD475" s="259"/>
      <c r="AE475" s="259"/>
      <c r="AF475" s="259"/>
      <c r="AG475" s="259"/>
      <c r="AH475" s="259"/>
      <c r="AI475" s="259"/>
      <c r="AJ475" s="259"/>
      <c r="AK475" s="259"/>
      <c r="AL475" s="259"/>
      <c r="AM475" s="259"/>
      <c r="AN475" s="259"/>
      <c r="AO475" s="259"/>
      <c r="AP475" s="259"/>
      <c r="AQ475" s="259"/>
      <c r="AR475" s="259"/>
      <c r="AS475" s="259"/>
    </row>
    <row r="476" spans="1:45" x14ac:dyDescent="0.25">
      <c r="A476" s="396"/>
      <c r="B476" s="396"/>
      <c r="C476" s="396"/>
      <c r="D476" s="396"/>
      <c r="E476" s="396"/>
      <c r="F476" s="396"/>
      <c r="G476" s="396"/>
      <c r="H476" s="396"/>
      <c r="I476" s="396"/>
      <c r="J476" s="396"/>
      <c r="K476" s="396"/>
      <c r="L476" s="396"/>
      <c r="M476" s="396"/>
      <c r="N476" s="396"/>
      <c r="O476" s="396"/>
      <c r="P476" s="396"/>
      <c r="Q476" s="259"/>
      <c r="R476" s="259"/>
      <c r="S476" s="259"/>
      <c r="T476" s="259"/>
      <c r="U476" s="259"/>
      <c r="V476" s="259"/>
      <c r="W476" s="259"/>
      <c r="X476" s="259"/>
      <c r="Y476" s="259"/>
      <c r="Z476" s="259"/>
      <c r="AA476" s="259"/>
      <c r="AB476" s="259"/>
      <c r="AC476" s="259"/>
      <c r="AD476" s="259"/>
      <c r="AE476" s="259"/>
      <c r="AF476" s="259"/>
      <c r="AG476" s="259"/>
      <c r="AH476" s="259"/>
      <c r="AI476" s="259"/>
      <c r="AJ476" s="259"/>
      <c r="AK476" s="259"/>
      <c r="AL476" s="259"/>
      <c r="AM476" s="259"/>
      <c r="AN476" s="259"/>
      <c r="AO476" s="259"/>
      <c r="AP476" s="259"/>
      <c r="AQ476" s="259"/>
      <c r="AR476" s="259"/>
      <c r="AS476" s="259"/>
    </row>
    <row r="477" spans="1:45" x14ac:dyDescent="0.25">
      <c r="A477" s="396"/>
      <c r="B477" s="396"/>
      <c r="C477" s="396"/>
      <c r="D477" s="396"/>
      <c r="E477" s="396"/>
      <c r="F477" s="396"/>
      <c r="G477" s="396"/>
      <c r="H477" s="396"/>
      <c r="I477" s="396"/>
      <c r="J477" s="396"/>
      <c r="K477" s="396"/>
      <c r="L477" s="396"/>
      <c r="M477" s="396"/>
      <c r="N477" s="396"/>
      <c r="O477" s="396"/>
      <c r="P477" s="396"/>
      <c r="Q477" s="259"/>
      <c r="R477" s="259"/>
      <c r="S477" s="259"/>
      <c r="T477" s="259"/>
      <c r="U477" s="259"/>
      <c r="V477" s="259"/>
      <c r="W477" s="259"/>
      <c r="X477" s="259"/>
      <c r="Y477" s="259"/>
      <c r="Z477" s="259"/>
      <c r="AA477" s="259"/>
      <c r="AB477" s="259"/>
      <c r="AC477" s="259"/>
      <c r="AD477" s="259"/>
      <c r="AE477" s="259"/>
      <c r="AF477" s="259"/>
      <c r="AG477" s="259"/>
      <c r="AH477" s="259"/>
      <c r="AI477" s="259"/>
      <c r="AJ477" s="259"/>
      <c r="AK477" s="259"/>
      <c r="AL477" s="259"/>
      <c r="AM477" s="259"/>
      <c r="AN477" s="259"/>
      <c r="AO477" s="259"/>
      <c r="AP477" s="259"/>
      <c r="AQ477" s="259"/>
      <c r="AR477" s="259"/>
      <c r="AS477" s="259"/>
    </row>
    <row r="478" spans="1:45" x14ac:dyDescent="0.25">
      <c r="A478" s="396"/>
      <c r="B478" s="396"/>
      <c r="C478" s="396"/>
      <c r="D478" s="396"/>
      <c r="E478" s="396"/>
      <c r="F478" s="396"/>
      <c r="G478" s="396"/>
      <c r="H478" s="396"/>
      <c r="I478" s="396"/>
      <c r="J478" s="396"/>
      <c r="K478" s="396"/>
      <c r="L478" s="396"/>
      <c r="M478" s="396"/>
      <c r="N478" s="396"/>
      <c r="O478" s="396"/>
      <c r="P478" s="396"/>
      <c r="Q478" s="259"/>
      <c r="R478" s="259"/>
      <c r="S478" s="259"/>
      <c r="T478" s="259"/>
      <c r="U478" s="259"/>
      <c r="V478" s="259"/>
      <c r="W478" s="259"/>
      <c r="X478" s="259"/>
      <c r="Y478" s="259"/>
      <c r="Z478" s="259"/>
      <c r="AA478" s="259"/>
      <c r="AB478" s="259"/>
      <c r="AC478" s="259"/>
      <c r="AD478" s="259"/>
      <c r="AE478" s="259"/>
      <c r="AF478" s="259"/>
      <c r="AG478" s="259"/>
      <c r="AH478" s="259"/>
      <c r="AI478" s="259"/>
      <c r="AJ478" s="259"/>
      <c r="AK478" s="259"/>
      <c r="AL478" s="259"/>
      <c r="AM478" s="259"/>
      <c r="AN478" s="259"/>
      <c r="AO478" s="259"/>
      <c r="AP478" s="259"/>
      <c r="AQ478" s="259"/>
      <c r="AR478" s="259"/>
      <c r="AS478" s="259"/>
    </row>
    <row r="479" spans="1:45" x14ac:dyDescent="0.25">
      <c r="A479" s="396"/>
      <c r="B479" s="396"/>
      <c r="C479" s="396"/>
      <c r="D479" s="396"/>
      <c r="E479" s="396"/>
      <c r="F479" s="396"/>
      <c r="G479" s="396"/>
      <c r="H479" s="396"/>
      <c r="I479" s="396"/>
      <c r="J479" s="396"/>
      <c r="K479" s="396"/>
      <c r="L479" s="396"/>
      <c r="M479" s="396"/>
      <c r="N479" s="396"/>
      <c r="O479" s="396"/>
      <c r="P479" s="396"/>
      <c r="Q479" s="259"/>
      <c r="R479" s="259"/>
      <c r="S479" s="259"/>
      <c r="T479" s="259"/>
      <c r="U479" s="259"/>
      <c r="V479" s="259"/>
      <c r="W479" s="259"/>
      <c r="X479" s="259"/>
      <c r="Y479" s="259"/>
      <c r="Z479" s="259"/>
      <c r="AA479" s="259"/>
      <c r="AB479" s="259"/>
      <c r="AC479" s="259"/>
      <c r="AD479" s="259"/>
      <c r="AE479" s="259"/>
      <c r="AF479" s="259"/>
      <c r="AG479" s="259"/>
      <c r="AH479" s="259"/>
      <c r="AI479" s="259"/>
      <c r="AJ479" s="259"/>
      <c r="AK479" s="259"/>
      <c r="AL479" s="259"/>
      <c r="AM479" s="259"/>
      <c r="AN479" s="259"/>
      <c r="AO479" s="259"/>
      <c r="AP479" s="259"/>
      <c r="AQ479" s="259"/>
      <c r="AR479" s="259"/>
      <c r="AS479" s="259"/>
    </row>
    <row r="480" spans="1:45" x14ac:dyDescent="0.25">
      <c r="A480" s="396"/>
      <c r="B480" s="396"/>
      <c r="C480" s="396"/>
      <c r="D480" s="396"/>
      <c r="E480" s="396"/>
      <c r="F480" s="396"/>
      <c r="G480" s="396"/>
      <c r="H480" s="396"/>
      <c r="I480" s="396"/>
      <c r="J480" s="396"/>
      <c r="K480" s="396"/>
      <c r="L480" s="396"/>
      <c r="M480" s="396"/>
      <c r="N480" s="396"/>
      <c r="O480" s="396"/>
      <c r="P480" s="396"/>
      <c r="Q480" s="259"/>
      <c r="R480" s="259"/>
      <c r="S480" s="259"/>
      <c r="T480" s="259"/>
      <c r="U480" s="259"/>
      <c r="V480" s="259"/>
      <c r="W480" s="259"/>
      <c r="X480" s="259"/>
      <c r="Y480" s="259"/>
      <c r="Z480" s="259"/>
      <c r="AA480" s="259"/>
      <c r="AB480" s="259"/>
      <c r="AC480" s="259"/>
      <c r="AD480" s="259"/>
      <c r="AE480" s="259"/>
      <c r="AF480" s="259"/>
      <c r="AG480" s="259"/>
      <c r="AH480" s="259"/>
      <c r="AI480" s="259"/>
      <c r="AJ480" s="259"/>
      <c r="AK480" s="259"/>
      <c r="AL480" s="259"/>
      <c r="AM480" s="259"/>
      <c r="AN480" s="259"/>
      <c r="AO480" s="259"/>
      <c r="AP480" s="259"/>
      <c r="AQ480" s="259"/>
      <c r="AR480" s="259"/>
      <c r="AS480" s="259"/>
    </row>
    <row r="481" spans="1:45" x14ac:dyDescent="0.25">
      <c r="A481" s="396"/>
      <c r="B481" s="396"/>
      <c r="C481" s="396"/>
      <c r="D481" s="396"/>
      <c r="E481" s="396"/>
      <c r="F481" s="396"/>
      <c r="G481" s="396"/>
      <c r="H481" s="396"/>
      <c r="I481" s="396"/>
      <c r="J481" s="396"/>
      <c r="K481" s="396"/>
      <c r="L481" s="396"/>
      <c r="M481" s="396"/>
      <c r="N481" s="396"/>
      <c r="O481" s="396"/>
      <c r="P481" s="396"/>
      <c r="Q481" s="259"/>
      <c r="R481" s="259"/>
      <c r="S481" s="259"/>
      <c r="T481" s="259"/>
      <c r="U481" s="259"/>
      <c r="V481" s="259"/>
      <c r="W481" s="259"/>
      <c r="X481" s="259"/>
      <c r="Y481" s="259"/>
      <c r="Z481" s="259"/>
      <c r="AA481" s="259"/>
      <c r="AB481" s="259"/>
      <c r="AC481" s="259"/>
      <c r="AD481" s="259"/>
      <c r="AE481" s="259"/>
      <c r="AF481" s="259"/>
      <c r="AG481" s="259"/>
      <c r="AH481" s="259"/>
      <c r="AI481" s="259"/>
      <c r="AJ481" s="259"/>
      <c r="AK481" s="259"/>
      <c r="AL481" s="259"/>
      <c r="AM481" s="259"/>
      <c r="AN481" s="259"/>
      <c r="AO481" s="259"/>
      <c r="AP481" s="259"/>
      <c r="AQ481" s="259"/>
      <c r="AR481" s="259"/>
      <c r="AS481" s="259"/>
    </row>
    <row r="482" spans="1:45" x14ac:dyDescent="0.25">
      <c r="A482" s="396"/>
      <c r="B482" s="396"/>
      <c r="C482" s="396"/>
      <c r="D482" s="396"/>
      <c r="E482" s="396"/>
      <c r="F482" s="396"/>
      <c r="G482" s="396"/>
      <c r="H482" s="396"/>
      <c r="I482" s="396"/>
      <c r="J482" s="396"/>
      <c r="K482" s="396"/>
      <c r="L482" s="396"/>
      <c r="M482" s="396"/>
      <c r="N482" s="396"/>
      <c r="O482" s="396"/>
      <c r="P482" s="396"/>
      <c r="Q482" s="259"/>
      <c r="R482" s="259"/>
      <c r="S482" s="259"/>
      <c r="T482" s="259"/>
      <c r="U482" s="259"/>
      <c r="V482" s="259"/>
      <c r="W482" s="259"/>
      <c r="X482" s="259"/>
      <c r="Y482" s="259"/>
      <c r="Z482" s="259"/>
      <c r="AA482" s="259"/>
      <c r="AB482" s="259"/>
      <c r="AC482" s="259"/>
      <c r="AD482" s="259"/>
      <c r="AE482" s="259"/>
      <c r="AF482" s="259"/>
      <c r="AG482" s="259"/>
      <c r="AH482" s="259"/>
      <c r="AI482" s="259"/>
      <c r="AJ482" s="259"/>
      <c r="AK482" s="259"/>
      <c r="AL482" s="259"/>
      <c r="AM482" s="259"/>
      <c r="AN482" s="259"/>
      <c r="AO482" s="259"/>
      <c r="AP482" s="259"/>
      <c r="AQ482" s="259"/>
      <c r="AR482" s="259"/>
      <c r="AS482" s="259"/>
    </row>
    <row r="483" spans="1:45" x14ac:dyDescent="0.25">
      <c r="A483" s="396"/>
      <c r="B483" s="396"/>
      <c r="C483" s="396"/>
      <c r="D483" s="396"/>
      <c r="E483" s="396"/>
      <c r="F483" s="396"/>
      <c r="G483" s="396"/>
      <c r="H483" s="396"/>
      <c r="I483" s="396"/>
      <c r="J483" s="396"/>
      <c r="K483" s="396"/>
      <c r="L483" s="396"/>
      <c r="M483" s="396"/>
      <c r="N483" s="396"/>
      <c r="O483" s="396"/>
      <c r="P483" s="396"/>
      <c r="Q483" s="259"/>
      <c r="R483" s="259"/>
      <c r="S483" s="259"/>
      <c r="T483" s="259"/>
      <c r="U483" s="259"/>
      <c r="V483" s="259"/>
      <c r="W483" s="259"/>
      <c r="X483" s="259"/>
      <c r="Y483" s="259"/>
      <c r="Z483" s="259"/>
      <c r="AA483" s="259"/>
      <c r="AB483" s="259"/>
      <c r="AC483" s="259"/>
      <c r="AD483" s="259"/>
      <c r="AE483" s="259"/>
      <c r="AF483" s="259"/>
      <c r="AG483" s="259"/>
      <c r="AH483" s="259"/>
      <c r="AI483" s="259"/>
      <c r="AJ483" s="259"/>
      <c r="AK483" s="259"/>
      <c r="AL483" s="259"/>
      <c r="AM483" s="259"/>
      <c r="AN483" s="259"/>
      <c r="AO483" s="259"/>
      <c r="AP483" s="259"/>
      <c r="AQ483" s="259"/>
      <c r="AR483" s="259"/>
      <c r="AS483" s="259"/>
    </row>
    <row r="484" spans="1:45" x14ac:dyDescent="0.25">
      <c r="A484" s="396"/>
      <c r="B484" s="396"/>
      <c r="C484" s="396"/>
      <c r="D484" s="396"/>
      <c r="E484" s="396"/>
      <c r="F484" s="396"/>
      <c r="G484" s="396"/>
      <c r="H484" s="396"/>
      <c r="I484" s="396"/>
      <c r="J484" s="396"/>
      <c r="K484" s="396"/>
      <c r="L484" s="396"/>
      <c r="M484" s="396"/>
      <c r="N484" s="396"/>
      <c r="O484" s="396"/>
      <c r="P484" s="396"/>
      <c r="Q484" s="259"/>
      <c r="R484" s="259"/>
      <c r="S484" s="259"/>
      <c r="T484" s="259"/>
      <c r="U484" s="259"/>
      <c r="V484" s="259"/>
      <c r="W484" s="259"/>
      <c r="X484" s="259"/>
      <c r="Y484" s="259"/>
      <c r="Z484" s="259"/>
      <c r="AA484" s="259"/>
      <c r="AB484" s="259"/>
      <c r="AC484" s="259"/>
      <c r="AD484" s="259"/>
      <c r="AE484" s="259"/>
      <c r="AF484" s="259"/>
      <c r="AG484" s="259"/>
      <c r="AH484" s="259"/>
      <c r="AI484" s="259"/>
      <c r="AJ484" s="259"/>
      <c r="AK484" s="259"/>
      <c r="AL484" s="259"/>
      <c r="AM484" s="259"/>
      <c r="AN484" s="259"/>
      <c r="AO484" s="259"/>
      <c r="AP484" s="259"/>
      <c r="AQ484" s="259"/>
      <c r="AR484" s="259"/>
      <c r="AS484" s="259"/>
    </row>
    <row r="485" spans="1:45" x14ac:dyDescent="0.25">
      <c r="A485" s="396"/>
      <c r="B485" s="396"/>
      <c r="C485" s="396"/>
      <c r="D485" s="396"/>
      <c r="E485" s="396"/>
      <c r="F485" s="396"/>
      <c r="G485" s="396"/>
      <c r="H485" s="396"/>
      <c r="I485" s="396"/>
      <c r="J485" s="396"/>
      <c r="K485" s="396"/>
      <c r="L485" s="396"/>
      <c r="M485" s="396"/>
      <c r="N485" s="396"/>
      <c r="O485" s="396"/>
      <c r="P485" s="396"/>
      <c r="Q485" s="259"/>
      <c r="R485" s="259"/>
      <c r="S485" s="259"/>
      <c r="T485" s="259"/>
      <c r="U485" s="259"/>
      <c r="V485" s="259"/>
      <c r="W485" s="259"/>
      <c r="X485" s="259"/>
      <c r="Y485" s="259"/>
      <c r="Z485" s="259"/>
      <c r="AA485" s="259"/>
      <c r="AB485" s="259"/>
      <c r="AC485" s="259"/>
      <c r="AD485" s="259"/>
      <c r="AE485" s="259"/>
      <c r="AF485" s="259"/>
      <c r="AG485" s="259"/>
      <c r="AH485" s="259"/>
      <c r="AI485" s="259"/>
      <c r="AJ485" s="259"/>
      <c r="AK485" s="259"/>
      <c r="AL485" s="259"/>
      <c r="AM485" s="259"/>
      <c r="AN485" s="259"/>
      <c r="AO485" s="259"/>
      <c r="AP485" s="259"/>
      <c r="AQ485" s="259"/>
      <c r="AR485" s="259"/>
      <c r="AS485" s="259"/>
    </row>
    <row r="486" spans="1:45" x14ac:dyDescent="0.25">
      <c r="A486" s="396"/>
      <c r="B486" s="396"/>
      <c r="C486" s="396"/>
      <c r="D486" s="396"/>
      <c r="E486" s="396"/>
      <c r="F486" s="396"/>
      <c r="G486" s="396"/>
      <c r="H486" s="396"/>
      <c r="I486" s="396"/>
      <c r="J486" s="396"/>
      <c r="K486" s="396"/>
      <c r="L486" s="396"/>
      <c r="M486" s="396"/>
      <c r="N486" s="396"/>
      <c r="O486" s="396"/>
      <c r="P486" s="396"/>
      <c r="Q486" s="259"/>
      <c r="R486" s="259"/>
      <c r="S486" s="259"/>
      <c r="T486" s="259"/>
      <c r="U486" s="259"/>
      <c r="V486" s="259"/>
      <c r="W486" s="259"/>
      <c r="X486" s="259"/>
      <c r="Y486" s="259"/>
      <c r="Z486" s="259"/>
      <c r="AA486" s="259"/>
      <c r="AB486" s="259"/>
      <c r="AC486" s="259"/>
      <c r="AD486" s="259"/>
      <c r="AE486" s="259"/>
      <c r="AF486" s="259"/>
      <c r="AG486" s="259"/>
      <c r="AH486" s="259"/>
      <c r="AI486" s="259"/>
      <c r="AJ486" s="259"/>
      <c r="AK486" s="259"/>
      <c r="AL486" s="259"/>
      <c r="AM486" s="259"/>
      <c r="AN486" s="259"/>
      <c r="AO486" s="259"/>
      <c r="AP486" s="259"/>
      <c r="AQ486" s="259"/>
      <c r="AR486" s="259"/>
      <c r="AS486" s="259"/>
    </row>
    <row r="487" spans="1:45" x14ac:dyDescent="0.25">
      <c r="A487" s="396"/>
      <c r="B487" s="396"/>
      <c r="C487" s="396"/>
      <c r="D487" s="396"/>
      <c r="E487" s="396"/>
      <c r="F487" s="396"/>
      <c r="G487" s="396"/>
      <c r="H487" s="396"/>
      <c r="I487" s="396"/>
      <c r="J487" s="396"/>
      <c r="K487" s="396"/>
      <c r="L487" s="396"/>
      <c r="M487" s="396"/>
      <c r="N487" s="396"/>
      <c r="O487" s="396"/>
      <c r="P487" s="396"/>
      <c r="Q487" s="259"/>
      <c r="R487" s="259"/>
      <c r="S487" s="259"/>
      <c r="T487" s="259"/>
      <c r="U487" s="259"/>
      <c r="V487" s="259"/>
      <c r="W487" s="259"/>
      <c r="X487" s="259"/>
      <c r="Y487" s="259"/>
      <c r="Z487" s="259"/>
      <c r="AA487" s="259"/>
      <c r="AB487" s="259"/>
      <c r="AC487" s="259"/>
      <c r="AD487" s="259"/>
      <c r="AE487" s="259"/>
      <c r="AF487" s="259"/>
      <c r="AG487" s="259"/>
      <c r="AH487" s="259"/>
      <c r="AI487" s="259"/>
      <c r="AJ487" s="259"/>
      <c r="AK487" s="259"/>
      <c r="AL487" s="259"/>
      <c r="AM487" s="259"/>
      <c r="AN487" s="259"/>
      <c r="AO487" s="259"/>
      <c r="AP487" s="259"/>
      <c r="AQ487" s="259"/>
      <c r="AR487" s="259"/>
      <c r="AS487" s="259"/>
    </row>
    <row r="488" spans="1:45" x14ac:dyDescent="0.25">
      <c r="A488" s="396"/>
      <c r="B488" s="396"/>
      <c r="C488" s="396"/>
      <c r="D488" s="396"/>
      <c r="E488" s="396"/>
      <c r="F488" s="396"/>
      <c r="G488" s="396"/>
      <c r="H488" s="396"/>
      <c r="I488" s="396"/>
      <c r="J488" s="396"/>
      <c r="K488" s="396"/>
      <c r="L488" s="396"/>
      <c r="M488" s="396"/>
      <c r="N488" s="396"/>
      <c r="O488" s="396"/>
      <c r="P488" s="396"/>
      <c r="Q488" s="259"/>
      <c r="R488" s="259"/>
      <c r="S488" s="259"/>
      <c r="T488" s="259"/>
      <c r="U488" s="259"/>
      <c r="V488" s="259"/>
      <c r="W488" s="259"/>
      <c r="X488" s="259"/>
      <c r="Y488" s="259"/>
      <c r="Z488" s="259"/>
      <c r="AA488" s="259"/>
      <c r="AB488" s="259"/>
      <c r="AC488" s="259"/>
      <c r="AD488" s="259"/>
      <c r="AE488" s="259"/>
      <c r="AF488" s="259"/>
      <c r="AG488" s="259"/>
      <c r="AH488" s="259"/>
      <c r="AI488" s="259"/>
      <c r="AJ488" s="259"/>
      <c r="AK488" s="259"/>
      <c r="AL488" s="259"/>
      <c r="AM488" s="259"/>
      <c r="AN488" s="259"/>
      <c r="AO488" s="259"/>
      <c r="AP488" s="259"/>
      <c r="AQ488" s="259"/>
      <c r="AR488" s="259"/>
      <c r="AS488" s="259"/>
    </row>
    <row r="489" spans="1:45" x14ac:dyDescent="0.25">
      <c r="A489" s="396"/>
      <c r="B489" s="396"/>
      <c r="C489" s="396"/>
      <c r="D489" s="396"/>
      <c r="E489" s="396"/>
      <c r="F489" s="396"/>
      <c r="G489" s="396"/>
      <c r="H489" s="396"/>
      <c r="I489" s="396"/>
      <c r="J489" s="396"/>
      <c r="K489" s="396"/>
      <c r="L489" s="396"/>
      <c r="M489" s="396"/>
      <c r="N489" s="396"/>
      <c r="O489" s="396"/>
      <c r="P489" s="396"/>
      <c r="Q489" s="259"/>
      <c r="R489" s="259"/>
      <c r="S489" s="259"/>
      <c r="T489" s="259"/>
      <c r="U489" s="259"/>
      <c r="V489" s="259"/>
      <c r="W489" s="259"/>
      <c r="X489" s="259"/>
      <c r="Y489" s="259"/>
      <c r="Z489" s="259"/>
      <c r="AA489" s="259"/>
      <c r="AB489" s="259"/>
      <c r="AC489" s="259"/>
      <c r="AD489" s="259"/>
      <c r="AE489" s="259"/>
      <c r="AF489" s="259"/>
      <c r="AG489" s="259"/>
      <c r="AH489" s="259"/>
      <c r="AI489" s="259"/>
      <c r="AJ489" s="259"/>
      <c r="AK489" s="259"/>
      <c r="AL489" s="259"/>
      <c r="AM489" s="259"/>
      <c r="AN489" s="259"/>
      <c r="AO489" s="259"/>
      <c r="AP489" s="259"/>
      <c r="AQ489" s="259"/>
      <c r="AR489" s="259"/>
      <c r="AS489" s="259"/>
    </row>
    <row r="490" spans="1:45" x14ac:dyDescent="0.25">
      <c r="A490" s="396"/>
      <c r="B490" s="396"/>
      <c r="C490" s="396"/>
      <c r="D490" s="396"/>
      <c r="E490" s="396"/>
      <c r="F490" s="396"/>
      <c r="G490" s="396"/>
      <c r="H490" s="396"/>
      <c r="I490" s="396"/>
      <c r="J490" s="396"/>
      <c r="K490" s="396"/>
      <c r="L490" s="396"/>
      <c r="M490" s="396"/>
      <c r="N490" s="396"/>
      <c r="O490" s="396"/>
      <c r="P490" s="396"/>
      <c r="Q490" s="259"/>
      <c r="R490" s="259"/>
      <c r="S490" s="259"/>
      <c r="T490" s="259"/>
      <c r="U490" s="259"/>
      <c r="V490" s="259"/>
      <c r="W490" s="259"/>
      <c r="X490" s="259"/>
      <c r="Y490" s="259"/>
      <c r="Z490" s="259"/>
      <c r="AA490" s="259"/>
      <c r="AB490" s="259"/>
      <c r="AC490" s="259"/>
      <c r="AD490" s="259"/>
      <c r="AE490" s="259"/>
      <c r="AF490" s="259"/>
      <c r="AG490" s="259"/>
      <c r="AH490" s="259"/>
      <c r="AI490" s="259"/>
      <c r="AJ490" s="259"/>
      <c r="AK490" s="259"/>
      <c r="AL490" s="259"/>
      <c r="AM490" s="259"/>
      <c r="AN490" s="259"/>
      <c r="AO490" s="259"/>
      <c r="AP490" s="259"/>
      <c r="AQ490" s="259"/>
      <c r="AR490" s="259"/>
      <c r="AS490" s="259"/>
    </row>
    <row r="491" spans="1:45" x14ac:dyDescent="0.25">
      <c r="A491" s="396"/>
      <c r="B491" s="396"/>
      <c r="C491" s="396"/>
      <c r="D491" s="396"/>
      <c r="E491" s="396"/>
      <c r="F491" s="396"/>
      <c r="G491" s="396"/>
      <c r="H491" s="396"/>
      <c r="I491" s="396"/>
      <c r="J491" s="396"/>
      <c r="K491" s="396"/>
      <c r="L491" s="396"/>
      <c r="M491" s="396"/>
      <c r="N491" s="396"/>
      <c r="O491" s="396"/>
      <c r="P491" s="396"/>
      <c r="Q491" s="259"/>
      <c r="R491" s="259"/>
      <c r="S491" s="259"/>
      <c r="T491" s="259"/>
      <c r="U491" s="259"/>
      <c r="V491" s="259"/>
      <c r="W491" s="259"/>
      <c r="X491" s="259"/>
      <c r="Y491" s="259"/>
      <c r="Z491" s="259"/>
      <c r="AA491" s="259"/>
      <c r="AB491" s="259"/>
      <c r="AC491" s="259"/>
      <c r="AD491" s="259"/>
      <c r="AE491" s="259"/>
      <c r="AF491" s="259"/>
      <c r="AG491" s="259"/>
      <c r="AH491" s="259"/>
      <c r="AI491" s="259"/>
      <c r="AJ491" s="259"/>
      <c r="AK491" s="259"/>
      <c r="AL491" s="259"/>
      <c r="AM491" s="259"/>
      <c r="AN491" s="259"/>
      <c r="AO491" s="259"/>
      <c r="AP491" s="259"/>
      <c r="AQ491" s="259"/>
      <c r="AR491" s="259"/>
      <c r="AS491" s="259"/>
    </row>
    <row r="492" spans="1:45" x14ac:dyDescent="0.25">
      <c r="A492" s="396"/>
      <c r="B492" s="396"/>
      <c r="C492" s="396"/>
      <c r="D492" s="396"/>
      <c r="E492" s="396"/>
      <c r="F492" s="396"/>
      <c r="G492" s="396"/>
      <c r="H492" s="396"/>
      <c r="I492" s="396"/>
      <c r="J492" s="396"/>
      <c r="K492" s="396"/>
      <c r="L492" s="396"/>
      <c r="M492" s="396"/>
      <c r="N492" s="396"/>
      <c r="O492" s="396"/>
      <c r="P492" s="396"/>
      <c r="Q492" s="259"/>
      <c r="R492" s="259"/>
      <c r="S492" s="259"/>
      <c r="T492" s="259"/>
      <c r="U492" s="259"/>
      <c r="V492" s="259"/>
      <c r="W492" s="259"/>
      <c r="X492" s="259"/>
      <c r="Y492" s="259"/>
      <c r="Z492" s="259"/>
      <c r="AA492" s="259"/>
      <c r="AB492" s="259"/>
      <c r="AC492" s="259"/>
      <c r="AD492" s="259"/>
      <c r="AE492" s="259"/>
      <c r="AF492" s="259"/>
      <c r="AG492" s="259"/>
      <c r="AH492" s="259"/>
      <c r="AI492" s="259"/>
      <c r="AJ492" s="259"/>
      <c r="AK492" s="259"/>
      <c r="AL492" s="259"/>
      <c r="AM492" s="259"/>
      <c r="AN492" s="259"/>
      <c r="AO492" s="259"/>
      <c r="AP492" s="259"/>
      <c r="AQ492" s="259"/>
      <c r="AR492" s="259"/>
      <c r="AS492" s="259"/>
    </row>
    <row r="493" spans="1:45" x14ac:dyDescent="0.25">
      <c r="A493" s="396"/>
      <c r="B493" s="396"/>
      <c r="C493" s="396"/>
      <c r="D493" s="396"/>
      <c r="E493" s="396"/>
      <c r="F493" s="396"/>
      <c r="G493" s="396"/>
      <c r="H493" s="396"/>
      <c r="I493" s="396"/>
      <c r="J493" s="396"/>
      <c r="K493" s="396"/>
      <c r="L493" s="396"/>
      <c r="M493" s="396"/>
      <c r="N493" s="396"/>
      <c r="O493" s="396"/>
      <c r="P493" s="396"/>
      <c r="Q493" s="259"/>
      <c r="R493" s="259"/>
      <c r="S493" s="259"/>
      <c r="T493" s="259"/>
      <c r="U493" s="259"/>
      <c r="V493" s="259"/>
      <c r="W493" s="259"/>
      <c r="X493" s="259"/>
      <c r="Y493" s="259"/>
      <c r="Z493" s="259"/>
      <c r="AA493" s="259"/>
      <c r="AB493" s="259"/>
      <c r="AC493" s="259"/>
      <c r="AD493" s="259"/>
      <c r="AE493" s="259"/>
      <c r="AF493" s="259"/>
      <c r="AG493" s="259"/>
      <c r="AH493" s="259"/>
      <c r="AI493" s="259"/>
      <c r="AJ493" s="259"/>
      <c r="AK493" s="259"/>
      <c r="AL493" s="259"/>
      <c r="AM493" s="259"/>
      <c r="AN493" s="259"/>
      <c r="AO493" s="259"/>
      <c r="AP493" s="259"/>
      <c r="AQ493" s="259"/>
      <c r="AR493" s="259"/>
      <c r="AS493" s="259"/>
    </row>
    <row r="494" spans="1:45" x14ac:dyDescent="0.25">
      <c r="A494" s="396"/>
      <c r="B494" s="396"/>
      <c r="C494" s="396"/>
      <c r="D494" s="396"/>
      <c r="E494" s="396"/>
      <c r="F494" s="396"/>
      <c r="G494" s="396"/>
      <c r="H494" s="396"/>
      <c r="I494" s="396"/>
      <c r="J494" s="396"/>
      <c r="K494" s="396"/>
      <c r="L494" s="396"/>
      <c r="M494" s="396"/>
      <c r="N494" s="396"/>
      <c r="O494" s="396"/>
      <c r="P494" s="396"/>
      <c r="Q494" s="259"/>
      <c r="R494" s="259"/>
      <c r="S494" s="259"/>
      <c r="T494" s="259"/>
      <c r="U494" s="259"/>
      <c r="V494" s="259"/>
      <c r="W494" s="259"/>
      <c r="X494" s="259"/>
      <c r="Y494" s="259"/>
      <c r="Z494" s="259"/>
      <c r="AA494" s="259"/>
      <c r="AB494" s="259"/>
      <c r="AC494" s="259"/>
      <c r="AD494" s="259"/>
      <c r="AE494" s="259"/>
      <c r="AF494" s="259"/>
      <c r="AG494" s="259"/>
      <c r="AH494" s="259"/>
      <c r="AI494" s="259"/>
      <c r="AJ494" s="259"/>
      <c r="AK494" s="259"/>
      <c r="AL494" s="259"/>
      <c r="AM494" s="259"/>
      <c r="AN494" s="259"/>
      <c r="AO494" s="259"/>
      <c r="AP494" s="259"/>
      <c r="AQ494" s="259"/>
      <c r="AR494" s="259"/>
      <c r="AS494" s="259"/>
    </row>
    <row r="495" spans="1:45" x14ac:dyDescent="0.25">
      <c r="A495" s="396"/>
      <c r="B495" s="396"/>
      <c r="C495" s="396"/>
      <c r="D495" s="396"/>
      <c r="E495" s="396"/>
      <c r="F495" s="396"/>
      <c r="G495" s="396"/>
      <c r="H495" s="396"/>
      <c r="I495" s="396"/>
      <c r="J495" s="396"/>
      <c r="K495" s="396"/>
      <c r="L495" s="396"/>
      <c r="M495" s="396"/>
      <c r="N495" s="396"/>
      <c r="O495" s="396"/>
      <c r="P495" s="396"/>
      <c r="Q495" s="259"/>
      <c r="R495" s="259"/>
      <c r="S495" s="259"/>
      <c r="T495" s="259"/>
      <c r="U495" s="259"/>
      <c r="V495" s="259"/>
      <c r="W495" s="259"/>
      <c r="X495" s="259"/>
      <c r="Y495" s="259"/>
      <c r="Z495" s="259"/>
      <c r="AA495" s="259"/>
      <c r="AB495" s="259"/>
      <c r="AC495" s="259"/>
      <c r="AD495" s="259"/>
      <c r="AE495" s="259"/>
      <c r="AF495" s="259"/>
      <c r="AG495" s="259"/>
      <c r="AH495" s="259"/>
      <c r="AI495" s="259"/>
      <c r="AJ495" s="259"/>
      <c r="AK495" s="259"/>
      <c r="AL495" s="259"/>
      <c r="AM495" s="259"/>
      <c r="AN495" s="259"/>
      <c r="AO495" s="259"/>
      <c r="AP495" s="259"/>
      <c r="AQ495" s="259"/>
      <c r="AR495" s="259"/>
      <c r="AS495" s="259"/>
    </row>
    <row r="496" spans="1:45" x14ac:dyDescent="0.25">
      <c r="A496" s="396"/>
      <c r="B496" s="396"/>
      <c r="C496" s="396"/>
      <c r="D496" s="396"/>
      <c r="E496" s="396"/>
      <c r="F496" s="396"/>
      <c r="G496" s="396"/>
      <c r="H496" s="396"/>
      <c r="I496" s="396"/>
      <c r="J496" s="396"/>
      <c r="K496" s="396"/>
      <c r="L496" s="396"/>
      <c r="M496" s="396"/>
      <c r="N496" s="396"/>
      <c r="O496" s="396"/>
      <c r="P496" s="396"/>
      <c r="Q496" s="259"/>
      <c r="R496" s="259"/>
      <c r="S496" s="259"/>
      <c r="T496" s="259"/>
      <c r="U496" s="259"/>
      <c r="V496" s="259"/>
      <c r="W496" s="259"/>
      <c r="X496" s="259"/>
      <c r="Y496" s="259"/>
      <c r="Z496" s="259"/>
      <c r="AA496" s="259"/>
      <c r="AB496" s="259"/>
      <c r="AC496" s="259"/>
      <c r="AD496" s="259"/>
      <c r="AE496" s="259"/>
      <c r="AF496" s="259"/>
      <c r="AG496" s="259"/>
      <c r="AH496" s="259"/>
      <c r="AI496" s="259"/>
      <c r="AJ496" s="259"/>
      <c r="AK496" s="259"/>
      <c r="AL496" s="259"/>
      <c r="AM496" s="259"/>
      <c r="AN496" s="259"/>
      <c r="AO496" s="259"/>
      <c r="AP496" s="259"/>
      <c r="AQ496" s="259"/>
      <c r="AR496" s="259"/>
      <c r="AS496" s="259"/>
    </row>
    <row r="497" spans="1:45" x14ac:dyDescent="0.25">
      <c r="A497" s="396"/>
      <c r="B497" s="396"/>
      <c r="C497" s="396"/>
      <c r="D497" s="396"/>
      <c r="E497" s="396"/>
      <c r="F497" s="396"/>
      <c r="G497" s="396"/>
      <c r="H497" s="396"/>
      <c r="I497" s="396"/>
      <c r="J497" s="396"/>
      <c r="K497" s="396"/>
      <c r="L497" s="396"/>
      <c r="M497" s="396"/>
      <c r="N497" s="396"/>
      <c r="O497" s="396"/>
      <c r="P497" s="396"/>
      <c r="Q497" s="259"/>
      <c r="R497" s="259"/>
      <c r="S497" s="259"/>
      <c r="T497" s="259"/>
      <c r="U497" s="259"/>
      <c r="V497" s="259"/>
      <c r="W497" s="259"/>
      <c r="X497" s="259"/>
      <c r="Y497" s="259"/>
      <c r="Z497" s="259"/>
      <c r="AA497" s="259"/>
      <c r="AB497" s="259"/>
      <c r="AC497" s="259"/>
      <c r="AD497" s="259"/>
      <c r="AE497" s="259"/>
      <c r="AF497" s="259"/>
      <c r="AG497" s="259"/>
      <c r="AH497" s="259"/>
      <c r="AI497" s="259"/>
      <c r="AJ497" s="259"/>
      <c r="AK497" s="259"/>
      <c r="AL497" s="259"/>
      <c r="AM497" s="259"/>
      <c r="AN497" s="259"/>
      <c r="AO497" s="259"/>
      <c r="AP497" s="259"/>
      <c r="AQ497" s="259"/>
      <c r="AR497" s="259"/>
      <c r="AS497" s="259"/>
    </row>
    <row r="498" spans="1:45" x14ac:dyDescent="0.25">
      <c r="A498" s="396"/>
      <c r="B498" s="396"/>
      <c r="C498" s="396"/>
      <c r="D498" s="396"/>
      <c r="E498" s="396"/>
      <c r="F498" s="396"/>
      <c r="G498" s="396"/>
      <c r="H498" s="396"/>
      <c r="I498" s="396"/>
      <c r="J498" s="396"/>
      <c r="K498" s="396"/>
      <c r="L498" s="396"/>
      <c r="M498" s="396"/>
      <c r="N498" s="396"/>
      <c r="O498" s="396"/>
      <c r="P498" s="396"/>
      <c r="Q498" s="259"/>
      <c r="R498" s="259"/>
      <c r="S498" s="259"/>
      <c r="T498" s="259"/>
      <c r="U498" s="259"/>
      <c r="V498" s="259"/>
      <c r="W498" s="259"/>
      <c r="X498" s="259"/>
      <c r="Y498" s="259"/>
      <c r="Z498" s="259"/>
      <c r="AA498" s="259"/>
      <c r="AB498" s="259"/>
      <c r="AC498" s="259"/>
      <c r="AD498" s="259"/>
      <c r="AE498" s="259"/>
      <c r="AF498" s="259"/>
      <c r="AG498" s="259"/>
      <c r="AH498" s="259"/>
      <c r="AI498" s="259"/>
      <c r="AJ498" s="259"/>
      <c r="AK498" s="259"/>
      <c r="AL498" s="259"/>
      <c r="AM498" s="259"/>
      <c r="AN498" s="259"/>
      <c r="AO498" s="259"/>
      <c r="AP498" s="259"/>
      <c r="AQ498" s="259"/>
      <c r="AR498" s="259"/>
      <c r="AS498" s="259"/>
    </row>
    <row r="499" spans="1:45" x14ac:dyDescent="0.25">
      <c r="A499" s="396"/>
      <c r="B499" s="396"/>
      <c r="C499" s="396"/>
      <c r="D499" s="396"/>
      <c r="E499" s="396"/>
      <c r="F499" s="396"/>
      <c r="G499" s="396"/>
      <c r="H499" s="396"/>
      <c r="I499" s="396"/>
      <c r="J499" s="396"/>
      <c r="K499" s="396"/>
      <c r="L499" s="396"/>
      <c r="M499" s="396"/>
      <c r="N499" s="396"/>
      <c r="O499" s="396"/>
      <c r="P499" s="396"/>
      <c r="Q499" s="259"/>
      <c r="R499" s="259"/>
      <c r="S499" s="259"/>
      <c r="T499" s="259"/>
      <c r="U499" s="259"/>
      <c r="V499" s="259"/>
      <c r="W499" s="259"/>
      <c r="X499" s="259"/>
      <c r="Y499" s="259"/>
      <c r="Z499" s="259"/>
      <c r="AA499" s="259"/>
      <c r="AB499" s="259"/>
      <c r="AC499" s="259"/>
      <c r="AD499" s="259"/>
      <c r="AE499" s="259"/>
      <c r="AF499" s="259"/>
      <c r="AG499" s="259"/>
      <c r="AH499" s="259"/>
      <c r="AI499" s="259"/>
      <c r="AJ499" s="259"/>
      <c r="AK499" s="259"/>
      <c r="AL499" s="259"/>
      <c r="AM499" s="259"/>
      <c r="AN499" s="259"/>
      <c r="AO499" s="259"/>
      <c r="AP499" s="259"/>
      <c r="AQ499" s="259"/>
      <c r="AR499" s="259"/>
      <c r="AS499" s="259"/>
    </row>
    <row r="500" spans="1:45" x14ac:dyDescent="0.25">
      <c r="A500" s="396"/>
      <c r="B500" s="396"/>
      <c r="C500" s="396"/>
      <c r="D500" s="396"/>
      <c r="E500" s="396"/>
      <c r="F500" s="396"/>
      <c r="G500" s="396"/>
      <c r="H500" s="396"/>
      <c r="I500" s="396"/>
      <c r="J500" s="396"/>
      <c r="K500" s="396"/>
      <c r="L500" s="396"/>
      <c r="M500" s="396"/>
      <c r="N500" s="396"/>
      <c r="O500" s="396"/>
      <c r="P500" s="396"/>
      <c r="Q500" s="259"/>
      <c r="R500" s="259"/>
      <c r="S500" s="259"/>
      <c r="T500" s="259"/>
      <c r="U500" s="259"/>
      <c r="V500" s="259"/>
      <c r="W500" s="259"/>
      <c r="X500" s="259"/>
      <c r="Y500" s="259"/>
      <c r="Z500" s="259"/>
      <c r="AA500" s="259"/>
      <c r="AB500" s="259"/>
      <c r="AC500" s="259"/>
      <c r="AD500" s="259"/>
      <c r="AE500" s="259"/>
      <c r="AF500" s="259"/>
      <c r="AG500" s="259"/>
      <c r="AH500" s="259"/>
      <c r="AI500" s="259"/>
      <c r="AJ500" s="259"/>
      <c r="AK500" s="259"/>
      <c r="AL500" s="259"/>
      <c r="AM500" s="259"/>
      <c r="AN500" s="259"/>
      <c r="AO500" s="259"/>
      <c r="AP500" s="259"/>
      <c r="AQ500" s="259"/>
      <c r="AR500" s="259"/>
      <c r="AS500" s="259"/>
    </row>
    <row r="501" spans="1:45" x14ac:dyDescent="0.25">
      <c r="A501" s="396"/>
      <c r="B501" s="396"/>
      <c r="C501" s="396"/>
      <c r="D501" s="396"/>
      <c r="E501" s="396"/>
      <c r="F501" s="396"/>
      <c r="G501" s="396"/>
      <c r="H501" s="396"/>
      <c r="I501" s="396"/>
      <c r="J501" s="396"/>
      <c r="K501" s="396"/>
      <c r="L501" s="396"/>
      <c r="M501" s="396"/>
      <c r="N501" s="396"/>
      <c r="O501" s="396"/>
      <c r="P501" s="396"/>
      <c r="Q501" s="259"/>
      <c r="R501" s="259"/>
      <c r="S501" s="259"/>
      <c r="T501" s="259"/>
      <c r="U501" s="259"/>
      <c r="V501" s="259"/>
      <c r="W501" s="259"/>
      <c r="X501" s="259"/>
      <c r="Y501" s="259"/>
      <c r="Z501" s="259"/>
      <c r="AA501" s="259"/>
      <c r="AB501" s="259"/>
      <c r="AC501" s="259"/>
      <c r="AD501" s="259"/>
      <c r="AE501" s="259"/>
      <c r="AF501" s="259"/>
      <c r="AG501" s="259"/>
      <c r="AH501" s="259"/>
      <c r="AI501" s="259"/>
      <c r="AJ501" s="259"/>
      <c r="AK501" s="259"/>
      <c r="AL501" s="259"/>
      <c r="AM501" s="259"/>
      <c r="AN501" s="259"/>
      <c r="AO501" s="259"/>
      <c r="AP501" s="259"/>
      <c r="AQ501" s="259"/>
      <c r="AR501" s="259"/>
      <c r="AS501" s="259"/>
    </row>
    <row r="502" spans="1:45" x14ac:dyDescent="0.25">
      <c r="A502" s="396"/>
      <c r="B502" s="396"/>
      <c r="C502" s="396"/>
      <c r="D502" s="396"/>
      <c r="E502" s="396"/>
      <c r="F502" s="396"/>
      <c r="G502" s="396"/>
      <c r="H502" s="396"/>
      <c r="I502" s="396"/>
      <c r="J502" s="396"/>
      <c r="K502" s="396"/>
      <c r="L502" s="396"/>
      <c r="M502" s="396"/>
      <c r="N502" s="396"/>
      <c r="O502" s="396"/>
      <c r="P502" s="396"/>
      <c r="Q502" s="259"/>
      <c r="R502" s="259"/>
      <c r="S502" s="259"/>
      <c r="T502" s="259"/>
      <c r="U502" s="259"/>
      <c r="V502" s="259"/>
      <c r="W502" s="259"/>
      <c r="X502" s="259"/>
      <c r="Y502" s="259"/>
      <c r="Z502" s="259"/>
      <c r="AA502" s="259"/>
      <c r="AB502" s="259"/>
      <c r="AC502" s="259"/>
      <c r="AD502" s="259"/>
      <c r="AE502" s="259"/>
      <c r="AF502" s="259"/>
      <c r="AG502" s="259"/>
      <c r="AH502" s="259"/>
      <c r="AI502" s="259"/>
      <c r="AJ502" s="259"/>
      <c r="AK502" s="259"/>
      <c r="AL502" s="259"/>
      <c r="AM502" s="259"/>
      <c r="AN502" s="259"/>
      <c r="AO502" s="259"/>
      <c r="AP502" s="259"/>
      <c r="AQ502" s="259"/>
      <c r="AR502" s="259"/>
      <c r="AS502" s="259"/>
    </row>
    <row r="503" spans="1:45" x14ac:dyDescent="0.25">
      <c r="A503" s="396"/>
      <c r="B503" s="396"/>
      <c r="C503" s="396"/>
      <c r="D503" s="396"/>
      <c r="E503" s="396"/>
      <c r="F503" s="396"/>
      <c r="G503" s="396"/>
      <c r="H503" s="396"/>
      <c r="I503" s="396"/>
      <c r="J503" s="396"/>
      <c r="K503" s="396"/>
      <c r="L503" s="396"/>
      <c r="M503" s="396"/>
      <c r="N503" s="396"/>
      <c r="O503" s="396"/>
      <c r="P503" s="396"/>
      <c r="Q503" s="259"/>
      <c r="R503" s="259"/>
      <c r="S503" s="259"/>
      <c r="T503" s="259"/>
      <c r="U503" s="259"/>
      <c r="V503" s="259"/>
      <c r="W503" s="259"/>
      <c r="X503" s="259"/>
      <c r="Y503" s="259"/>
      <c r="Z503" s="259"/>
      <c r="AA503" s="259"/>
      <c r="AB503" s="259"/>
      <c r="AC503" s="259"/>
      <c r="AD503" s="259"/>
      <c r="AE503" s="259"/>
      <c r="AF503" s="259"/>
      <c r="AG503" s="259"/>
      <c r="AH503" s="259"/>
      <c r="AI503" s="259"/>
      <c r="AJ503" s="259"/>
      <c r="AK503" s="259"/>
      <c r="AL503" s="259"/>
      <c r="AM503" s="259"/>
      <c r="AN503" s="259"/>
      <c r="AO503" s="259"/>
      <c r="AP503" s="259"/>
      <c r="AQ503" s="259"/>
      <c r="AR503" s="259"/>
      <c r="AS503" s="259"/>
    </row>
    <row r="504" spans="1:45" x14ac:dyDescent="0.25">
      <c r="A504" s="396"/>
      <c r="B504" s="396"/>
      <c r="C504" s="396"/>
      <c r="D504" s="396"/>
      <c r="E504" s="396"/>
      <c r="F504" s="396"/>
      <c r="G504" s="396"/>
      <c r="H504" s="396"/>
      <c r="I504" s="396"/>
      <c r="J504" s="396"/>
      <c r="K504" s="396"/>
      <c r="L504" s="396"/>
      <c r="M504" s="396"/>
      <c r="N504" s="396"/>
      <c r="O504" s="396"/>
      <c r="P504" s="396"/>
      <c r="Q504" s="259"/>
      <c r="R504" s="259"/>
      <c r="S504" s="259"/>
      <c r="T504" s="259"/>
      <c r="U504" s="259"/>
      <c r="V504" s="259"/>
      <c r="W504" s="259"/>
      <c r="X504" s="259"/>
      <c r="Y504" s="259"/>
      <c r="Z504" s="259"/>
      <c r="AA504" s="259"/>
      <c r="AB504" s="259"/>
      <c r="AC504" s="259"/>
      <c r="AD504" s="259"/>
      <c r="AE504" s="259"/>
      <c r="AF504" s="259"/>
      <c r="AG504" s="259"/>
      <c r="AH504" s="259"/>
      <c r="AI504" s="259"/>
      <c r="AJ504" s="259"/>
      <c r="AK504" s="259"/>
      <c r="AL504" s="259"/>
      <c r="AM504" s="259"/>
      <c r="AN504" s="259"/>
      <c r="AO504" s="259"/>
      <c r="AP504" s="259"/>
      <c r="AQ504" s="259"/>
      <c r="AR504" s="259"/>
      <c r="AS504" s="259"/>
    </row>
    <row r="505" spans="1:45" x14ac:dyDescent="0.25">
      <c r="A505" s="396"/>
      <c r="B505" s="396"/>
      <c r="C505" s="396"/>
      <c r="D505" s="396"/>
      <c r="E505" s="396"/>
      <c r="F505" s="396"/>
      <c r="G505" s="396"/>
      <c r="H505" s="396"/>
      <c r="I505" s="396"/>
      <c r="J505" s="396"/>
      <c r="K505" s="396"/>
      <c r="L505" s="396"/>
      <c r="M505" s="396"/>
      <c r="N505" s="396"/>
      <c r="O505" s="396"/>
      <c r="P505" s="396"/>
      <c r="Q505" s="259"/>
      <c r="R505" s="259"/>
      <c r="S505" s="259"/>
      <c r="T505" s="259"/>
      <c r="U505" s="259"/>
      <c r="V505" s="259"/>
      <c r="W505" s="259"/>
      <c r="X505" s="259"/>
      <c r="Y505" s="259"/>
      <c r="Z505" s="259"/>
      <c r="AA505" s="259"/>
      <c r="AB505" s="259"/>
      <c r="AC505" s="259"/>
      <c r="AD505" s="259"/>
      <c r="AE505" s="259"/>
      <c r="AF505" s="259"/>
      <c r="AG505" s="259"/>
      <c r="AH505" s="259"/>
      <c r="AI505" s="259"/>
      <c r="AJ505" s="259"/>
      <c r="AK505" s="259"/>
      <c r="AL505" s="259"/>
      <c r="AM505" s="259"/>
      <c r="AN505" s="259"/>
      <c r="AO505" s="259"/>
      <c r="AP505" s="259"/>
      <c r="AQ505" s="259"/>
      <c r="AR505" s="259"/>
      <c r="AS505" s="259"/>
    </row>
    <row r="506" spans="1:45" x14ac:dyDescent="0.25">
      <c r="A506" s="396"/>
      <c r="B506" s="396"/>
      <c r="C506" s="396"/>
      <c r="D506" s="396"/>
      <c r="E506" s="396"/>
      <c r="F506" s="396"/>
      <c r="G506" s="396"/>
      <c r="H506" s="396"/>
      <c r="I506" s="396"/>
      <c r="J506" s="396"/>
      <c r="K506" s="396"/>
      <c r="L506" s="396"/>
      <c r="M506" s="396"/>
      <c r="N506" s="396"/>
      <c r="O506" s="396"/>
      <c r="P506" s="396"/>
      <c r="Q506" s="259"/>
      <c r="R506" s="259"/>
      <c r="S506" s="259"/>
      <c r="T506" s="259"/>
      <c r="U506" s="259"/>
      <c r="V506" s="259"/>
      <c r="W506" s="259"/>
      <c r="X506" s="259"/>
      <c r="Y506" s="259"/>
      <c r="Z506" s="259"/>
      <c r="AA506" s="259"/>
      <c r="AB506" s="259"/>
      <c r="AC506" s="259"/>
      <c r="AD506" s="259"/>
      <c r="AE506" s="259"/>
      <c r="AF506" s="259"/>
      <c r="AG506" s="259"/>
      <c r="AH506" s="259"/>
      <c r="AI506" s="259"/>
      <c r="AJ506" s="259"/>
      <c r="AK506" s="259"/>
      <c r="AL506" s="259"/>
      <c r="AM506" s="259"/>
      <c r="AN506" s="259"/>
      <c r="AO506" s="259"/>
      <c r="AP506" s="259"/>
      <c r="AQ506" s="259"/>
      <c r="AR506" s="259"/>
      <c r="AS506" s="259"/>
    </row>
    <row r="507" spans="1:45" x14ac:dyDescent="0.25">
      <c r="A507" s="396"/>
      <c r="B507" s="396"/>
      <c r="C507" s="396"/>
      <c r="D507" s="396"/>
      <c r="E507" s="396"/>
      <c r="F507" s="396"/>
      <c r="G507" s="396"/>
      <c r="H507" s="396"/>
      <c r="I507" s="396"/>
      <c r="J507" s="396"/>
      <c r="K507" s="396"/>
      <c r="L507" s="396"/>
      <c r="M507" s="396"/>
      <c r="N507" s="396"/>
      <c r="O507" s="396"/>
      <c r="P507" s="396"/>
      <c r="Q507" s="259"/>
      <c r="R507" s="259"/>
      <c r="S507" s="259"/>
      <c r="T507" s="259"/>
      <c r="U507" s="259"/>
      <c r="V507" s="259"/>
      <c r="W507" s="259"/>
      <c r="X507" s="259"/>
      <c r="Y507" s="259"/>
      <c r="Z507" s="259"/>
      <c r="AA507" s="259"/>
      <c r="AB507" s="259"/>
      <c r="AC507" s="259"/>
      <c r="AD507" s="259"/>
      <c r="AE507" s="259"/>
      <c r="AF507" s="259"/>
      <c r="AG507" s="259"/>
      <c r="AH507" s="259"/>
      <c r="AI507" s="259"/>
      <c r="AJ507" s="259"/>
      <c r="AK507" s="259"/>
      <c r="AL507" s="259"/>
      <c r="AM507" s="259"/>
      <c r="AN507" s="259"/>
      <c r="AO507" s="259"/>
      <c r="AP507" s="259"/>
      <c r="AQ507" s="259"/>
      <c r="AR507" s="259"/>
      <c r="AS507" s="259"/>
    </row>
    <row r="508" spans="1:45" x14ac:dyDescent="0.25">
      <c r="A508" s="396"/>
      <c r="B508" s="396"/>
      <c r="C508" s="396"/>
      <c r="D508" s="396"/>
      <c r="E508" s="396"/>
      <c r="F508" s="396"/>
      <c r="G508" s="396"/>
      <c r="H508" s="396"/>
      <c r="I508" s="396"/>
      <c r="J508" s="396"/>
      <c r="K508" s="396"/>
      <c r="L508" s="396"/>
      <c r="M508" s="396"/>
      <c r="N508" s="396"/>
      <c r="O508" s="396"/>
      <c r="P508" s="396"/>
      <c r="Q508" s="259"/>
      <c r="R508" s="259"/>
      <c r="S508" s="259"/>
      <c r="T508" s="259"/>
      <c r="U508" s="259"/>
      <c r="V508" s="259"/>
      <c r="W508" s="259"/>
      <c r="X508" s="259"/>
      <c r="Y508" s="259"/>
      <c r="Z508" s="259"/>
      <c r="AA508" s="259"/>
      <c r="AB508" s="259"/>
      <c r="AC508" s="259"/>
      <c r="AD508" s="259"/>
      <c r="AE508" s="259"/>
      <c r="AF508" s="259"/>
      <c r="AG508" s="259"/>
      <c r="AH508" s="259"/>
      <c r="AI508" s="259"/>
      <c r="AJ508" s="259"/>
      <c r="AK508" s="259"/>
      <c r="AL508" s="259"/>
      <c r="AM508" s="259"/>
      <c r="AN508" s="259"/>
      <c r="AO508" s="259"/>
      <c r="AP508" s="259"/>
      <c r="AQ508" s="259"/>
      <c r="AR508" s="259"/>
      <c r="AS508" s="259"/>
    </row>
    <row r="509" spans="1:45" x14ac:dyDescent="0.25">
      <c r="A509" s="396"/>
      <c r="B509" s="396"/>
      <c r="C509" s="396"/>
      <c r="D509" s="396"/>
      <c r="E509" s="396"/>
      <c r="F509" s="396"/>
      <c r="G509" s="396"/>
      <c r="H509" s="396"/>
      <c r="I509" s="396"/>
      <c r="J509" s="396"/>
      <c r="K509" s="396"/>
      <c r="L509" s="396"/>
      <c r="M509" s="396"/>
      <c r="N509" s="396"/>
      <c r="O509" s="396"/>
      <c r="P509" s="396"/>
      <c r="Q509" s="259"/>
      <c r="R509" s="259"/>
      <c r="S509" s="259"/>
      <c r="T509" s="259"/>
      <c r="U509" s="259"/>
      <c r="V509" s="259"/>
      <c r="W509" s="259"/>
      <c r="X509" s="259"/>
      <c r="Y509" s="259"/>
      <c r="Z509" s="259"/>
      <c r="AA509" s="259"/>
      <c r="AB509" s="259"/>
      <c r="AC509" s="259"/>
      <c r="AD509" s="259"/>
      <c r="AE509" s="259"/>
      <c r="AF509" s="259"/>
      <c r="AG509" s="259"/>
      <c r="AH509" s="259"/>
      <c r="AI509" s="259"/>
      <c r="AJ509" s="259"/>
      <c r="AK509" s="259"/>
      <c r="AL509" s="259"/>
      <c r="AM509" s="259"/>
      <c r="AN509" s="259"/>
      <c r="AO509" s="259"/>
      <c r="AP509" s="259"/>
      <c r="AQ509" s="259"/>
      <c r="AR509" s="259"/>
      <c r="AS509" s="259"/>
    </row>
    <row r="510" spans="1:45" x14ac:dyDescent="0.25">
      <c r="A510" s="396"/>
      <c r="B510" s="396"/>
      <c r="C510" s="396"/>
      <c r="D510" s="396"/>
      <c r="E510" s="396"/>
      <c r="F510" s="396"/>
      <c r="G510" s="396"/>
      <c r="H510" s="396"/>
      <c r="I510" s="396"/>
      <c r="J510" s="396"/>
      <c r="K510" s="396"/>
      <c r="L510" s="396"/>
      <c r="M510" s="396"/>
      <c r="N510" s="396"/>
      <c r="O510" s="396"/>
      <c r="P510" s="396"/>
      <c r="Q510" s="259"/>
      <c r="R510" s="259"/>
      <c r="S510" s="259"/>
      <c r="T510" s="259"/>
      <c r="U510" s="259"/>
      <c r="V510" s="259"/>
      <c r="W510" s="259"/>
      <c r="X510" s="259"/>
      <c r="Y510" s="259"/>
      <c r="Z510" s="259"/>
      <c r="AA510" s="259"/>
      <c r="AB510" s="259"/>
      <c r="AC510" s="259"/>
      <c r="AD510" s="259"/>
      <c r="AE510" s="259"/>
      <c r="AF510" s="259"/>
      <c r="AG510" s="259"/>
      <c r="AH510" s="259"/>
      <c r="AI510" s="259"/>
      <c r="AJ510" s="259"/>
      <c r="AK510" s="259"/>
      <c r="AL510" s="259"/>
      <c r="AM510" s="259"/>
      <c r="AN510" s="259"/>
      <c r="AO510" s="259"/>
      <c r="AP510" s="259"/>
      <c r="AQ510" s="259"/>
      <c r="AR510" s="259"/>
      <c r="AS510" s="259"/>
    </row>
    <row r="511" spans="1:45" x14ac:dyDescent="0.25">
      <c r="A511" s="396"/>
      <c r="B511" s="396"/>
      <c r="C511" s="396"/>
      <c r="D511" s="396"/>
      <c r="E511" s="396"/>
      <c r="F511" s="396"/>
      <c r="G511" s="396"/>
      <c r="H511" s="396"/>
      <c r="I511" s="396"/>
      <c r="J511" s="396"/>
      <c r="K511" s="396"/>
      <c r="L511" s="396"/>
      <c r="M511" s="396"/>
      <c r="N511" s="396"/>
      <c r="O511" s="396"/>
      <c r="P511" s="396"/>
      <c r="Q511" s="259"/>
      <c r="R511" s="259"/>
      <c r="S511" s="259"/>
      <c r="T511" s="259"/>
      <c r="U511" s="259"/>
      <c r="V511" s="259"/>
      <c r="W511" s="259"/>
      <c r="X511" s="259"/>
      <c r="Y511" s="259"/>
      <c r="Z511" s="259"/>
      <c r="AA511" s="259"/>
      <c r="AB511" s="259"/>
      <c r="AC511" s="259"/>
      <c r="AD511" s="259"/>
      <c r="AE511" s="259"/>
      <c r="AF511" s="259"/>
      <c r="AG511" s="259"/>
      <c r="AH511" s="259"/>
      <c r="AI511" s="259"/>
      <c r="AJ511" s="259"/>
      <c r="AK511" s="259"/>
      <c r="AL511" s="259"/>
      <c r="AM511" s="259"/>
      <c r="AN511" s="259"/>
      <c r="AO511" s="259"/>
      <c r="AP511" s="259"/>
      <c r="AQ511" s="259"/>
      <c r="AR511" s="259"/>
      <c r="AS511" s="259"/>
    </row>
    <row r="512" spans="1:45" x14ac:dyDescent="0.25">
      <c r="A512" s="396"/>
      <c r="B512" s="396"/>
      <c r="C512" s="396"/>
      <c r="D512" s="396"/>
      <c r="E512" s="396"/>
      <c r="F512" s="396"/>
      <c r="G512" s="396"/>
      <c r="H512" s="396"/>
      <c r="I512" s="396"/>
      <c r="J512" s="396"/>
      <c r="K512" s="396"/>
      <c r="L512" s="396"/>
      <c r="M512" s="396"/>
      <c r="N512" s="396"/>
      <c r="O512" s="396"/>
      <c r="P512" s="396"/>
      <c r="Q512" s="259"/>
      <c r="R512" s="259"/>
      <c r="S512" s="259"/>
      <c r="T512" s="259"/>
      <c r="U512" s="259"/>
      <c r="V512" s="259"/>
      <c r="W512" s="259"/>
      <c r="X512" s="259"/>
      <c r="Y512" s="259"/>
      <c r="Z512" s="259"/>
      <c r="AA512" s="259"/>
      <c r="AB512" s="259"/>
      <c r="AC512" s="259"/>
      <c r="AD512" s="259"/>
      <c r="AE512" s="259"/>
      <c r="AF512" s="259"/>
      <c r="AG512" s="259"/>
      <c r="AH512" s="259"/>
      <c r="AI512" s="259"/>
      <c r="AJ512" s="259"/>
      <c r="AK512" s="259"/>
      <c r="AL512" s="259"/>
      <c r="AM512" s="259"/>
      <c r="AN512" s="259"/>
      <c r="AO512" s="259"/>
      <c r="AP512" s="259"/>
      <c r="AQ512" s="259"/>
      <c r="AR512" s="259"/>
      <c r="AS512" s="259"/>
    </row>
    <row r="513" spans="1:45" x14ac:dyDescent="0.25">
      <c r="A513" s="396"/>
      <c r="B513" s="396"/>
      <c r="C513" s="396"/>
      <c r="D513" s="396"/>
      <c r="E513" s="396"/>
      <c r="F513" s="396"/>
      <c r="G513" s="396"/>
      <c r="H513" s="396"/>
      <c r="I513" s="396"/>
      <c r="J513" s="396"/>
      <c r="K513" s="396"/>
      <c r="L513" s="396"/>
      <c r="M513" s="396"/>
      <c r="N513" s="396"/>
      <c r="O513" s="396"/>
      <c r="P513" s="396"/>
      <c r="Q513" s="259"/>
      <c r="R513" s="259"/>
      <c r="S513" s="259"/>
      <c r="T513" s="259"/>
      <c r="U513" s="259"/>
      <c r="V513" s="259"/>
      <c r="W513" s="259"/>
      <c r="X513" s="259"/>
      <c r="Y513" s="259"/>
      <c r="Z513" s="259"/>
      <c r="AA513" s="259"/>
      <c r="AB513" s="259"/>
      <c r="AC513" s="259"/>
      <c r="AD513" s="259"/>
      <c r="AE513" s="259"/>
      <c r="AF513" s="259"/>
      <c r="AG513" s="259"/>
      <c r="AH513" s="259"/>
      <c r="AI513" s="259"/>
      <c r="AJ513" s="259"/>
      <c r="AK513" s="259"/>
      <c r="AL513" s="259"/>
      <c r="AM513" s="259"/>
      <c r="AN513" s="259"/>
      <c r="AO513" s="259"/>
      <c r="AP513" s="259"/>
      <c r="AQ513" s="259"/>
      <c r="AR513" s="259"/>
      <c r="AS513" s="259"/>
    </row>
    <row r="514" spans="1:45" x14ac:dyDescent="0.25">
      <c r="A514" s="396"/>
      <c r="B514" s="396"/>
      <c r="C514" s="396"/>
      <c r="D514" s="396"/>
      <c r="E514" s="396"/>
      <c r="F514" s="396"/>
      <c r="G514" s="396"/>
      <c r="H514" s="396"/>
      <c r="I514" s="396"/>
      <c r="J514" s="396"/>
      <c r="K514" s="396"/>
      <c r="L514" s="396"/>
      <c r="M514" s="396"/>
      <c r="N514" s="396"/>
      <c r="O514" s="396"/>
      <c r="P514" s="396"/>
      <c r="Q514" s="259"/>
      <c r="R514" s="259"/>
      <c r="S514" s="259"/>
      <c r="T514" s="259"/>
      <c r="U514" s="259"/>
      <c r="V514" s="259"/>
      <c r="W514" s="259"/>
      <c r="X514" s="259"/>
      <c r="Y514" s="259"/>
      <c r="Z514" s="259"/>
      <c r="AA514" s="259"/>
      <c r="AB514" s="259"/>
      <c r="AC514" s="259"/>
      <c r="AD514" s="259"/>
      <c r="AE514" s="259"/>
      <c r="AF514" s="259"/>
      <c r="AG514" s="259"/>
      <c r="AH514" s="259"/>
      <c r="AI514" s="259"/>
      <c r="AJ514" s="259"/>
      <c r="AK514" s="259"/>
      <c r="AL514" s="259"/>
      <c r="AM514" s="259"/>
      <c r="AN514" s="259"/>
      <c r="AO514" s="259"/>
      <c r="AP514" s="259"/>
      <c r="AQ514" s="259"/>
      <c r="AR514" s="259"/>
      <c r="AS514" s="259"/>
    </row>
    <row r="515" spans="1:45" x14ac:dyDescent="0.25">
      <c r="A515" s="396"/>
      <c r="B515" s="396"/>
      <c r="C515" s="396"/>
      <c r="D515" s="396"/>
      <c r="E515" s="396"/>
      <c r="F515" s="396"/>
      <c r="G515" s="396"/>
      <c r="H515" s="396"/>
      <c r="I515" s="396"/>
      <c r="J515" s="396"/>
      <c r="K515" s="396"/>
      <c r="L515" s="396"/>
      <c r="M515" s="396"/>
      <c r="N515" s="396"/>
      <c r="O515" s="396"/>
      <c r="P515" s="396"/>
      <c r="Q515" s="259"/>
      <c r="R515" s="259"/>
      <c r="S515" s="259"/>
      <c r="T515" s="259"/>
      <c r="U515" s="259"/>
      <c r="V515" s="259"/>
      <c r="W515" s="259"/>
      <c r="X515" s="259"/>
      <c r="Y515" s="259"/>
      <c r="Z515" s="259"/>
      <c r="AA515" s="259"/>
      <c r="AB515" s="259"/>
      <c r="AC515" s="259"/>
      <c r="AD515" s="259"/>
      <c r="AE515" s="259"/>
      <c r="AF515" s="259"/>
      <c r="AG515" s="259"/>
      <c r="AH515" s="259"/>
      <c r="AI515" s="259"/>
      <c r="AJ515" s="259"/>
      <c r="AK515" s="259"/>
      <c r="AL515" s="259"/>
      <c r="AM515" s="259"/>
      <c r="AN515" s="259"/>
      <c r="AO515" s="259"/>
      <c r="AP515" s="259"/>
      <c r="AQ515" s="259"/>
      <c r="AR515" s="259"/>
      <c r="AS515" s="259"/>
    </row>
    <row r="516" spans="1:45" x14ac:dyDescent="0.25">
      <c r="A516" s="396"/>
      <c r="B516" s="396"/>
      <c r="C516" s="396"/>
      <c r="D516" s="396"/>
      <c r="E516" s="396"/>
      <c r="F516" s="396"/>
      <c r="G516" s="396"/>
      <c r="H516" s="396"/>
      <c r="I516" s="396"/>
      <c r="J516" s="396"/>
      <c r="K516" s="396"/>
      <c r="L516" s="396"/>
      <c r="M516" s="396"/>
      <c r="N516" s="396"/>
      <c r="O516" s="396"/>
      <c r="P516" s="396"/>
      <c r="Q516" s="259"/>
      <c r="R516" s="259"/>
      <c r="S516" s="259"/>
      <c r="T516" s="259"/>
      <c r="U516" s="259"/>
      <c r="V516" s="259"/>
      <c r="W516" s="259"/>
      <c r="X516" s="259"/>
      <c r="Y516" s="259"/>
      <c r="Z516" s="259"/>
      <c r="AA516" s="259"/>
      <c r="AB516" s="259"/>
      <c r="AC516" s="259"/>
      <c r="AD516" s="259"/>
      <c r="AE516" s="259"/>
      <c r="AF516" s="259"/>
      <c r="AG516" s="259"/>
      <c r="AH516" s="259"/>
      <c r="AI516" s="259"/>
      <c r="AJ516" s="259"/>
      <c r="AK516" s="259"/>
      <c r="AL516" s="259"/>
      <c r="AM516" s="259"/>
      <c r="AN516" s="259"/>
      <c r="AO516" s="259"/>
      <c r="AP516" s="259"/>
      <c r="AQ516" s="259"/>
      <c r="AR516" s="259"/>
      <c r="AS516" s="259"/>
    </row>
    <row r="517" spans="1:45" x14ac:dyDescent="0.25">
      <c r="A517" s="396"/>
      <c r="B517" s="396"/>
      <c r="C517" s="396"/>
      <c r="D517" s="396"/>
      <c r="E517" s="396"/>
      <c r="F517" s="396"/>
      <c r="G517" s="396"/>
      <c r="H517" s="396"/>
      <c r="I517" s="396"/>
      <c r="J517" s="396"/>
      <c r="K517" s="396"/>
      <c r="L517" s="396"/>
      <c r="M517" s="396"/>
      <c r="N517" s="396"/>
      <c r="O517" s="396"/>
      <c r="P517" s="396"/>
      <c r="Q517" s="259"/>
      <c r="R517" s="259"/>
      <c r="S517" s="259"/>
      <c r="T517" s="259"/>
      <c r="U517" s="259"/>
      <c r="V517" s="259"/>
      <c r="W517" s="259"/>
      <c r="X517" s="259"/>
      <c r="Y517" s="259"/>
      <c r="Z517" s="259"/>
      <c r="AA517" s="259"/>
      <c r="AB517" s="259"/>
      <c r="AC517" s="259"/>
      <c r="AD517" s="259"/>
      <c r="AE517" s="259"/>
      <c r="AF517" s="259"/>
      <c r="AG517" s="259"/>
      <c r="AH517" s="259"/>
      <c r="AI517" s="259"/>
      <c r="AJ517" s="259"/>
      <c r="AK517" s="259"/>
      <c r="AL517" s="259"/>
      <c r="AM517" s="259"/>
      <c r="AN517" s="259"/>
      <c r="AO517" s="259"/>
      <c r="AP517" s="259"/>
      <c r="AQ517" s="259"/>
      <c r="AR517" s="259"/>
      <c r="AS517" s="259"/>
    </row>
    <row r="518" spans="1:45" x14ac:dyDescent="0.25">
      <c r="A518" s="396"/>
      <c r="B518" s="396"/>
      <c r="C518" s="396"/>
      <c r="D518" s="396"/>
      <c r="E518" s="396"/>
      <c r="F518" s="396"/>
      <c r="G518" s="396"/>
      <c r="H518" s="396"/>
      <c r="I518" s="396"/>
      <c r="J518" s="396"/>
      <c r="K518" s="396"/>
      <c r="L518" s="396"/>
      <c r="M518" s="396"/>
      <c r="N518" s="396"/>
      <c r="O518" s="396"/>
      <c r="P518" s="396"/>
      <c r="Q518" s="259"/>
      <c r="R518" s="259"/>
      <c r="S518" s="259"/>
      <c r="T518" s="259"/>
      <c r="U518" s="259"/>
      <c r="V518" s="259"/>
      <c r="W518" s="259"/>
      <c r="X518" s="259"/>
      <c r="Y518" s="259"/>
      <c r="Z518" s="259"/>
      <c r="AA518" s="259"/>
      <c r="AB518" s="259"/>
      <c r="AC518" s="259"/>
      <c r="AD518" s="259"/>
      <c r="AE518" s="259"/>
      <c r="AF518" s="259"/>
      <c r="AG518" s="259"/>
      <c r="AH518" s="259"/>
      <c r="AI518" s="259"/>
      <c r="AJ518" s="259"/>
      <c r="AK518" s="259"/>
      <c r="AL518" s="259"/>
      <c r="AM518" s="259"/>
      <c r="AN518" s="259"/>
      <c r="AO518" s="259"/>
      <c r="AP518" s="259"/>
      <c r="AQ518" s="259"/>
      <c r="AR518" s="259"/>
      <c r="AS518" s="259"/>
    </row>
    <row r="519" spans="1:45" x14ac:dyDescent="0.25">
      <c r="A519" s="396"/>
      <c r="B519" s="396"/>
      <c r="C519" s="396"/>
      <c r="D519" s="396"/>
      <c r="E519" s="396"/>
      <c r="F519" s="396"/>
      <c r="G519" s="396"/>
      <c r="H519" s="396"/>
      <c r="I519" s="396"/>
      <c r="J519" s="396"/>
      <c r="K519" s="396"/>
      <c r="L519" s="396"/>
      <c r="M519" s="396"/>
      <c r="N519" s="396"/>
      <c r="O519" s="396"/>
      <c r="P519" s="396"/>
      <c r="Q519" s="259"/>
      <c r="R519" s="259"/>
      <c r="S519" s="259"/>
      <c r="T519" s="259"/>
      <c r="U519" s="259"/>
      <c r="V519" s="259"/>
      <c r="W519" s="259"/>
      <c r="X519" s="259"/>
      <c r="Y519" s="259"/>
      <c r="Z519" s="259"/>
      <c r="AA519" s="259"/>
      <c r="AB519" s="259"/>
      <c r="AC519" s="259"/>
      <c r="AD519" s="259"/>
      <c r="AE519" s="259"/>
      <c r="AF519" s="259"/>
      <c r="AG519" s="259"/>
      <c r="AH519" s="259"/>
      <c r="AI519" s="259"/>
      <c r="AJ519" s="259"/>
      <c r="AK519" s="259"/>
      <c r="AL519" s="259"/>
      <c r="AM519" s="259"/>
      <c r="AN519" s="259"/>
      <c r="AO519" s="259"/>
      <c r="AP519" s="259"/>
      <c r="AQ519" s="259"/>
      <c r="AR519" s="259"/>
      <c r="AS519" s="259"/>
    </row>
    <row r="520" spans="1:45" x14ac:dyDescent="0.25">
      <c r="A520" s="396"/>
      <c r="B520" s="396"/>
      <c r="C520" s="396"/>
      <c r="D520" s="396"/>
      <c r="E520" s="396"/>
      <c r="F520" s="396"/>
      <c r="G520" s="396"/>
      <c r="H520" s="396"/>
      <c r="I520" s="396"/>
      <c r="J520" s="396"/>
      <c r="K520" s="396"/>
      <c r="L520" s="396"/>
      <c r="M520" s="396"/>
      <c r="N520" s="396"/>
      <c r="O520" s="396"/>
      <c r="P520" s="396"/>
    </row>
  </sheetData>
  <sheetProtection formatCells="0"/>
  <protectedRanges>
    <protectedRange sqref="B8" name="Range1_1"/>
  </protectedRanges>
  <mergeCells count="2">
    <mergeCell ref="A1:B1"/>
    <mergeCell ref="B8:C8"/>
  </mergeCells>
  <conditionalFormatting sqref="E16 E12:E14">
    <cfRule type="iconSet" priority="25">
      <iconSet iconSet="3Arrows" showValue="0">
        <cfvo type="percent" val="0"/>
        <cfvo type="num" val="0"/>
        <cfvo type="num" val="0" gte="0"/>
      </iconSet>
    </cfRule>
  </conditionalFormatting>
  <dataValidations count="2">
    <dataValidation type="list" allowBlank="1" showInputMessage="1" showErrorMessage="1" sqref="B8">
      <formula1>mental_health</formula1>
    </dataValidation>
    <dataValidation allowBlank="1" showInputMessage="1" showErrorMessage="1" prompt="Peak in 2011/12 for non-admitted activity is due to re-classifination of activites reported in the Reference Costs dataset." sqref="J12"/>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41665" r:id="rId4" name="Check Box 1">
              <controlPr defaultSize="0" autoFill="0" autoLine="0" autoPict="0">
                <anchor moveWithCells="1">
                  <from>
                    <xdr:col>0</xdr:col>
                    <xdr:colOff>514350</xdr:colOff>
                    <xdr:row>17</xdr:row>
                    <xdr:rowOff>28575</xdr:rowOff>
                  </from>
                  <to>
                    <xdr:col>2</xdr:col>
                    <xdr:colOff>95250</xdr:colOff>
                    <xdr:row>18</xdr:row>
                    <xdr:rowOff>19050</xdr:rowOff>
                  </to>
                </anchor>
              </controlPr>
            </control>
          </mc:Choice>
        </mc:AlternateContent>
      </controls>
    </mc:Choice>
  </mc:AlternateContent>
  <extLst>
    <ext xmlns:x14="http://schemas.microsoft.com/office/spreadsheetml/2009/9/main" uri="{05C60535-1F16-4fd2-B633-F4F36F0B64E0}">
      <x14:sparklineGroups xmlns:xm="http://schemas.microsoft.com/office/excel/2006/main">
        <x14:sparklineGroup displayEmptyCellsAs="gap" markers="1" high="1">
          <x14:colorSeries theme="8"/>
          <x14:colorNegative theme="9"/>
          <x14:colorAxis rgb="FF000000"/>
          <x14:colorMarkers theme="8" tint="-0.249977111117893"/>
          <x14:colorFirst theme="8" tint="-0.249977111117893"/>
          <x14:colorLast theme="8" tint="-0.249977111117893"/>
          <x14:colorHigh theme="5"/>
          <x14:colorLow theme="8" tint="-0.249977111117893"/>
          <x14:sparklines>
            <x14:sparkline>
              <xm:f>Mental_health!C44:C50</xm:f>
              <xm:sqref>I12</xm:sqref>
            </x14:sparkline>
          </x14:sparklines>
        </x14:sparklineGroup>
        <x14:sparklineGroup displayEmptyCellsAs="gap" markers="1" high="1">
          <x14:colorSeries theme="8"/>
          <x14:colorNegative theme="9"/>
          <x14:colorAxis rgb="FF000000"/>
          <x14:colorMarkers theme="8" tint="-0.249977111117893"/>
          <x14:colorFirst theme="8" tint="-0.249977111117893"/>
          <x14:colorLast theme="8" tint="-0.249977111117893"/>
          <x14:colorHigh theme="5"/>
          <x14:colorLow theme="8" tint="-0.249977111117893"/>
          <x14:sparklines>
            <x14:sparkline>
              <xm:f>Mental_health!D44:D50</xm:f>
              <xm:sqref>I13</xm:sqref>
            </x14:sparkline>
          </x14:sparklines>
        </x14:sparklineGroup>
        <x14:sparklineGroup displayEmptyCellsAs="gap" markers="1" high="1">
          <x14:colorSeries theme="8"/>
          <x14:colorNegative theme="9"/>
          <x14:colorAxis rgb="FF000000"/>
          <x14:colorMarkers theme="8" tint="-0.249977111117893"/>
          <x14:colorFirst theme="8" tint="-0.249977111117893"/>
          <x14:colorLast theme="8" tint="-0.249977111117893"/>
          <x14:colorHigh rgb="FFFF0000"/>
          <x14:colorLow theme="8" tint="-0.249977111117893"/>
          <x14:sparklines>
            <x14:sparkline>
              <xm:f>Mental_health!G41:G50</xm:f>
              <xm:sqref>I16</xm:sqref>
            </x14:sparkline>
          </x14:sparklines>
        </x14:sparklineGroup>
      </x14:sparklineGroup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V97"/>
  <sheetViews>
    <sheetView showGridLines="0" showRowColHeaders="0" zoomScaleNormal="100" workbookViewId="0">
      <selection activeCell="F41" sqref="F41"/>
    </sheetView>
  </sheetViews>
  <sheetFormatPr defaultRowHeight="15" x14ac:dyDescent="0.25"/>
  <cols>
    <col min="2" max="2" width="17.7109375" customWidth="1"/>
    <col min="3" max="3" width="11.7109375" customWidth="1"/>
    <col min="4" max="4" width="18.7109375" customWidth="1"/>
    <col min="5" max="5" width="15.85546875" customWidth="1"/>
    <col min="6" max="6" width="9.85546875" customWidth="1"/>
    <col min="7" max="7" width="23.140625" customWidth="1"/>
    <col min="8" max="8" width="13.140625" customWidth="1"/>
    <col min="9" max="9" width="30.7109375" customWidth="1"/>
    <col min="10" max="10" width="13.140625" customWidth="1"/>
    <col min="11" max="11" width="26.28515625" bestFit="1" customWidth="1"/>
    <col min="12" max="12" width="16.28515625" bestFit="1" customWidth="1"/>
    <col min="13" max="13" width="22.5703125" bestFit="1" customWidth="1"/>
    <col min="14" max="14" width="21.28515625" bestFit="1" customWidth="1"/>
    <col min="15" max="15" width="22.28515625" bestFit="1" customWidth="1"/>
  </cols>
  <sheetData>
    <row r="1" spans="1:15" x14ac:dyDescent="0.25">
      <c r="A1" s="1898"/>
      <c r="B1" s="1898"/>
      <c r="D1" s="231"/>
      <c r="E1" s="231"/>
    </row>
    <row r="2" spans="1:15" x14ac:dyDescent="0.25">
      <c r="D2" s="231"/>
      <c r="E2" s="231"/>
    </row>
    <row r="3" spans="1:15" x14ac:dyDescent="0.25">
      <c r="D3" s="231"/>
      <c r="E3" s="231"/>
    </row>
    <row r="4" spans="1:15" ht="31.5" x14ac:dyDescent="0.5">
      <c r="A4" s="233"/>
      <c r="B4" s="1224" t="s">
        <v>727</v>
      </c>
      <c r="C4" s="658"/>
      <c r="D4" s="658"/>
      <c r="E4" s="658"/>
      <c r="F4" s="658"/>
      <c r="G4" s="658"/>
      <c r="H4" s="231"/>
    </row>
    <row r="5" spans="1:15" ht="23.25" customHeight="1" x14ac:dyDescent="0.25">
      <c r="A5" s="276"/>
      <c r="B5" s="627" t="s">
        <v>715</v>
      </c>
      <c r="C5" s="276"/>
      <c r="D5" s="276"/>
      <c r="E5" s="276"/>
      <c r="F5" s="276"/>
      <c r="G5" s="276"/>
      <c r="H5" s="276"/>
      <c r="I5" s="276"/>
      <c r="J5" s="276"/>
      <c r="K5" s="276"/>
      <c r="L5" s="276"/>
      <c r="M5" s="276"/>
      <c r="N5" s="276"/>
      <c r="O5" s="276"/>
    </row>
    <row r="6" spans="1:15" x14ac:dyDescent="0.25">
      <c r="A6" s="279"/>
      <c r="B6" s="723"/>
      <c r="C6" s="279"/>
      <c r="D6" s="279"/>
      <c r="E6" s="279"/>
      <c r="F6" s="1436"/>
      <c r="G6" s="276"/>
      <c r="H6" s="276"/>
      <c r="I6" s="276"/>
      <c r="J6" s="276"/>
      <c r="K6" s="276"/>
      <c r="L6" s="276"/>
      <c r="M6" s="276"/>
      <c r="N6" s="276"/>
      <c r="O6" s="276"/>
    </row>
    <row r="7" spans="1:15" x14ac:dyDescent="0.25">
      <c r="A7" s="276"/>
      <c r="B7" s="735"/>
      <c r="C7" s="276"/>
      <c r="D7" s="276"/>
      <c r="E7" s="276"/>
      <c r="F7" s="276"/>
      <c r="G7" s="276"/>
      <c r="H7" s="276"/>
      <c r="I7" s="276"/>
      <c r="J7" s="276"/>
      <c r="K7" s="276"/>
      <c r="L7" s="276"/>
      <c r="M7" s="276"/>
      <c r="N7" s="276"/>
      <c r="O7" s="276"/>
    </row>
    <row r="8" spans="1:15" ht="24.95" customHeight="1" x14ac:dyDescent="0.25">
      <c r="A8" s="709"/>
      <c r="B8" s="797"/>
      <c r="C8" s="709"/>
      <c r="D8" s="709"/>
      <c r="E8" s="709"/>
      <c r="F8" s="709"/>
      <c r="G8" s="709"/>
      <c r="H8" s="709"/>
      <c r="I8" s="709"/>
      <c r="J8" s="709"/>
      <c r="K8" s="709"/>
      <c r="L8" s="709"/>
      <c r="M8" s="276"/>
      <c r="N8" s="276"/>
      <c r="O8" s="276"/>
    </row>
    <row r="9" spans="1:15" ht="24.95" customHeight="1" x14ac:dyDescent="0.25">
      <c r="A9" s="709"/>
      <c r="B9" s="782"/>
      <c r="C9" s="1625" t="s">
        <v>595</v>
      </c>
      <c r="D9" s="708" t="s">
        <v>656</v>
      </c>
      <c r="E9" s="1625"/>
      <c r="F9" s="1625" t="s">
        <v>506</v>
      </c>
      <c r="G9" s="1625" t="s">
        <v>507</v>
      </c>
      <c r="H9" s="1474" t="s">
        <v>704</v>
      </c>
      <c r="I9" s="1522" t="s">
        <v>503</v>
      </c>
      <c r="J9" s="1636" t="s">
        <v>536</v>
      </c>
      <c r="K9" s="709"/>
      <c r="L9" s="709"/>
      <c r="M9" s="276"/>
      <c r="N9" s="276"/>
      <c r="O9" s="276"/>
    </row>
    <row r="10" spans="1:15" ht="24.95" customHeight="1" x14ac:dyDescent="0.25">
      <c r="A10" s="709"/>
      <c r="B10" s="1477" t="s">
        <v>657</v>
      </c>
      <c r="C10" s="1642">
        <f>C51</f>
        <v>78315576</v>
      </c>
      <c r="D10" s="1621">
        <f>C51/C50-1</f>
        <v>-0.13677611579422555</v>
      </c>
      <c r="E10" s="715">
        <f>D10</f>
        <v>-0.13677611579422555</v>
      </c>
      <c r="F10" s="1642">
        <f>MIN(C44:C51)</f>
        <v>75673792</v>
      </c>
      <c r="G10" s="1642">
        <f>MAX(C44:C51)</f>
        <v>92412727</v>
      </c>
      <c r="H10" s="1650">
        <f>C44/1000000</f>
        <v>75.673792000000006</v>
      </c>
      <c r="I10" s="1615"/>
      <c r="J10" s="836">
        <f>C51/1000000</f>
        <v>78.315575999999993</v>
      </c>
      <c r="K10" s="709"/>
      <c r="L10" s="709"/>
      <c r="M10" s="276"/>
      <c r="N10" s="276"/>
    </row>
    <row r="11" spans="1:15" s="1576" customFormat="1" ht="24.95" customHeight="1" x14ac:dyDescent="0.25">
      <c r="A11" s="709"/>
      <c r="B11" s="1477" t="s">
        <v>512</v>
      </c>
      <c r="C11" s="1642">
        <f>D51</f>
        <v>50</v>
      </c>
      <c r="D11" s="1621">
        <f>D51/D50-1</f>
        <v>6.3829787234042534E-2</v>
      </c>
      <c r="E11" s="731">
        <f>D11</f>
        <v>6.3829787234042534E-2</v>
      </c>
      <c r="F11" s="1620">
        <f>MIN(D44:D51)</f>
        <v>38</v>
      </c>
      <c r="G11" s="1620">
        <f>MAX(D44:D51)</f>
        <v>50</v>
      </c>
      <c r="H11" s="1650">
        <f>D44</f>
        <v>39</v>
      </c>
      <c r="I11" s="1615"/>
      <c r="J11" s="836">
        <f>D51/1000000</f>
        <v>5.0000000000000002E-5</v>
      </c>
      <c r="K11" s="709"/>
      <c r="L11" s="709"/>
      <c r="M11" s="276"/>
      <c r="N11" s="276"/>
    </row>
    <row r="12" spans="1:15" s="1576" customFormat="1" ht="24.95" customHeight="1" x14ac:dyDescent="0.25">
      <c r="A12" s="709"/>
      <c r="B12" s="1477"/>
      <c r="C12" s="1642"/>
      <c r="D12" s="1621"/>
      <c r="E12" s="731"/>
      <c r="F12" s="1620"/>
      <c r="G12" s="1620"/>
      <c r="H12" s="1637"/>
      <c r="I12" s="1615"/>
      <c r="J12" s="1508"/>
      <c r="K12" s="709"/>
      <c r="L12" s="709"/>
      <c r="M12" s="276"/>
      <c r="N12" s="276"/>
    </row>
    <row r="13" spans="1:15" s="1576" customFormat="1" ht="24.95" customHeight="1" x14ac:dyDescent="0.25">
      <c r="A13" s="709"/>
      <c r="B13" s="1477"/>
      <c r="C13" s="1620"/>
      <c r="D13" s="1621"/>
      <c r="E13" s="731"/>
      <c r="F13" s="1620"/>
      <c r="G13" s="1620"/>
      <c r="H13" s="1637"/>
      <c r="I13" s="1615"/>
      <c r="J13" s="1508"/>
      <c r="K13" s="709"/>
      <c r="L13" s="709"/>
      <c r="M13" s="276"/>
      <c r="N13" s="276"/>
    </row>
    <row r="14" spans="1:15" s="1576" customFormat="1" ht="24.95" customHeight="1" x14ac:dyDescent="0.25">
      <c r="A14" s="709"/>
      <c r="B14" s="1477" t="s">
        <v>717</v>
      </c>
      <c r="C14" s="1522" t="s">
        <v>595</v>
      </c>
      <c r="D14" s="708" t="s">
        <v>716</v>
      </c>
      <c r="E14" s="1624"/>
      <c r="F14" s="1624"/>
      <c r="G14" s="1624"/>
      <c r="H14" s="1626" t="s">
        <v>729</v>
      </c>
      <c r="I14" s="1624" t="s">
        <v>503</v>
      </c>
      <c r="J14" s="1626" t="s">
        <v>730</v>
      </c>
      <c r="K14" s="709"/>
      <c r="L14" s="709"/>
      <c r="M14" s="276"/>
      <c r="N14" s="276"/>
    </row>
    <row r="15" spans="1:15" ht="24.95" customHeight="1" x14ac:dyDescent="0.25">
      <c r="A15" s="709"/>
      <c r="B15" s="1477" t="s">
        <v>159</v>
      </c>
      <c r="C15" s="713">
        <f>F52-1</f>
        <v>-9.9356699999999964E-2</v>
      </c>
      <c r="D15" s="1621">
        <f>G52</f>
        <v>0.9961845315609773</v>
      </c>
      <c r="E15" s="731">
        <f>D15</f>
        <v>0.9961845315609773</v>
      </c>
      <c r="F15" s="1621"/>
      <c r="G15" s="1621"/>
      <c r="H15" s="1638">
        <f>F41-1</f>
        <v>3.9987584829395129E-3</v>
      </c>
      <c r="I15" s="1615"/>
      <c r="J15" s="1509">
        <f>F52-1</f>
        <v>-9.9356699999999964E-2</v>
      </c>
      <c r="K15" s="709"/>
      <c r="L15" s="709"/>
      <c r="M15" s="276"/>
      <c r="N15" s="276"/>
    </row>
    <row r="16" spans="1:15" ht="24.95" customHeight="1" x14ac:dyDescent="0.25">
      <c r="A16" s="709"/>
      <c r="B16" s="1477"/>
      <c r="C16" s="1639"/>
      <c r="D16" s="1621"/>
      <c r="E16" s="731"/>
      <c r="F16" s="1622"/>
      <c r="G16" s="1622"/>
      <c r="H16" s="934"/>
      <c r="I16" s="1615"/>
      <c r="J16" s="935"/>
      <c r="K16" s="709"/>
      <c r="L16" s="709"/>
      <c r="M16" s="276"/>
      <c r="N16" s="276"/>
    </row>
    <row r="17" spans="1:21" ht="24.95" customHeight="1" x14ac:dyDescent="0.25">
      <c r="A17" s="709"/>
      <c r="B17" s="782"/>
      <c r="C17" s="1623"/>
      <c r="D17" s="1524"/>
      <c r="E17" s="1623"/>
      <c r="F17" s="1640"/>
      <c r="G17" s="1640"/>
      <c r="H17" s="1510"/>
      <c r="I17" s="1513"/>
      <c r="J17" s="1513"/>
      <c r="K17" s="709"/>
      <c r="L17" s="709"/>
      <c r="M17" s="276"/>
      <c r="N17" s="276"/>
      <c r="O17" s="276"/>
    </row>
    <row r="18" spans="1:21" ht="24.95" customHeight="1" x14ac:dyDescent="0.25">
      <c r="A18" s="1641" t="b">
        <v>1</v>
      </c>
      <c r="B18" s="1625"/>
      <c r="C18" s="709"/>
      <c r="D18" s="709"/>
      <c r="E18" s="709"/>
      <c r="F18" s="709"/>
      <c r="G18" s="709"/>
      <c r="H18" s="709"/>
      <c r="I18" s="709"/>
      <c r="J18" s="709"/>
      <c r="K18" s="709"/>
      <c r="L18" s="709"/>
      <c r="M18" s="276"/>
      <c r="N18" s="276"/>
      <c r="O18" s="276"/>
    </row>
    <row r="19" spans="1:21" ht="24.95" customHeight="1" x14ac:dyDescent="0.25">
      <c r="A19" s="383"/>
      <c r="B19" s="276"/>
      <c r="C19" s="276"/>
      <c r="D19" s="276"/>
      <c r="E19" s="1312"/>
      <c r="F19" s="276"/>
      <c r="G19" s="276"/>
      <c r="H19" s="276"/>
      <c r="I19" s="276"/>
      <c r="J19" s="276"/>
      <c r="K19" s="276"/>
      <c r="L19" s="276"/>
      <c r="M19" s="276"/>
      <c r="N19" s="276"/>
      <c r="O19" s="276"/>
    </row>
    <row r="20" spans="1:21" ht="26.25" x14ac:dyDescent="0.25">
      <c r="A20" s="276"/>
      <c r="B20" s="1525"/>
      <c r="C20" s="1327" t="str">
        <f>IF($A$18=TRUE,C37,"")</f>
        <v xml:space="preserve">Volume of activity </v>
      </c>
      <c r="D20" s="1327" t="str">
        <f>IF($A$18=TRUE,D37,"")</f>
        <v>Average cost</v>
      </c>
      <c r="E20" s="1645"/>
      <c r="F20" s="1643" t="str">
        <f t="shared" ref="F20" si="0">IF($A$18=TRUE,F37,"")</f>
        <v>Output growth</v>
      </c>
      <c r="G20" s="1646"/>
      <c r="H20" s="627"/>
      <c r="I20" s="627"/>
      <c r="J20" s="627"/>
      <c r="K20" s="627" t="str">
        <f t="shared" ref="K20:Q20" si="1">IF(J18=TRUE,L38,"")</f>
        <v/>
      </c>
      <c r="L20" s="627" t="str">
        <f t="shared" si="1"/>
        <v/>
      </c>
      <c r="M20" s="627" t="str">
        <f t="shared" si="1"/>
        <v/>
      </c>
      <c r="N20" s="627" t="str">
        <f t="shared" si="1"/>
        <v/>
      </c>
      <c r="O20" s="627" t="str">
        <f t="shared" si="1"/>
        <v/>
      </c>
      <c r="P20" s="627" t="str">
        <f t="shared" si="1"/>
        <v/>
      </c>
      <c r="Q20" s="627" t="str">
        <f t="shared" si="1"/>
        <v/>
      </c>
    </row>
    <row r="21" spans="1:21" x14ac:dyDescent="0.25">
      <c r="A21" s="276"/>
      <c r="B21" s="627" t="str">
        <f t="shared" ref="B21:B34" si="2">IF($A$18=TRUE,B38,"")</f>
        <v>1998/99</v>
      </c>
      <c r="C21" s="1644" t="str">
        <f t="shared" ref="C21:D21" si="3">IF($A$18=TRUE,C38,"")</f>
        <v>N/A</v>
      </c>
      <c r="D21" s="1644" t="str">
        <f t="shared" si="3"/>
        <v>N/A</v>
      </c>
      <c r="E21" s="1645"/>
      <c r="F21" s="1645"/>
      <c r="G21" s="1473"/>
      <c r="H21" s="1470"/>
      <c r="I21" s="627"/>
      <c r="J21" s="627"/>
      <c r="K21" s="627"/>
      <c r="L21" s="627"/>
      <c r="M21" s="627"/>
      <c r="N21" s="627"/>
      <c r="O21" s="627"/>
      <c r="P21" s="627"/>
      <c r="Q21" s="627"/>
    </row>
    <row r="22" spans="1:21" x14ac:dyDescent="0.25">
      <c r="A22" s="276"/>
      <c r="B22" s="1649" t="str">
        <f t="shared" si="2"/>
        <v>1999/00</v>
      </c>
      <c r="C22" s="1644" t="str">
        <f t="shared" ref="C22:F22" si="4">IF($A$18=TRUE,C39,"")</f>
        <v>N/A</v>
      </c>
      <c r="D22" s="1644" t="str">
        <f t="shared" si="4"/>
        <v>N/A</v>
      </c>
      <c r="E22" s="1643" t="str">
        <f t="shared" si="4"/>
        <v>1998/99 -1999/00</v>
      </c>
      <c r="F22" s="632" t="str">
        <f t="shared" si="4"/>
        <v>N/A</v>
      </c>
      <c r="G22" s="1473"/>
      <c r="H22" s="1470"/>
      <c r="I22" s="627"/>
      <c r="J22" s="627"/>
      <c r="K22" s="627"/>
      <c r="L22" s="627"/>
      <c r="M22" s="627"/>
      <c r="N22" s="627"/>
      <c r="O22" s="627"/>
      <c r="P22" s="627"/>
      <c r="Q22" s="627"/>
    </row>
    <row r="23" spans="1:21" x14ac:dyDescent="0.25">
      <c r="A23" s="276"/>
      <c r="B23" s="1649" t="str">
        <f t="shared" si="2"/>
        <v>2000/01</v>
      </c>
      <c r="C23" s="1644" t="str">
        <f t="shared" ref="C23:F23" si="5">IF($A$18=TRUE,C40,"")</f>
        <v>N/A</v>
      </c>
      <c r="D23" s="1644" t="str">
        <f t="shared" si="5"/>
        <v>N/A</v>
      </c>
      <c r="E23" s="1643" t="str">
        <f t="shared" si="5"/>
        <v>1999/00 -2000/01</v>
      </c>
      <c r="F23" s="632" t="str">
        <f t="shared" si="5"/>
        <v>N/A</v>
      </c>
      <c r="G23" s="1473"/>
      <c r="H23" s="1470"/>
      <c r="I23" s="627"/>
      <c r="J23" s="627"/>
      <c r="K23" s="627"/>
      <c r="L23" s="627"/>
      <c r="M23" s="627"/>
      <c r="N23" s="627"/>
      <c r="O23" s="627"/>
      <c r="P23" s="627"/>
      <c r="Q23" s="627"/>
    </row>
    <row r="24" spans="1:21" x14ac:dyDescent="0.25">
      <c r="A24" s="276"/>
      <c r="B24" s="1649" t="str">
        <f t="shared" si="2"/>
        <v>2001/02</v>
      </c>
      <c r="C24" s="1644" t="str">
        <f t="shared" ref="C24:E24" si="6">IF($A$18=TRUE,C41,"")</f>
        <v>N/A</v>
      </c>
      <c r="D24" s="1644" t="str">
        <f t="shared" si="6"/>
        <v>N/A</v>
      </c>
      <c r="E24" s="1643" t="str">
        <f t="shared" si="6"/>
        <v>2000/01 - 2001/02</v>
      </c>
      <c r="F24" s="632">
        <f>IF($A$18=TRUE,F41-1,"")</f>
        <v>3.9987584829395129E-3</v>
      </c>
      <c r="G24" s="1648"/>
      <c r="H24" s="1470"/>
      <c r="I24" s="627"/>
      <c r="J24" s="627"/>
      <c r="K24" s="627"/>
      <c r="L24" s="627"/>
      <c r="M24" s="627"/>
      <c r="N24" s="627"/>
      <c r="O24" s="627"/>
      <c r="P24" s="627"/>
      <c r="Q24" s="627"/>
    </row>
    <row r="25" spans="1:21" x14ac:dyDescent="0.25">
      <c r="A25" s="276"/>
      <c r="B25" s="1649" t="str">
        <f t="shared" si="2"/>
        <v>2002/03</v>
      </c>
      <c r="C25" s="1518" t="str">
        <f t="shared" ref="C25:D25" si="7">IF($A$18=TRUE,C42,"")</f>
        <v>N/A</v>
      </c>
      <c r="D25" s="1518" t="str">
        <f t="shared" si="7"/>
        <v>N/A</v>
      </c>
      <c r="E25" s="1643" t="str">
        <f t="shared" ref="E25:E26" si="8">IF($A$18=TRUE,E42,"")</f>
        <v>2001/02 - 2002/03</v>
      </c>
      <c r="F25" s="632">
        <f t="shared" ref="F25:F34" si="9">IF($A$18=TRUE,F42-1,"")</f>
        <v>2.9611986271463664E-2</v>
      </c>
      <c r="G25" s="1648"/>
      <c r="H25" s="1470"/>
      <c r="I25" s="627"/>
      <c r="J25" s="627"/>
      <c r="K25" s="627"/>
      <c r="L25" s="627"/>
      <c r="M25" s="627"/>
      <c r="N25" s="627"/>
      <c r="O25" s="627"/>
      <c r="P25" s="627"/>
      <c r="Q25" s="627"/>
    </row>
    <row r="26" spans="1:21" s="1576" customFormat="1" x14ac:dyDescent="0.25">
      <c r="A26" s="276"/>
      <c r="B26" s="1649" t="str">
        <f t="shared" si="2"/>
        <v>2003/04</v>
      </c>
      <c r="C26" s="1518" t="str">
        <f t="shared" ref="C26:D26" si="10">IF($A$18=TRUE,C43,"")</f>
        <v>N/A</v>
      </c>
      <c r="D26" s="1518" t="str">
        <f t="shared" si="10"/>
        <v>N/A</v>
      </c>
      <c r="E26" s="1643" t="str">
        <f t="shared" si="8"/>
        <v>2002/03 -2003/04</v>
      </c>
      <c r="F26" s="632">
        <f t="shared" si="9"/>
        <v>-7.0550751994720717E-2</v>
      </c>
      <c r="G26" s="1648"/>
      <c r="H26" s="1470"/>
      <c r="I26" s="627"/>
      <c r="J26" s="627"/>
      <c r="K26" s="627"/>
      <c r="L26" s="627"/>
      <c r="M26" s="627"/>
      <c r="N26" s="627"/>
      <c r="O26" s="627"/>
      <c r="P26" s="627"/>
      <c r="Q26" s="627"/>
    </row>
    <row r="27" spans="1:21" x14ac:dyDescent="0.25">
      <c r="A27" s="593"/>
      <c r="B27" s="1651" t="str">
        <f t="shared" si="2"/>
        <v>2004/05</v>
      </c>
      <c r="C27" s="1676">
        <f t="shared" ref="C27:E27" si="11">IF($A$18=TRUE,C44,"")</f>
        <v>75673792</v>
      </c>
      <c r="D27" s="1644">
        <f t="shared" si="11"/>
        <v>39</v>
      </c>
      <c r="E27" s="1643" t="str">
        <f t="shared" si="11"/>
        <v>2003/04 -2004/05</v>
      </c>
      <c r="F27" s="1647">
        <f>IF($A$18=TRUE,IF(F44&lt;3,F44-1, "N/A"),"")</f>
        <v>1.5949999999999909E-2</v>
      </c>
      <c r="G27" s="1648"/>
      <c r="H27" s="1470"/>
      <c r="I27" s="627"/>
      <c r="J27" s="627"/>
      <c r="K27" s="627"/>
      <c r="L27" s="627"/>
      <c r="M27" s="627"/>
      <c r="N27" s="627"/>
      <c r="O27" s="627"/>
      <c r="P27" s="627"/>
      <c r="Q27" s="627"/>
    </row>
    <row r="28" spans="1:21" x14ac:dyDescent="0.25">
      <c r="A28" s="593"/>
      <c r="B28" s="1651" t="str">
        <f t="shared" si="2"/>
        <v>2005/06</v>
      </c>
      <c r="C28" s="1676">
        <f t="shared" ref="C28:E28" si="12">IF($A$18=TRUE,C45,"")</f>
        <v>85092838</v>
      </c>
      <c r="D28" s="1644">
        <f t="shared" si="12"/>
        <v>38</v>
      </c>
      <c r="E28" s="1643" t="str">
        <f t="shared" si="12"/>
        <v>2004/05 - 2005/06</v>
      </c>
      <c r="F28" s="632">
        <f t="shared" si="9"/>
        <v>0.10252939146392093</v>
      </c>
      <c r="G28" s="1648"/>
      <c r="H28" s="1629"/>
      <c r="I28" s="593"/>
      <c r="J28" s="593"/>
      <c r="K28" s="593"/>
      <c r="L28" s="593"/>
      <c r="M28" s="593"/>
      <c r="N28" s="593"/>
      <c r="O28" s="593"/>
      <c r="P28" s="296"/>
      <c r="Q28" s="296"/>
      <c r="R28" s="296"/>
      <c r="S28" s="296"/>
      <c r="T28" s="296"/>
      <c r="U28" s="296"/>
    </row>
    <row r="29" spans="1:21" x14ac:dyDescent="0.25">
      <c r="A29" s="593"/>
      <c r="B29" s="1651" t="str">
        <f t="shared" si="2"/>
        <v>2006/07</v>
      </c>
      <c r="C29" s="1676">
        <f t="shared" ref="C29:E29" si="13">IF($A$18=TRUE,C46,"")</f>
        <v>83895139</v>
      </c>
      <c r="D29" s="1644">
        <f t="shared" si="13"/>
        <v>40</v>
      </c>
      <c r="E29" s="1643" t="str">
        <f t="shared" si="13"/>
        <v>2005/06 - 2006/07</v>
      </c>
      <c r="F29" s="632">
        <f t="shared" si="9"/>
        <v>-6.4643553990297864E-3</v>
      </c>
      <c r="G29" s="1648"/>
      <c r="H29" s="1629"/>
      <c r="I29" s="593"/>
      <c r="J29" s="593"/>
      <c r="K29" s="593"/>
      <c r="L29" s="593"/>
      <c r="M29" s="593"/>
      <c r="N29" s="593"/>
      <c r="O29" s="593"/>
      <c r="P29" s="296"/>
      <c r="Q29" s="296"/>
      <c r="R29" s="296"/>
      <c r="S29" s="296"/>
      <c r="T29" s="296"/>
      <c r="U29" s="296"/>
    </row>
    <row r="30" spans="1:21" x14ac:dyDescent="0.25">
      <c r="A30" s="593"/>
      <c r="B30" s="653" t="str">
        <f t="shared" si="2"/>
        <v>2007/08</v>
      </c>
      <c r="C30" s="1676">
        <f t="shared" ref="C30:E30" si="14">IF($A$18=TRUE,C47,"")</f>
        <v>85470688</v>
      </c>
      <c r="D30" s="1644">
        <f t="shared" si="14"/>
        <v>42</v>
      </c>
      <c r="E30" s="1643" t="str">
        <f t="shared" si="14"/>
        <v>2006/07 - 2007/08</v>
      </c>
      <c r="F30" s="632">
        <f t="shared" si="9"/>
        <v>3.4645651236723252E-2</v>
      </c>
      <c r="G30" s="1648"/>
      <c r="H30" s="1629"/>
      <c r="I30" s="593"/>
      <c r="J30" s="593"/>
      <c r="K30" s="593"/>
      <c r="L30" s="593"/>
      <c r="M30" s="593"/>
      <c r="N30" s="593"/>
      <c r="O30" s="593"/>
      <c r="P30" s="296"/>
      <c r="Q30" s="296"/>
      <c r="R30" s="296"/>
      <c r="S30" s="296"/>
      <c r="T30" s="296"/>
      <c r="U30" s="296"/>
    </row>
    <row r="31" spans="1:21" x14ac:dyDescent="0.25">
      <c r="A31" s="593"/>
      <c r="B31" s="653" t="str">
        <f t="shared" si="2"/>
        <v>2008/09</v>
      </c>
      <c r="C31" s="1676">
        <f t="shared" ref="C31:E31" si="15">IF($A$18=TRUE,C48,"")</f>
        <v>88513663</v>
      </c>
      <c r="D31" s="1644">
        <f t="shared" si="15"/>
        <v>45</v>
      </c>
      <c r="E31" s="1643" t="str">
        <f t="shared" si="15"/>
        <v>2007/08 - 2008/09</v>
      </c>
      <c r="F31" s="632">
        <f t="shared" si="9"/>
        <v>4.0391400000000077E-2</v>
      </c>
      <c r="G31" s="1648"/>
      <c r="H31" s="1629"/>
      <c r="I31" s="593"/>
      <c r="J31" s="593"/>
      <c r="K31" s="593"/>
      <c r="L31" s="593"/>
      <c r="M31" s="593"/>
      <c r="N31" s="593"/>
      <c r="O31" s="593"/>
      <c r="P31" s="296"/>
      <c r="Q31" s="296"/>
      <c r="R31" s="296"/>
      <c r="S31" s="296"/>
      <c r="T31" s="296"/>
      <c r="U31" s="296"/>
    </row>
    <row r="32" spans="1:21" x14ac:dyDescent="0.25">
      <c r="A32" s="593"/>
      <c r="B32" s="653" t="str">
        <f t="shared" si="2"/>
        <v>2009/10</v>
      </c>
      <c r="C32" s="1676">
        <f t="shared" ref="C32:E32" si="16">IF($A$18=TRUE,C49,"")</f>
        <v>92412727</v>
      </c>
      <c r="D32" s="1644">
        <f t="shared" si="16"/>
        <v>46</v>
      </c>
      <c r="E32" s="1643" t="str">
        <f t="shared" si="16"/>
        <v>2008/09 -2009/10</v>
      </c>
      <c r="F32" s="632">
        <f t="shared" si="9"/>
        <v>6.4400800000000036E-2</v>
      </c>
      <c r="G32" s="1648"/>
      <c r="H32" s="1629"/>
      <c r="I32" s="593"/>
      <c r="J32" s="593"/>
      <c r="K32" s="593"/>
      <c r="L32" s="593"/>
      <c r="M32" s="593"/>
      <c r="N32" s="593"/>
      <c r="O32" s="593"/>
      <c r="P32" s="296"/>
      <c r="Q32" s="296"/>
      <c r="R32" s="296"/>
      <c r="S32" s="296"/>
      <c r="T32" s="296"/>
      <c r="U32" s="296"/>
    </row>
    <row r="33" spans="1:22" x14ac:dyDescent="0.25">
      <c r="A33" s="593"/>
      <c r="B33" s="653" t="str">
        <f t="shared" si="2"/>
        <v>2010/11</v>
      </c>
      <c r="C33" s="1676">
        <f t="shared" ref="C33:E33" si="17">IF($A$18=TRUE,C50,"")</f>
        <v>90724524</v>
      </c>
      <c r="D33" s="1644">
        <f t="shared" si="17"/>
        <v>47</v>
      </c>
      <c r="E33" s="1643" t="str">
        <f t="shared" si="17"/>
        <v>2009/10 - 2010/11</v>
      </c>
      <c r="F33" s="632">
        <f t="shared" si="9"/>
        <v>2.4486999999999703E-3</v>
      </c>
      <c r="G33" s="1648"/>
      <c r="H33" s="1629"/>
      <c r="I33" s="593"/>
      <c r="J33" s="593"/>
      <c r="K33" s="593"/>
      <c r="L33" s="593"/>
      <c r="M33" s="593"/>
      <c r="N33" s="593"/>
      <c r="O33" s="593"/>
      <c r="P33" s="296"/>
      <c r="Q33" s="296"/>
      <c r="R33" s="296"/>
      <c r="S33" s="296"/>
      <c r="T33" s="296"/>
      <c r="U33" s="296"/>
    </row>
    <row r="34" spans="1:22" x14ac:dyDescent="0.25">
      <c r="A34" s="593"/>
      <c r="B34" s="653" t="str">
        <f t="shared" si="2"/>
        <v>2011/12</v>
      </c>
      <c r="C34" s="1676">
        <f t="shared" ref="C34:E34" si="18">IF($A$18=TRUE,C51,"")</f>
        <v>78315576</v>
      </c>
      <c r="D34" s="1644">
        <f t="shared" si="18"/>
        <v>50</v>
      </c>
      <c r="E34" s="1643" t="str">
        <f t="shared" si="18"/>
        <v>2010/11 - 2011/12</v>
      </c>
      <c r="F34" s="632">
        <f t="shared" si="9"/>
        <v>-9.9356699999999964E-2</v>
      </c>
      <c r="G34" s="1648"/>
      <c r="H34" s="1630"/>
      <c r="I34" s="1631"/>
      <c r="J34" s="1632"/>
      <c r="K34" s="593"/>
      <c r="L34" s="593"/>
      <c r="M34" s="593"/>
      <c r="N34" s="593"/>
      <c r="O34" s="593"/>
      <c r="P34" s="296"/>
      <c r="Q34" s="296"/>
      <c r="R34" s="296"/>
      <c r="S34" s="296"/>
      <c r="T34" s="296"/>
      <c r="U34" s="296"/>
    </row>
    <row r="35" spans="1:22" x14ac:dyDescent="0.25">
      <c r="A35" s="567"/>
      <c r="B35" s="585"/>
      <c r="C35" s="648"/>
      <c r="D35" s="743"/>
      <c r="E35" s="1355"/>
      <c r="F35" s="1652"/>
      <c r="G35" s="1653"/>
      <c r="H35" s="1654"/>
      <c r="I35" s="1631"/>
      <c r="J35" s="1632"/>
      <c r="K35" s="593"/>
      <c r="L35" s="593"/>
      <c r="M35" s="593"/>
      <c r="N35" s="593"/>
      <c r="O35" s="593"/>
      <c r="P35" s="296"/>
      <c r="Q35" s="296"/>
      <c r="R35" s="296"/>
      <c r="S35" s="296"/>
      <c r="T35" s="296"/>
      <c r="U35" s="296"/>
    </row>
    <row r="36" spans="1:22" x14ac:dyDescent="0.25">
      <c r="A36" s="1658"/>
      <c r="B36" s="1659"/>
      <c r="C36" s="1660"/>
      <c r="D36" s="1661"/>
      <c r="E36" s="1662"/>
      <c r="F36" s="1662"/>
      <c r="G36" s="1662"/>
      <c r="H36" s="1659"/>
      <c r="I36" s="1659"/>
      <c r="J36" s="1632"/>
      <c r="K36" s="1632"/>
      <c r="L36" s="1632"/>
      <c r="M36" s="1632"/>
      <c r="N36" s="1632"/>
      <c r="O36" s="1632"/>
      <c r="P36" s="1614"/>
      <c r="Q36" s="1614"/>
      <c r="R36" s="1614"/>
      <c r="S36" s="296"/>
      <c r="T36" s="296"/>
      <c r="U36" s="296"/>
    </row>
    <row r="37" spans="1:22" x14ac:dyDescent="0.25">
      <c r="A37" s="567"/>
      <c r="B37" s="1324"/>
      <c r="C37" s="1324" t="s">
        <v>634</v>
      </c>
      <c r="D37" s="1324" t="s">
        <v>512</v>
      </c>
      <c r="E37" s="1324"/>
      <c r="F37" s="1355" t="s">
        <v>159</v>
      </c>
      <c r="G37" s="1355"/>
      <c r="H37" s="585"/>
      <c r="I37" s="585"/>
      <c r="J37" s="1632"/>
      <c r="K37" s="1632"/>
      <c r="L37" s="1632"/>
      <c r="M37" s="1632"/>
      <c r="N37" s="1632"/>
      <c r="O37" s="1632"/>
      <c r="P37" s="1614"/>
      <c r="Q37" s="1614"/>
      <c r="R37" s="1614"/>
      <c r="S37" s="296"/>
      <c r="T37" s="296"/>
      <c r="U37" s="296"/>
    </row>
    <row r="38" spans="1:22" x14ac:dyDescent="0.25">
      <c r="A38" s="567"/>
      <c r="B38" s="809" t="s">
        <v>68</v>
      </c>
      <c r="C38" s="809" t="s">
        <v>464</v>
      </c>
      <c r="D38" s="809" t="s">
        <v>464</v>
      </c>
      <c r="E38" s="809"/>
      <c r="F38" s="1324"/>
      <c r="G38" s="809"/>
      <c r="H38" s="809"/>
      <c r="I38" s="1324"/>
      <c r="J38" s="1634"/>
      <c r="K38" s="1634"/>
      <c r="L38" s="1634"/>
      <c r="M38" s="1634"/>
      <c r="N38" s="1634"/>
      <c r="O38" s="1634"/>
      <c r="P38" s="1634"/>
      <c r="Q38" s="1634"/>
      <c r="R38" s="1634"/>
      <c r="S38" s="1613"/>
      <c r="T38" s="296"/>
      <c r="U38" s="296"/>
      <c r="V38" s="296"/>
    </row>
    <row r="39" spans="1:22" x14ac:dyDescent="0.25">
      <c r="A39" s="567"/>
      <c r="B39" s="809" t="s">
        <v>69</v>
      </c>
      <c r="C39" s="809" t="s">
        <v>464</v>
      </c>
      <c r="D39" s="809" t="s">
        <v>464</v>
      </c>
      <c r="E39" s="809" t="s">
        <v>719</v>
      </c>
      <c r="F39" s="1324" t="s">
        <v>464</v>
      </c>
      <c r="G39" s="809"/>
      <c r="H39" s="809"/>
      <c r="I39" s="809"/>
      <c r="J39" s="1633"/>
      <c r="K39" s="1633"/>
      <c r="L39" s="1633"/>
      <c r="M39" s="1633"/>
      <c r="N39" s="1633"/>
      <c r="O39" s="1633"/>
      <c r="P39" s="1633"/>
      <c r="Q39" s="1613"/>
      <c r="R39" s="1613"/>
      <c r="S39" s="1613"/>
      <c r="T39" s="296"/>
      <c r="U39" s="296"/>
      <c r="V39" s="296"/>
    </row>
    <row r="40" spans="1:22" x14ac:dyDescent="0.25">
      <c r="A40" s="567"/>
      <c r="B40" s="809" t="s">
        <v>70</v>
      </c>
      <c r="C40" s="809" t="s">
        <v>464</v>
      </c>
      <c r="D40" s="809" t="s">
        <v>464</v>
      </c>
      <c r="E40" s="809" t="s">
        <v>598</v>
      </c>
      <c r="F40" s="809" t="s">
        <v>464</v>
      </c>
      <c r="G40" s="809">
        <v>1</v>
      </c>
      <c r="H40" s="1018"/>
      <c r="I40" s="677"/>
      <c r="J40" s="1635"/>
      <c r="K40" s="1633"/>
      <c r="L40" s="1633"/>
      <c r="M40" s="1633"/>
      <c r="N40" s="1633"/>
      <c r="O40" s="1633"/>
      <c r="P40" s="1633"/>
      <c r="Q40" s="1613"/>
      <c r="R40" s="1613"/>
      <c r="S40" s="1613"/>
      <c r="T40" s="296"/>
      <c r="U40" s="296"/>
      <c r="V40" s="296"/>
    </row>
    <row r="41" spans="1:22" x14ac:dyDescent="0.25">
      <c r="A41" s="567"/>
      <c r="B41" s="567" t="s">
        <v>71</v>
      </c>
      <c r="C41" s="809" t="s">
        <v>464</v>
      </c>
      <c r="D41" s="809" t="s">
        <v>464</v>
      </c>
      <c r="E41" s="809" t="s">
        <v>720</v>
      </c>
      <c r="F41" s="809">
        <v>1.0039987584829395</v>
      </c>
      <c r="G41" s="809">
        <f>G40*F41</f>
        <v>1.0039987584829395</v>
      </c>
      <c r="H41" s="1018"/>
      <c r="I41" s="677"/>
      <c r="J41" s="1635"/>
      <c r="K41" s="1633"/>
      <c r="L41" s="1633"/>
      <c r="M41" s="1633"/>
      <c r="N41" s="1633"/>
      <c r="O41" s="1633"/>
      <c r="P41" s="1633"/>
      <c r="Q41" s="1613"/>
      <c r="R41" s="1613"/>
      <c r="S41" s="1613"/>
      <c r="T41" s="296"/>
      <c r="U41" s="296"/>
      <c r="V41" s="296"/>
    </row>
    <row r="42" spans="1:22" ht="23.25" customHeight="1" x14ac:dyDescent="0.25">
      <c r="A42" s="567"/>
      <c r="B42" s="809" t="s">
        <v>72</v>
      </c>
      <c r="C42" s="809" t="s">
        <v>464</v>
      </c>
      <c r="D42" s="809" t="s">
        <v>464</v>
      </c>
      <c r="E42" s="809" t="s">
        <v>721</v>
      </c>
      <c r="F42" s="809">
        <v>1.0296119862714637</v>
      </c>
      <c r="G42" s="809">
        <f t="shared" ref="G42:G52" si="19">G41*F42</f>
        <v>1.0337291559357029</v>
      </c>
      <c r="H42" s="1018"/>
      <c r="I42" s="1521"/>
      <c r="J42" s="1632"/>
      <c r="K42" s="1632"/>
      <c r="L42" s="1632"/>
      <c r="M42" s="1632"/>
      <c r="N42" s="1632"/>
      <c r="O42" s="1632"/>
      <c r="P42" s="1632"/>
      <c r="Q42" s="1614"/>
      <c r="R42" s="1614"/>
      <c r="S42" s="1614"/>
      <c r="T42" s="296"/>
      <c r="U42" s="296"/>
      <c r="V42" s="296"/>
    </row>
    <row r="43" spans="1:22" s="1576" customFormat="1" ht="23.25" customHeight="1" x14ac:dyDescent="0.25">
      <c r="A43" s="567"/>
      <c r="B43" s="809" t="s">
        <v>73</v>
      </c>
      <c r="C43" s="809" t="s">
        <v>464</v>
      </c>
      <c r="D43" s="809" t="s">
        <v>464</v>
      </c>
      <c r="E43" s="809" t="s">
        <v>601</v>
      </c>
      <c r="F43" s="809">
        <v>0.92944924800527928</v>
      </c>
      <c r="G43" s="809">
        <f t="shared" si="19"/>
        <v>0.96079878662557117</v>
      </c>
      <c r="H43" s="1018"/>
      <c r="I43" s="1521"/>
      <c r="J43" s="1632"/>
      <c r="K43" s="1632"/>
      <c r="L43" s="1632"/>
      <c r="M43" s="1632"/>
      <c r="N43" s="1632"/>
      <c r="O43" s="1632"/>
      <c r="P43" s="1632"/>
      <c r="Q43" s="1614"/>
      <c r="R43" s="1614"/>
      <c r="S43" s="1614"/>
      <c r="T43" s="296"/>
      <c r="U43" s="296"/>
      <c r="V43" s="296"/>
    </row>
    <row r="44" spans="1:22" x14ac:dyDescent="0.25">
      <c r="A44" s="567"/>
      <c r="B44" s="1324" t="s">
        <v>74</v>
      </c>
      <c r="C44" s="809">
        <v>75673792</v>
      </c>
      <c r="D44" s="809">
        <v>39</v>
      </c>
      <c r="E44" s="809" t="s">
        <v>606</v>
      </c>
      <c r="F44" s="809">
        <v>1.0159499999999999</v>
      </c>
      <c r="G44" s="809">
        <f t="shared" si="19"/>
        <v>0.97612352727224894</v>
      </c>
      <c r="H44" s="1018"/>
      <c r="I44" s="1656"/>
      <c r="J44" s="1632"/>
      <c r="K44" s="1632"/>
      <c r="L44" s="1632"/>
      <c r="M44" s="1632"/>
      <c r="N44" s="1632"/>
      <c r="O44" s="1632"/>
      <c r="P44" s="1632"/>
      <c r="Q44" s="1614"/>
      <c r="R44" s="1614"/>
      <c r="S44" s="1614"/>
      <c r="T44" s="296"/>
      <c r="U44" s="296"/>
      <c r="V44" s="296"/>
    </row>
    <row r="45" spans="1:22" x14ac:dyDescent="0.25">
      <c r="A45" s="567"/>
      <c r="B45" s="1324" t="s">
        <v>75</v>
      </c>
      <c r="C45" s="809">
        <v>85092838</v>
      </c>
      <c r="D45" s="809">
        <v>38</v>
      </c>
      <c r="E45" s="809" t="s">
        <v>722</v>
      </c>
      <c r="F45" s="809">
        <v>1.1025293914639209</v>
      </c>
      <c r="G45" s="809">
        <f t="shared" si="19"/>
        <v>1.0762048785170886</v>
      </c>
      <c r="H45" s="1018"/>
      <c r="I45" s="1656"/>
      <c r="J45" s="1632"/>
      <c r="K45" s="1632"/>
      <c r="L45" s="1632"/>
      <c r="M45" s="1632"/>
      <c r="N45" s="1632"/>
      <c r="O45" s="1632"/>
      <c r="P45" s="1632"/>
      <c r="Q45" s="1614"/>
      <c r="R45" s="1614"/>
      <c r="S45" s="1614"/>
      <c r="T45" s="296"/>
      <c r="U45" s="296"/>
      <c r="V45" s="296"/>
    </row>
    <row r="46" spans="1:22" x14ac:dyDescent="0.25">
      <c r="A46" s="949"/>
      <c r="B46" s="1324" t="s">
        <v>76</v>
      </c>
      <c r="C46" s="809">
        <v>83895139</v>
      </c>
      <c r="D46" s="809">
        <v>40</v>
      </c>
      <c r="E46" s="809" t="s">
        <v>723</v>
      </c>
      <c r="F46" s="809">
        <v>0.99353564460097021</v>
      </c>
      <c r="G46" s="809">
        <f t="shared" si="19"/>
        <v>1.0692479077001844</v>
      </c>
      <c r="H46" s="1018"/>
      <c r="I46" s="1656"/>
      <c r="J46" s="1632"/>
      <c r="K46" s="1632"/>
      <c r="L46" s="1632"/>
      <c r="M46" s="1632"/>
      <c r="N46" s="1632"/>
      <c r="O46" s="1632"/>
      <c r="P46" s="1632"/>
      <c r="Q46" s="1614"/>
      <c r="R46" s="1614"/>
      <c r="S46" s="1614"/>
      <c r="T46" s="296"/>
      <c r="U46" s="296"/>
      <c r="V46" s="296"/>
    </row>
    <row r="47" spans="1:22" x14ac:dyDescent="0.25">
      <c r="A47" s="809"/>
      <c r="B47" s="1324" t="s">
        <v>4</v>
      </c>
      <c r="C47" s="809">
        <v>85470688</v>
      </c>
      <c r="D47" s="809">
        <v>42</v>
      </c>
      <c r="E47" s="809" t="s">
        <v>724</v>
      </c>
      <c r="F47" s="809">
        <v>1.0346456512367233</v>
      </c>
      <c r="G47" s="809">
        <f t="shared" si="19"/>
        <v>1.1062926977959611</v>
      </c>
      <c r="H47" s="1018"/>
      <c r="I47" s="1656"/>
      <c r="J47" s="1632"/>
      <c r="K47" s="1632"/>
      <c r="L47" s="1632"/>
      <c r="M47" s="1632"/>
      <c r="N47" s="1632"/>
      <c r="O47" s="1632"/>
      <c r="P47" s="1632"/>
      <c r="Q47" s="1614"/>
      <c r="R47" s="1614"/>
      <c r="S47" s="1614"/>
      <c r="T47" s="296"/>
      <c r="U47" s="296"/>
      <c r="V47" s="296"/>
    </row>
    <row r="48" spans="1:22" x14ac:dyDescent="0.25">
      <c r="A48" s="809"/>
      <c r="B48" s="1325" t="s">
        <v>5</v>
      </c>
      <c r="C48" s="809">
        <v>88513663</v>
      </c>
      <c r="D48" s="809">
        <v>45</v>
      </c>
      <c r="E48" s="809" t="s">
        <v>610</v>
      </c>
      <c r="F48" s="809">
        <v>1.0403914000000001</v>
      </c>
      <c r="G48" s="809">
        <f t="shared" si="19"/>
        <v>1.1509774086697169</v>
      </c>
      <c r="H48" s="1018"/>
      <c r="I48" s="379"/>
      <c r="J48" s="1632"/>
      <c r="K48" s="1632"/>
      <c r="L48" s="1632"/>
      <c r="M48" s="1632"/>
      <c r="N48" s="1632"/>
      <c r="O48" s="1632"/>
      <c r="P48" s="1632"/>
      <c r="Q48" s="1614"/>
      <c r="R48" s="1614"/>
      <c r="S48" s="1614"/>
      <c r="T48" s="296"/>
      <c r="U48" s="296"/>
      <c r="V48" s="296"/>
    </row>
    <row r="49" spans="1:22" x14ac:dyDescent="0.25">
      <c r="A49" s="809"/>
      <c r="B49" s="1325" t="s">
        <v>6</v>
      </c>
      <c r="C49" s="809">
        <v>92412727</v>
      </c>
      <c r="D49" s="809">
        <v>46</v>
      </c>
      <c r="E49" s="809" t="s">
        <v>725</v>
      </c>
      <c r="F49" s="809">
        <v>1.0644008</v>
      </c>
      <c r="G49" s="809">
        <f t="shared" si="19"/>
        <v>1.2251012745699736</v>
      </c>
      <c r="H49" s="1018"/>
      <c r="I49" s="379"/>
      <c r="J49" s="1632"/>
      <c r="K49" s="1632"/>
      <c r="L49" s="1632"/>
      <c r="M49" s="1632"/>
      <c r="N49" s="1632"/>
      <c r="O49" s="1632"/>
      <c r="P49" s="1632"/>
      <c r="Q49" s="1614"/>
      <c r="R49" s="1614"/>
      <c r="S49" s="1614"/>
      <c r="T49" s="296"/>
      <c r="U49" s="296"/>
      <c r="V49" s="296"/>
    </row>
    <row r="50" spans="1:22" x14ac:dyDescent="0.25">
      <c r="A50" s="809"/>
      <c r="B50" s="1325" t="s">
        <v>7</v>
      </c>
      <c r="C50" s="809">
        <v>90724524</v>
      </c>
      <c r="D50" s="809">
        <v>47</v>
      </c>
      <c r="E50" s="809" t="s">
        <v>612</v>
      </c>
      <c r="F50" s="809">
        <v>1.0024487</v>
      </c>
      <c r="G50" s="809">
        <f t="shared" si="19"/>
        <v>1.2281011800610131</v>
      </c>
      <c r="H50" s="1018"/>
      <c r="I50" s="379"/>
      <c r="J50" s="1632"/>
      <c r="K50" s="1632"/>
      <c r="L50" s="1632"/>
      <c r="M50" s="1632"/>
      <c r="N50" s="1632"/>
      <c r="O50" s="1632"/>
      <c r="P50" s="1632"/>
      <c r="Q50" s="1614"/>
      <c r="R50" s="1614"/>
      <c r="S50" s="1614"/>
      <c r="T50" s="296"/>
      <c r="U50" s="296"/>
      <c r="V50" s="296"/>
    </row>
    <row r="51" spans="1:22" x14ac:dyDescent="0.25">
      <c r="A51" s="809"/>
      <c r="B51" s="1325" t="s">
        <v>489</v>
      </c>
      <c r="C51" s="678">
        <v>78315576</v>
      </c>
      <c r="D51" s="809">
        <v>50</v>
      </c>
      <c r="E51" s="809" t="s">
        <v>726</v>
      </c>
      <c r="F51" s="809">
        <v>0.90064330000000004</v>
      </c>
      <c r="G51" s="809">
        <f t="shared" si="19"/>
        <v>1.1060810995440451</v>
      </c>
      <c r="H51" s="1018"/>
      <c r="I51" s="379"/>
      <c r="J51" s="1632"/>
      <c r="K51" s="1632"/>
      <c r="L51" s="1632"/>
      <c r="M51" s="1632"/>
      <c r="N51" s="1632"/>
      <c r="O51" s="1632"/>
      <c r="P51" s="1632"/>
      <c r="Q51" s="1614"/>
      <c r="R51" s="1614"/>
      <c r="S51" s="1614"/>
      <c r="T51" s="296"/>
      <c r="U51" s="296"/>
      <c r="V51" s="296"/>
    </row>
    <row r="52" spans="1:22" x14ac:dyDescent="0.25">
      <c r="A52" s="809"/>
      <c r="B52" s="1325"/>
      <c r="C52" s="567"/>
      <c r="D52" s="567"/>
      <c r="E52" s="809" t="s">
        <v>726</v>
      </c>
      <c r="F52" s="809">
        <v>0.90064330000000004</v>
      </c>
      <c r="G52" s="809">
        <f t="shared" si="19"/>
        <v>0.9961845315609773</v>
      </c>
      <c r="H52" s="1018"/>
      <c r="I52" s="379"/>
      <c r="J52" s="1632"/>
      <c r="K52" s="1632"/>
      <c r="L52" s="1632"/>
      <c r="M52" s="1632"/>
      <c r="N52" s="1632"/>
      <c r="O52" s="1632"/>
      <c r="P52" s="1632"/>
      <c r="Q52" s="1614"/>
      <c r="R52" s="1614"/>
      <c r="S52" s="1614"/>
      <c r="T52" s="296"/>
      <c r="U52" s="296"/>
      <c r="V52" s="296"/>
    </row>
    <row r="53" spans="1:22" ht="23.25" customHeight="1" x14ac:dyDescent="0.25">
      <c r="A53" s="809"/>
      <c r="B53" s="1325"/>
      <c r="C53" s="567"/>
      <c r="D53" s="567"/>
      <c r="E53" s="1326"/>
      <c r="F53" s="809"/>
      <c r="G53" s="809"/>
      <c r="H53" s="1018"/>
      <c r="I53" s="379"/>
      <c r="J53" s="1632"/>
      <c r="K53" s="1632"/>
      <c r="L53" s="1632"/>
      <c r="M53" s="1632"/>
      <c r="N53" s="1632"/>
      <c r="O53" s="1632"/>
      <c r="P53" s="1632"/>
      <c r="Q53" s="1614"/>
      <c r="R53" s="1614"/>
      <c r="S53" s="1614"/>
      <c r="T53" s="296"/>
      <c r="U53" s="296"/>
      <c r="V53" s="296"/>
    </row>
    <row r="54" spans="1:22" x14ac:dyDescent="0.25">
      <c r="A54" s="809"/>
      <c r="B54" s="1325"/>
      <c r="C54" s="1655"/>
      <c r="D54" s="1655"/>
      <c r="E54" s="1326"/>
      <c r="F54" s="1326"/>
      <c r="G54" s="1326"/>
      <c r="H54" s="379"/>
      <c r="I54" s="379"/>
      <c r="J54" s="1632"/>
      <c r="K54" s="1632"/>
      <c r="L54" s="1632"/>
      <c r="M54" s="1632"/>
      <c r="N54" s="1614"/>
      <c r="O54" s="1614"/>
      <c r="P54" s="1614"/>
      <c r="Q54" s="1614"/>
      <c r="R54" s="1614"/>
      <c r="S54" s="296"/>
      <c r="T54" s="296"/>
      <c r="U54" s="296"/>
    </row>
    <row r="55" spans="1:22" x14ac:dyDescent="0.25">
      <c r="A55" s="809"/>
      <c r="B55" s="1325"/>
      <c r="C55" s="567"/>
      <c r="D55" s="396"/>
      <c r="E55" s="1655"/>
      <c r="F55" s="1326"/>
      <c r="G55" s="1326"/>
      <c r="H55" s="379"/>
      <c r="I55" s="379"/>
      <c r="J55" s="1632"/>
      <c r="K55" s="1632"/>
      <c r="L55" s="1632"/>
      <c r="M55" s="1632"/>
      <c r="N55" s="1614"/>
      <c r="O55" s="1614"/>
      <c r="P55" s="1614"/>
      <c r="Q55" s="1614"/>
      <c r="R55" s="1614"/>
      <c r="S55" s="296"/>
      <c r="T55" s="296"/>
      <c r="U55" s="296"/>
    </row>
    <row r="56" spans="1:22" x14ac:dyDescent="0.25">
      <c r="A56" s="809"/>
      <c r="B56" s="1325"/>
      <c r="C56" s="396"/>
      <c r="D56" s="396"/>
      <c r="E56" s="1326"/>
      <c r="F56" s="1655"/>
      <c r="G56" s="1655"/>
      <c r="H56" s="1657"/>
      <c r="I56" s="1657"/>
      <c r="J56" s="1632"/>
      <c r="K56" s="1632"/>
      <c r="L56" s="1632"/>
      <c r="M56" s="1632"/>
      <c r="N56" s="1614"/>
      <c r="O56" s="1614"/>
      <c r="P56" s="1614"/>
      <c r="Q56" s="1614"/>
      <c r="R56" s="1614"/>
      <c r="S56" s="296"/>
      <c r="T56" s="296"/>
      <c r="U56" s="296"/>
    </row>
    <row r="57" spans="1:22" x14ac:dyDescent="0.25">
      <c r="A57" s="1658"/>
      <c r="B57" s="379"/>
      <c r="C57" s="379"/>
      <c r="D57" s="379"/>
      <c r="E57" s="1254"/>
      <c r="F57" s="379"/>
      <c r="G57" s="379"/>
      <c r="H57" s="379"/>
      <c r="I57" s="379"/>
      <c r="J57" s="1632"/>
      <c r="K57" s="1632"/>
      <c r="L57" s="1632"/>
      <c r="M57" s="1632"/>
      <c r="N57" s="1614"/>
      <c r="O57" s="1614"/>
      <c r="P57" s="1614"/>
      <c r="Q57" s="1614"/>
      <c r="R57" s="1614"/>
      <c r="S57" s="296"/>
      <c r="T57" s="296"/>
      <c r="U57" s="296"/>
    </row>
    <row r="58" spans="1:22" x14ac:dyDescent="0.25">
      <c r="A58" s="1658"/>
      <c r="B58" s="379"/>
      <c r="C58" s="379"/>
      <c r="D58" s="379"/>
      <c r="E58" s="1254"/>
      <c r="F58" s="379"/>
      <c r="G58" s="379"/>
      <c r="H58" s="379"/>
      <c r="I58" s="379"/>
      <c r="J58" s="1632"/>
      <c r="K58" s="1632"/>
      <c r="L58" s="1632"/>
      <c r="M58" s="1632"/>
      <c r="N58" s="1614"/>
      <c r="O58" s="1614"/>
      <c r="P58" s="1614"/>
      <c r="Q58" s="1614"/>
      <c r="R58" s="1614"/>
      <c r="S58" s="296"/>
      <c r="T58" s="296"/>
      <c r="U58" s="296"/>
    </row>
    <row r="59" spans="1:22" x14ac:dyDescent="0.25">
      <c r="A59" s="1658"/>
      <c r="B59" s="379"/>
      <c r="C59" s="379"/>
      <c r="D59" s="379"/>
      <c r="E59" s="1254"/>
      <c r="F59" s="379"/>
      <c r="G59" s="379"/>
      <c r="H59" s="379"/>
      <c r="I59" s="379"/>
      <c r="J59" s="1632"/>
      <c r="K59" s="1632"/>
      <c r="L59" s="1632"/>
      <c r="M59" s="1632"/>
      <c r="N59" s="1614"/>
      <c r="O59" s="1614"/>
      <c r="P59" s="1614"/>
      <c r="Q59" s="1614"/>
      <c r="R59" s="1614"/>
      <c r="S59" s="296"/>
      <c r="T59" s="296"/>
      <c r="U59" s="296"/>
    </row>
    <row r="60" spans="1:22" x14ac:dyDescent="0.25">
      <c r="A60" s="1658"/>
      <c r="B60" s="379"/>
      <c r="C60" s="379"/>
      <c r="D60" s="379"/>
      <c r="E60" s="1254"/>
      <c r="F60" s="379"/>
      <c r="G60" s="379"/>
      <c r="H60" s="379"/>
      <c r="I60" s="379"/>
      <c r="J60" s="1632"/>
      <c r="K60" s="1632"/>
      <c r="L60" s="1632"/>
      <c r="M60" s="1632"/>
      <c r="N60" s="1614"/>
      <c r="O60" s="1614"/>
      <c r="P60" s="1614"/>
      <c r="Q60" s="1614"/>
      <c r="R60" s="1614"/>
      <c r="S60" s="296"/>
      <c r="T60" s="296"/>
      <c r="U60" s="296"/>
    </row>
    <row r="61" spans="1:22" x14ac:dyDescent="0.25">
      <c r="A61" s="1658"/>
      <c r="B61" s="379"/>
      <c r="C61" s="379"/>
      <c r="D61" s="379"/>
      <c r="E61" s="1254"/>
      <c r="F61" s="379"/>
      <c r="G61" s="379"/>
      <c r="H61" s="379"/>
      <c r="I61" s="379"/>
      <c r="J61" s="1632"/>
      <c r="K61" s="1632"/>
      <c r="L61" s="1632"/>
      <c r="M61" s="1632"/>
      <c r="N61" s="1614"/>
      <c r="O61" s="1614"/>
      <c r="P61" s="1614"/>
      <c r="Q61" s="1614"/>
      <c r="R61" s="1614"/>
      <c r="S61" s="296"/>
      <c r="T61" s="296"/>
      <c r="U61" s="296"/>
    </row>
    <row r="62" spans="1:22" x14ac:dyDescent="0.25">
      <c r="A62" s="1658"/>
      <c r="B62" s="379"/>
      <c r="C62" s="379"/>
      <c r="D62" s="379"/>
      <c r="E62" s="1254"/>
      <c r="F62" s="379"/>
      <c r="G62" s="379"/>
      <c r="H62" s="379"/>
      <c r="I62" s="379"/>
      <c r="J62" s="1632"/>
      <c r="K62" s="1632"/>
      <c r="L62" s="1632"/>
      <c r="M62" s="1632"/>
      <c r="N62" s="1614"/>
      <c r="O62" s="1614"/>
      <c r="P62" s="1614"/>
      <c r="Q62" s="1614"/>
      <c r="R62" s="1614"/>
      <c r="S62" s="296"/>
      <c r="T62" s="296"/>
      <c r="U62" s="296"/>
    </row>
    <row r="63" spans="1:22" x14ac:dyDescent="0.25">
      <c r="A63" s="1663"/>
      <c r="B63" s="379"/>
      <c r="C63" s="379"/>
      <c r="D63" s="379"/>
      <c r="E63" s="379"/>
      <c r="F63" s="379"/>
      <c r="G63" s="379"/>
      <c r="H63" s="379"/>
      <c r="I63" s="379"/>
      <c r="J63" s="1632"/>
      <c r="K63" s="1632"/>
      <c r="L63" s="1632"/>
      <c r="M63" s="1632"/>
      <c r="N63" s="1614"/>
      <c r="O63" s="1614"/>
      <c r="P63" s="1614"/>
      <c r="Q63" s="1614"/>
      <c r="R63" s="1614"/>
      <c r="S63" s="296"/>
      <c r="T63" s="296"/>
      <c r="U63" s="296"/>
    </row>
    <row r="64" spans="1:22" ht="23.25" customHeight="1" x14ac:dyDescent="0.25">
      <c r="A64" s="1663"/>
      <c r="B64" s="379"/>
      <c r="C64" s="379"/>
      <c r="D64" s="379"/>
      <c r="E64" s="379"/>
      <c r="F64" s="379"/>
      <c r="G64" s="379"/>
      <c r="H64" s="379"/>
      <c r="I64" s="379"/>
      <c r="J64" s="1632"/>
      <c r="K64" s="1632"/>
      <c r="L64" s="1632"/>
      <c r="M64" s="1632"/>
      <c r="N64" s="1614"/>
      <c r="O64" s="1614"/>
      <c r="P64" s="1614"/>
      <c r="Q64" s="1614"/>
      <c r="R64" s="1614"/>
      <c r="S64" s="296"/>
      <c r="T64" s="296"/>
      <c r="U64" s="296"/>
    </row>
    <row r="65" spans="1:21" x14ac:dyDescent="0.25">
      <c r="A65" s="1663"/>
      <c r="B65" s="379"/>
      <c r="C65" s="379"/>
      <c r="D65" s="379"/>
      <c r="E65" s="379"/>
      <c r="F65" s="379"/>
      <c r="G65" s="379"/>
      <c r="H65" s="379"/>
      <c r="I65" s="379"/>
      <c r="J65" s="1632"/>
      <c r="K65" s="1632"/>
      <c r="L65" s="1632"/>
      <c r="M65" s="1632"/>
      <c r="N65" s="1614"/>
      <c r="O65" s="1614"/>
      <c r="P65" s="1614"/>
      <c r="Q65" s="1614"/>
      <c r="R65" s="1614"/>
      <c r="S65" s="296"/>
      <c r="T65" s="296"/>
      <c r="U65" s="296"/>
    </row>
    <row r="66" spans="1:21" x14ac:dyDescent="0.25">
      <c r="A66" s="1663"/>
      <c r="B66" s="379"/>
      <c r="C66" s="379"/>
      <c r="D66" s="379"/>
      <c r="E66" s="379"/>
      <c r="F66" s="379"/>
      <c r="G66" s="379"/>
      <c r="H66" s="379"/>
      <c r="I66" s="378"/>
      <c r="J66" s="1614"/>
      <c r="K66" s="1614"/>
      <c r="L66" s="1614"/>
      <c r="M66" s="1614"/>
      <c r="N66" s="1614"/>
      <c r="O66" s="1614"/>
      <c r="P66" s="1614"/>
      <c r="Q66" s="1614"/>
      <c r="R66" s="1614"/>
      <c r="S66" s="296"/>
      <c r="T66" s="296"/>
      <c r="U66" s="296"/>
    </row>
    <row r="67" spans="1:21" x14ac:dyDescent="0.25">
      <c r="A67" s="1663"/>
      <c r="B67" s="379"/>
      <c r="C67" s="379"/>
      <c r="D67" s="379"/>
      <c r="E67" s="379"/>
      <c r="F67" s="379"/>
      <c r="G67" s="379"/>
      <c r="H67" s="379"/>
      <c r="I67" s="378"/>
      <c r="J67" s="1614"/>
      <c r="K67" s="1614"/>
      <c r="L67" s="1614"/>
      <c r="M67" s="1614"/>
      <c r="N67" s="1614"/>
      <c r="O67" s="1614"/>
      <c r="P67" s="1614"/>
      <c r="Q67" s="1614"/>
      <c r="R67" s="1614"/>
      <c r="S67" s="296"/>
      <c r="T67" s="296"/>
      <c r="U67" s="296"/>
    </row>
    <row r="68" spans="1:21" x14ac:dyDescent="0.25">
      <c r="A68" s="1663"/>
      <c r="B68" s="379"/>
      <c r="C68" s="379"/>
      <c r="D68" s="379"/>
      <c r="E68" s="379"/>
      <c r="F68" s="379"/>
      <c r="G68" s="379"/>
      <c r="H68" s="379"/>
      <c r="I68" s="378"/>
      <c r="J68" s="1614"/>
      <c r="K68" s="1614"/>
      <c r="L68" s="1614"/>
      <c r="M68" s="1614"/>
      <c r="N68" s="1614"/>
      <c r="O68" s="1614"/>
      <c r="P68" s="1614"/>
      <c r="Q68" s="1614"/>
      <c r="R68" s="1614"/>
      <c r="S68" s="296"/>
      <c r="T68" s="296"/>
      <c r="U68" s="296"/>
    </row>
    <row r="69" spans="1:21" x14ac:dyDescent="0.25">
      <c r="A69" s="1663"/>
      <c r="B69" s="379"/>
      <c r="C69" s="379"/>
      <c r="D69" s="379"/>
      <c r="E69" s="379"/>
      <c r="F69" s="379"/>
      <c r="G69" s="379"/>
      <c r="H69" s="379"/>
      <c r="I69" s="378"/>
      <c r="J69" s="1614"/>
      <c r="K69" s="1614"/>
      <c r="L69" s="1614"/>
      <c r="M69" s="1614"/>
      <c r="N69" s="1614"/>
      <c r="O69" s="1614"/>
      <c r="P69" s="1614"/>
      <c r="Q69" s="1614"/>
      <c r="R69" s="1614"/>
      <c r="S69" s="296"/>
      <c r="T69" s="296"/>
      <c r="U69" s="296"/>
    </row>
    <row r="70" spans="1:21" x14ac:dyDescent="0.25">
      <c r="A70" s="1663"/>
      <c r="B70" s="379"/>
      <c r="C70" s="379"/>
      <c r="D70" s="379"/>
      <c r="E70" s="379"/>
      <c r="F70" s="379"/>
      <c r="G70" s="379"/>
      <c r="H70" s="379"/>
      <c r="I70" s="378"/>
      <c r="J70" s="1614"/>
      <c r="K70" s="1614"/>
      <c r="L70" s="1614"/>
      <c r="M70" s="1614"/>
      <c r="N70" s="1614"/>
      <c r="O70" s="1614"/>
      <c r="P70" s="1614"/>
      <c r="Q70" s="1614"/>
      <c r="R70" s="1614"/>
      <c r="S70" s="296"/>
      <c r="T70" s="296"/>
      <c r="U70" s="296"/>
    </row>
    <row r="71" spans="1:21" x14ac:dyDescent="0.25">
      <c r="A71" s="1663"/>
      <c r="B71" s="379"/>
      <c r="C71" s="379"/>
      <c r="D71" s="379"/>
      <c r="E71" s="379"/>
      <c r="F71" s="379"/>
      <c r="G71" s="379"/>
      <c r="H71" s="379"/>
      <c r="I71" s="378"/>
      <c r="J71" s="1614"/>
      <c r="K71" s="1614"/>
      <c r="L71" s="1614"/>
      <c r="M71" s="1614"/>
      <c r="N71" s="1614"/>
      <c r="O71" s="1614"/>
      <c r="P71" s="1614"/>
      <c r="Q71" s="1614"/>
      <c r="R71" s="1614"/>
      <c r="S71" s="296"/>
      <c r="T71" s="296"/>
      <c r="U71" s="296"/>
    </row>
    <row r="72" spans="1:21" x14ac:dyDescent="0.25">
      <c r="A72" s="1663"/>
      <c r="B72" s="379"/>
      <c r="C72" s="379"/>
      <c r="D72" s="379"/>
      <c r="E72" s="379"/>
      <c r="F72" s="379"/>
      <c r="G72" s="379"/>
      <c r="H72" s="379"/>
      <c r="I72" s="378"/>
      <c r="J72" s="1614"/>
      <c r="K72" s="1614"/>
      <c r="L72" s="1614"/>
      <c r="M72" s="1614"/>
      <c r="N72" s="1614"/>
      <c r="O72" s="1614"/>
      <c r="P72" s="1614"/>
      <c r="Q72" s="1614"/>
      <c r="R72" s="1614"/>
      <c r="S72" s="296"/>
      <c r="T72" s="296"/>
      <c r="U72" s="296"/>
    </row>
    <row r="73" spans="1:21" x14ac:dyDescent="0.25">
      <c r="A73" s="1663"/>
      <c r="B73" s="379"/>
      <c r="C73" s="379"/>
      <c r="D73" s="379"/>
      <c r="E73" s="379"/>
      <c r="F73" s="379"/>
      <c r="G73" s="379"/>
      <c r="H73" s="379"/>
      <c r="I73" s="378"/>
      <c r="J73" s="1614"/>
      <c r="K73" s="1614"/>
      <c r="L73" s="1614"/>
      <c r="M73" s="1614"/>
      <c r="N73" s="1614"/>
      <c r="O73" s="1614"/>
      <c r="P73" s="1614"/>
      <c r="Q73" s="1614"/>
      <c r="R73" s="1614"/>
      <c r="S73" s="296"/>
      <c r="T73" s="296"/>
      <c r="U73" s="296"/>
    </row>
    <row r="74" spans="1:21" ht="23.25" customHeight="1" x14ac:dyDescent="0.25">
      <c r="A74" s="1663"/>
      <c r="B74" s="379"/>
      <c r="C74" s="379"/>
      <c r="D74" s="379"/>
      <c r="E74" s="379"/>
      <c r="F74" s="379"/>
      <c r="G74" s="379"/>
      <c r="H74" s="379"/>
      <c r="I74" s="378"/>
      <c r="J74" s="1614"/>
      <c r="K74" s="1614"/>
      <c r="L74" s="1614"/>
      <c r="M74" s="1614"/>
      <c r="N74" s="1614"/>
      <c r="O74" s="1614"/>
      <c r="P74" s="1614"/>
      <c r="Q74" s="1614"/>
      <c r="R74" s="1614"/>
      <c r="S74" s="296"/>
      <c r="T74" s="296"/>
      <c r="U74" s="296"/>
    </row>
    <row r="75" spans="1:21" x14ac:dyDescent="0.25">
      <c r="A75" s="1663"/>
      <c r="B75" s="379"/>
      <c r="C75" s="379"/>
      <c r="D75" s="379"/>
      <c r="E75" s="379"/>
      <c r="F75" s="379"/>
      <c r="G75" s="379"/>
      <c r="H75" s="379"/>
      <c r="I75" s="378"/>
      <c r="J75" s="1614"/>
      <c r="K75" s="1614"/>
      <c r="L75" s="1614"/>
      <c r="M75" s="1614"/>
      <c r="N75" s="1614"/>
      <c r="O75" s="1614"/>
      <c r="P75" s="1614"/>
      <c r="Q75" s="1614"/>
      <c r="R75" s="1614"/>
      <c r="S75" s="296"/>
      <c r="T75" s="296"/>
      <c r="U75" s="296"/>
    </row>
    <row r="76" spans="1:21" x14ac:dyDescent="0.25">
      <c r="A76" s="1663"/>
      <c r="B76" s="378"/>
      <c r="C76" s="379"/>
      <c r="D76" s="379"/>
      <c r="E76" s="379"/>
      <c r="F76" s="379"/>
      <c r="G76" s="379"/>
      <c r="H76" s="379"/>
      <c r="I76" s="378"/>
      <c r="J76" s="1614"/>
      <c r="K76" s="1614"/>
      <c r="L76" s="1614"/>
      <c r="M76" s="1614"/>
      <c r="N76" s="1614"/>
      <c r="O76" s="1614"/>
      <c r="P76" s="1614"/>
      <c r="Q76" s="1614"/>
      <c r="R76" s="1614"/>
      <c r="S76" s="296"/>
      <c r="T76" s="296"/>
      <c r="U76" s="296"/>
    </row>
    <row r="77" spans="1:21" x14ac:dyDescent="0.25">
      <c r="A77" s="1663"/>
      <c r="B77" s="378"/>
      <c r="C77" s="379"/>
      <c r="D77" s="379"/>
      <c r="E77" s="379"/>
      <c r="F77" s="379"/>
      <c r="G77" s="379"/>
      <c r="H77" s="379"/>
      <c r="I77" s="378"/>
      <c r="J77" s="1614"/>
      <c r="K77" s="1614"/>
      <c r="L77" s="1614"/>
      <c r="M77" s="1614"/>
      <c r="N77" s="1614"/>
      <c r="O77" s="1614"/>
      <c r="P77" s="1614"/>
      <c r="Q77" s="1614"/>
      <c r="R77" s="1614"/>
      <c r="S77" s="296"/>
      <c r="T77" s="296"/>
      <c r="U77" s="296"/>
    </row>
    <row r="78" spans="1:21" x14ac:dyDescent="0.25">
      <c r="A78" s="1663"/>
      <c r="B78" s="378"/>
      <c r="C78" s="379"/>
      <c r="D78" s="379"/>
      <c r="E78" s="379"/>
      <c r="F78" s="379"/>
      <c r="G78" s="379"/>
      <c r="H78" s="379"/>
      <c r="I78" s="378"/>
      <c r="J78" s="1614"/>
      <c r="K78" s="1614"/>
      <c r="L78" s="1614"/>
      <c r="M78" s="1614"/>
      <c r="N78" s="1614"/>
      <c r="O78" s="1614"/>
      <c r="P78" s="1614"/>
      <c r="Q78" s="1614"/>
      <c r="R78" s="1614"/>
      <c r="S78" s="296"/>
      <c r="T78" s="296"/>
      <c r="U78" s="296"/>
    </row>
    <row r="79" spans="1:21" x14ac:dyDescent="0.25">
      <c r="A79" s="1663"/>
      <c r="B79" s="378"/>
      <c r="C79" s="378"/>
      <c r="D79" s="378"/>
      <c r="E79" s="379"/>
      <c r="F79" s="379"/>
      <c r="G79" s="379"/>
      <c r="H79" s="379"/>
      <c r="I79" s="378"/>
      <c r="J79" s="1614"/>
      <c r="K79" s="1614"/>
      <c r="L79" s="1614"/>
      <c r="M79" s="1614"/>
      <c r="N79" s="1614"/>
      <c r="O79" s="1614"/>
      <c r="P79" s="1614"/>
      <c r="Q79" s="1614"/>
      <c r="R79" s="1614"/>
      <c r="S79" s="296"/>
      <c r="T79" s="296"/>
      <c r="U79" s="296"/>
    </row>
    <row r="80" spans="1:21" x14ac:dyDescent="0.25">
      <c r="A80" s="1663"/>
      <c r="B80" s="378"/>
      <c r="C80" s="378"/>
      <c r="D80" s="378"/>
      <c r="E80" s="379"/>
      <c r="F80" s="379"/>
      <c r="G80" s="379"/>
      <c r="H80" s="379"/>
      <c r="I80" s="378"/>
      <c r="J80" s="1614"/>
      <c r="K80" s="1614"/>
      <c r="L80" s="1614"/>
      <c r="M80" s="1614"/>
      <c r="N80" s="1614"/>
      <c r="O80" s="1614"/>
      <c r="P80" s="1614"/>
      <c r="Q80" s="1614"/>
      <c r="R80" s="1614"/>
      <c r="S80" s="296"/>
      <c r="T80" s="296"/>
      <c r="U80" s="296"/>
    </row>
    <row r="81" spans="1:21" x14ac:dyDescent="0.25">
      <c r="A81" s="1663"/>
      <c r="B81" s="378"/>
      <c r="C81" s="378"/>
      <c r="D81" s="378"/>
      <c r="E81" s="378"/>
      <c r="F81" s="379"/>
      <c r="G81" s="379"/>
      <c r="H81" s="379"/>
      <c r="I81" s="378"/>
      <c r="J81" s="1614"/>
      <c r="K81" s="1614"/>
      <c r="L81" s="1614"/>
      <c r="M81" s="1614"/>
      <c r="N81" s="1614"/>
      <c r="O81" s="1614"/>
      <c r="P81" s="1614"/>
      <c r="Q81" s="1614"/>
      <c r="R81" s="1614"/>
      <c r="S81" s="296"/>
      <c r="T81" s="296"/>
      <c r="U81" s="296"/>
    </row>
    <row r="82" spans="1:21" x14ac:dyDescent="0.25">
      <c r="A82" s="1663"/>
      <c r="B82" s="378"/>
      <c r="C82" s="378"/>
      <c r="D82" s="378"/>
      <c r="E82" s="378"/>
      <c r="F82" s="378"/>
      <c r="G82" s="378"/>
      <c r="H82" s="378"/>
      <c r="I82" s="378"/>
      <c r="J82" s="1614"/>
      <c r="K82" s="1614"/>
      <c r="L82" s="1614"/>
      <c r="M82" s="1614"/>
      <c r="N82" s="1614"/>
      <c r="O82" s="1614"/>
      <c r="P82" s="1614"/>
      <c r="Q82" s="1614"/>
      <c r="R82" s="1614"/>
      <c r="S82" s="296"/>
      <c r="T82" s="296"/>
      <c r="U82" s="296"/>
    </row>
    <row r="83" spans="1:21" x14ac:dyDescent="0.25">
      <c r="A83" s="1663"/>
      <c r="B83" s="378"/>
      <c r="C83" s="378"/>
      <c r="D83" s="378"/>
      <c r="E83" s="378"/>
      <c r="F83" s="378"/>
      <c r="G83" s="378"/>
      <c r="H83" s="378"/>
      <c r="I83" s="378"/>
      <c r="J83" s="1614"/>
      <c r="K83" s="1614"/>
      <c r="L83" s="1614"/>
      <c r="M83" s="1614"/>
      <c r="N83" s="1614"/>
      <c r="O83" s="1614"/>
      <c r="P83" s="1614"/>
      <c r="Q83" s="1614"/>
      <c r="R83" s="1614"/>
      <c r="S83" s="296"/>
      <c r="T83" s="296"/>
      <c r="U83" s="296"/>
    </row>
    <row r="84" spans="1:21" ht="23.25" customHeight="1" x14ac:dyDescent="0.25">
      <c r="A84" s="1663"/>
      <c r="B84" s="378"/>
      <c r="C84" s="378"/>
      <c r="D84" s="378"/>
      <c r="E84" s="378"/>
      <c r="F84" s="378"/>
      <c r="G84" s="378"/>
      <c r="H84" s="378"/>
      <c r="I84" s="378"/>
      <c r="J84" s="1614"/>
      <c r="K84" s="1614"/>
      <c r="L84" s="1614"/>
      <c r="M84" s="1614"/>
      <c r="N84" s="1614"/>
      <c r="O84" s="1614"/>
      <c r="P84" s="1614"/>
      <c r="Q84" s="1614"/>
      <c r="R84" s="1614"/>
      <c r="S84" s="296"/>
      <c r="T84" s="296"/>
      <c r="U84" s="296"/>
    </row>
    <row r="85" spans="1:21" x14ac:dyDescent="0.25">
      <c r="A85" s="1663"/>
      <c r="B85" s="378"/>
      <c r="C85" s="378"/>
      <c r="D85" s="378"/>
      <c r="E85" s="378"/>
      <c r="F85" s="378"/>
      <c r="G85" s="378"/>
      <c r="H85" s="378"/>
      <c r="I85" s="378"/>
      <c r="J85" s="1614"/>
      <c r="K85" s="1614"/>
      <c r="L85" s="1614"/>
      <c r="M85" s="1614"/>
      <c r="N85" s="1614"/>
      <c r="O85" s="1614"/>
      <c r="P85" s="1614"/>
      <c r="Q85" s="1614"/>
      <c r="R85" s="1614"/>
      <c r="S85" s="296"/>
      <c r="T85" s="296"/>
      <c r="U85" s="296"/>
    </row>
    <row r="86" spans="1:21" x14ac:dyDescent="0.25">
      <c r="A86" s="1663"/>
      <c r="B86" s="378"/>
      <c r="C86" s="378"/>
      <c r="D86" s="378"/>
      <c r="E86" s="378"/>
      <c r="F86" s="378"/>
      <c r="G86" s="378"/>
      <c r="H86" s="378"/>
      <c r="I86" s="378"/>
      <c r="J86" s="1614"/>
      <c r="K86" s="1614"/>
      <c r="L86" s="1614"/>
      <c r="M86" s="1614"/>
      <c r="N86" s="1614"/>
      <c r="O86" s="1614"/>
      <c r="P86" s="1614"/>
      <c r="Q86" s="1614"/>
      <c r="R86" s="1614"/>
      <c r="S86" s="296"/>
      <c r="T86" s="296"/>
      <c r="U86" s="296"/>
    </row>
    <row r="87" spans="1:21" x14ac:dyDescent="0.25">
      <c r="A87" s="1663"/>
      <c r="B87" s="378"/>
      <c r="C87" s="378"/>
      <c r="D87" s="378"/>
      <c r="E87" s="378"/>
      <c r="F87" s="378"/>
      <c r="G87" s="378"/>
      <c r="H87" s="378"/>
      <c r="I87" s="378"/>
      <c r="J87" s="1614"/>
      <c r="K87" s="1614"/>
      <c r="L87" s="1614"/>
      <c r="M87" s="1614"/>
      <c r="N87" s="1614"/>
      <c r="O87" s="1614"/>
      <c r="P87" s="1614"/>
      <c r="Q87" s="1614"/>
      <c r="R87" s="1614"/>
      <c r="S87" s="296"/>
      <c r="T87" s="296"/>
      <c r="U87" s="296"/>
    </row>
    <row r="88" spans="1:21" x14ac:dyDescent="0.25">
      <c r="A88" s="1663"/>
      <c r="B88" s="378"/>
      <c r="C88" s="378"/>
      <c r="D88" s="378"/>
      <c r="E88" s="378"/>
      <c r="F88" s="378"/>
      <c r="G88" s="378"/>
      <c r="H88" s="378"/>
      <c r="I88" s="378"/>
      <c r="J88" s="1614"/>
      <c r="K88" s="1614"/>
      <c r="L88" s="1614"/>
      <c r="M88" s="1614"/>
      <c r="N88" s="1614"/>
      <c r="O88" s="1614"/>
      <c r="P88" s="1614"/>
      <c r="Q88" s="1614"/>
      <c r="R88" s="1614"/>
      <c r="S88" s="296"/>
      <c r="T88" s="296"/>
      <c r="U88" s="296"/>
    </row>
    <row r="89" spans="1:21" x14ac:dyDescent="0.25">
      <c r="A89" s="1663"/>
      <c r="B89" s="378"/>
      <c r="C89" s="378"/>
      <c r="D89" s="378"/>
      <c r="E89" s="378"/>
      <c r="F89" s="378"/>
      <c r="G89" s="378"/>
      <c r="H89" s="378"/>
      <c r="I89" s="378"/>
      <c r="J89" s="1614"/>
      <c r="K89" s="1614"/>
      <c r="L89" s="1614"/>
      <c r="M89" s="1614"/>
      <c r="N89" s="1614"/>
      <c r="O89" s="1614"/>
      <c r="P89" s="1614"/>
      <c r="Q89" s="1614"/>
      <c r="R89" s="1614"/>
      <c r="S89" s="296"/>
      <c r="T89" s="296"/>
      <c r="U89" s="296"/>
    </row>
    <row r="90" spans="1:21" x14ac:dyDescent="0.25">
      <c r="A90" s="1663"/>
      <c r="B90" s="378"/>
      <c r="C90" s="378"/>
      <c r="D90" s="378"/>
      <c r="E90" s="378"/>
      <c r="F90" s="378"/>
      <c r="G90" s="378"/>
      <c r="H90" s="378"/>
      <c r="I90" s="378"/>
      <c r="J90" s="1614"/>
      <c r="K90" s="1614"/>
      <c r="L90" s="1614"/>
      <c r="M90" s="1614"/>
      <c r="N90" s="1614"/>
      <c r="O90" s="1614"/>
      <c r="P90" s="1614"/>
      <c r="Q90" s="1614"/>
      <c r="R90" s="1614"/>
      <c r="S90" s="296"/>
      <c r="T90" s="296"/>
      <c r="U90" s="296"/>
    </row>
    <row r="91" spans="1:21" x14ac:dyDescent="0.25">
      <c r="A91" s="1663"/>
      <c r="B91" s="1664"/>
      <c r="C91" s="1664"/>
      <c r="D91" s="1664"/>
      <c r="E91" s="1663"/>
      <c r="F91" s="1663"/>
      <c r="G91" s="1663"/>
      <c r="H91" s="1663"/>
      <c r="I91" s="1663"/>
      <c r="J91" s="1614"/>
      <c r="K91" s="1614"/>
      <c r="L91" s="1614"/>
      <c r="M91" s="1614"/>
      <c r="N91" s="1614"/>
      <c r="O91" s="1614"/>
      <c r="P91" s="1614"/>
      <c r="Q91" s="1614"/>
      <c r="R91" s="1614"/>
      <c r="S91" s="296"/>
      <c r="T91" s="296"/>
      <c r="U91" s="296"/>
    </row>
    <row r="92" spans="1:21" x14ac:dyDescent="0.25">
      <c r="A92" s="1664"/>
      <c r="B92" s="1664"/>
      <c r="C92" s="1664"/>
      <c r="D92" s="1664"/>
      <c r="E92" s="1664"/>
      <c r="F92" s="1663"/>
      <c r="G92" s="1663"/>
      <c r="H92" s="1663"/>
      <c r="I92" s="1663"/>
      <c r="J92" s="1614"/>
      <c r="K92" s="1614"/>
      <c r="L92" s="1614"/>
      <c r="M92" s="1614"/>
      <c r="N92" s="1614"/>
      <c r="O92" s="1614"/>
      <c r="P92" s="1614"/>
      <c r="Q92" s="1614"/>
      <c r="R92" s="1614"/>
      <c r="S92" s="296"/>
      <c r="T92" s="296"/>
      <c r="U92" s="296"/>
    </row>
    <row r="93" spans="1:21" x14ac:dyDescent="0.25">
      <c r="A93" s="1664"/>
      <c r="B93" s="1664"/>
      <c r="C93" s="1664"/>
      <c r="D93" s="1664"/>
      <c r="E93" s="1664"/>
      <c r="F93" s="1664"/>
      <c r="G93" s="1664"/>
      <c r="H93" s="1664"/>
      <c r="I93" s="1664"/>
      <c r="J93" s="296"/>
      <c r="K93" s="296"/>
      <c r="L93" s="296"/>
      <c r="M93" s="296"/>
      <c r="N93" s="296"/>
      <c r="O93" s="296"/>
      <c r="P93" s="296"/>
      <c r="Q93" s="296"/>
      <c r="R93" s="296"/>
      <c r="S93" s="296"/>
      <c r="T93" s="296"/>
      <c r="U93" s="296"/>
    </row>
    <row r="94" spans="1:21" ht="23.25" customHeight="1" x14ac:dyDescent="0.25">
      <c r="A94" s="1664"/>
      <c r="B94" s="1664"/>
      <c r="C94" s="1664"/>
      <c r="D94" s="1664"/>
      <c r="E94" s="1664"/>
      <c r="F94" s="1664"/>
      <c r="G94" s="1664"/>
      <c r="H94" s="1664"/>
      <c r="I94" s="1664"/>
      <c r="J94" s="296"/>
      <c r="K94" s="296"/>
      <c r="L94" s="296"/>
      <c r="M94" s="296"/>
      <c r="N94" s="296"/>
      <c r="O94" s="296"/>
      <c r="P94" s="296"/>
      <c r="Q94" s="296"/>
      <c r="R94" s="296"/>
      <c r="S94" s="296"/>
      <c r="T94" s="296"/>
      <c r="U94" s="296"/>
    </row>
    <row r="95" spans="1:21" x14ac:dyDescent="0.25">
      <c r="A95" s="296"/>
      <c r="B95" s="296"/>
      <c r="C95" s="296"/>
      <c r="D95" s="296"/>
      <c r="E95" s="296"/>
      <c r="F95" s="296"/>
      <c r="G95" s="296"/>
      <c r="H95" s="296"/>
      <c r="I95" s="296"/>
      <c r="J95" s="296"/>
      <c r="K95" s="296"/>
      <c r="L95" s="296"/>
      <c r="M95" s="296"/>
      <c r="N95" s="296"/>
      <c r="O95" s="296"/>
      <c r="P95" s="296"/>
      <c r="Q95" s="296"/>
      <c r="R95" s="296"/>
      <c r="S95" s="296"/>
      <c r="T95" s="296"/>
      <c r="U95" s="296"/>
    </row>
    <row r="96" spans="1:21" x14ac:dyDescent="0.25">
      <c r="A96" s="296"/>
      <c r="E96" s="296"/>
      <c r="F96" s="296"/>
      <c r="G96" s="296"/>
      <c r="H96" s="296"/>
      <c r="I96" s="296"/>
      <c r="J96" s="296"/>
      <c r="K96" s="296"/>
      <c r="L96" s="296"/>
      <c r="M96" s="296"/>
      <c r="N96" s="296"/>
      <c r="O96" s="296"/>
      <c r="P96" s="296"/>
      <c r="Q96" s="296"/>
      <c r="R96" s="296"/>
      <c r="S96" s="296"/>
      <c r="T96" s="296"/>
      <c r="U96" s="296"/>
    </row>
    <row r="97" spans="6:21" x14ac:dyDescent="0.25">
      <c r="F97" s="296"/>
      <c r="G97" s="296"/>
      <c r="H97" s="296"/>
      <c r="I97" s="296"/>
      <c r="J97" s="296"/>
      <c r="K97" s="296"/>
      <c r="L97" s="296"/>
      <c r="M97" s="296"/>
      <c r="N97" s="296"/>
      <c r="O97" s="296"/>
      <c r="P97" s="296"/>
      <c r="Q97" s="296"/>
      <c r="R97" s="296"/>
      <c r="S97" s="296"/>
      <c r="T97" s="296"/>
      <c r="U97" s="296"/>
    </row>
  </sheetData>
  <sheetProtection formatCells="0"/>
  <mergeCells count="1">
    <mergeCell ref="A1:B1"/>
  </mergeCells>
  <conditionalFormatting sqref="E15:E16 E10:E13">
    <cfRule type="iconSet" priority="24">
      <iconSet iconSet="3Arrows" showValue="0">
        <cfvo type="percent" val="0"/>
        <cfvo type="num" val="0"/>
        <cfvo type="num" val="0" gte="0"/>
      </iconSet>
    </cfRule>
  </conditionalFormatting>
  <pageMargins left="0.7" right="0.7" top="0.75" bottom="0.75" header="0.3" footer="0.3"/>
  <pageSetup paperSize="9" orientation="portrait" r:id="rId1"/>
  <ignoredErrors>
    <ignoredError sqref="E10" evalError="1"/>
    <ignoredError sqref="F2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77153" r:id="rId4" name="Check Box 1">
              <controlPr defaultSize="0" autoFill="0" autoLine="0" autoPict="0">
                <anchor moveWithCells="1">
                  <from>
                    <xdr:col>0</xdr:col>
                    <xdr:colOff>590550</xdr:colOff>
                    <xdr:row>17</xdr:row>
                    <xdr:rowOff>0</xdr:rowOff>
                  </from>
                  <to>
                    <xdr:col>2</xdr:col>
                    <xdr:colOff>171450</xdr:colOff>
                    <xdr:row>17</xdr:row>
                    <xdr:rowOff>304800</xdr:rowOff>
                  </to>
                </anchor>
              </controlPr>
            </control>
          </mc:Choice>
        </mc:AlternateContent>
      </controls>
    </mc:Choice>
  </mc:AlternateContent>
  <extLst>
    <ext xmlns:x14="http://schemas.microsoft.com/office/spreadsheetml/2009/9/main" uri="{05C60535-1F16-4fd2-B633-F4F36F0B64E0}">
      <x14:sparklineGroups xmlns:xm="http://schemas.microsoft.com/office/excel/2006/main">
        <x14:sparklineGroup displayEmptyCellsAs="gap" markers="1" high="1">
          <x14:colorSeries theme="8"/>
          <x14:colorNegative theme="9"/>
          <x14:colorAxis rgb="FF000000"/>
          <x14:colorMarkers theme="8" tint="-0.249977111117893"/>
          <x14:colorFirst theme="8" tint="-0.249977111117893"/>
          <x14:colorLast theme="8" tint="-0.249977111117893"/>
          <x14:colorHigh theme="5"/>
          <x14:colorLow theme="8" tint="-0.249977111117893"/>
          <x14:sparklines>
            <x14:sparkline>
              <xm:f>Community_Care!C44:C51</xm:f>
              <xm:sqref>I10</xm:sqref>
            </x14:sparkline>
          </x14:sparklines>
        </x14:sparklineGroup>
        <x14:sparklineGroup displayEmptyCellsAs="gap" markers="1" high="1">
          <x14:colorSeries theme="8"/>
          <x14:colorNegative theme="9"/>
          <x14:colorAxis rgb="FF000000"/>
          <x14:colorMarkers theme="8" tint="-0.249977111117893"/>
          <x14:colorFirst theme="8" tint="-0.249977111117893"/>
          <x14:colorLast theme="8" tint="-0.249977111117893"/>
          <x14:colorHigh theme="5"/>
          <x14:colorLow theme="8" tint="-0.249977111117893"/>
          <x14:sparklines>
            <x14:sparkline>
              <xm:f>Community_Care!D44:D51</xm:f>
              <xm:sqref>I11</xm:sqref>
            </x14:sparkline>
          </x14:sparklines>
        </x14:sparklineGroup>
        <x14:sparklineGroup displayEmptyCellsAs="gap" markers="1" high="1">
          <x14:colorSeries theme="8"/>
          <x14:colorNegative theme="9"/>
          <x14:colorAxis rgb="FF000000"/>
          <x14:colorMarkers theme="8" tint="-0.249977111117893"/>
          <x14:colorFirst theme="8" tint="-0.249977111117893"/>
          <x14:colorLast theme="8" tint="-0.249977111117893"/>
          <x14:colorHigh rgb="FFFF0000"/>
          <x14:colorLow theme="8" tint="-0.249977111117893"/>
          <x14:sparklines>
            <x14:sparkline>
              <xm:f>Community_Care!F41:F52</xm:f>
              <xm:sqref>I15</xm:sqref>
            </x14:sparkline>
          </x14:sparklines>
        </x14:sparklineGroup>
      </x14:sparklineGroup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W97"/>
  <sheetViews>
    <sheetView showGridLines="0" showRowColHeaders="0" zoomScaleNormal="100" workbookViewId="0">
      <selection activeCell="D8" sqref="D8:D9"/>
    </sheetView>
  </sheetViews>
  <sheetFormatPr defaultRowHeight="15" x14ac:dyDescent="0.25"/>
  <cols>
    <col min="1" max="1" width="9.140625" style="1576"/>
    <col min="2" max="2" width="17.7109375" style="1576" customWidth="1"/>
    <col min="3" max="3" width="11.7109375" style="1576" customWidth="1"/>
    <col min="4" max="4" width="18.7109375" style="1576" customWidth="1"/>
    <col min="5" max="5" width="15.85546875" style="1576" customWidth="1"/>
    <col min="6" max="6" width="16.28515625" style="1576" customWidth="1"/>
    <col min="7" max="7" width="23.140625" style="1576" customWidth="1"/>
    <col min="8" max="8" width="13.140625" style="1576" customWidth="1"/>
    <col min="9" max="9" width="30.7109375" style="1576" customWidth="1"/>
    <col min="10" max="10" width="13.140625" style="1576" customWidth="1"/>
    <col min="11" max="11" width="26.28515625" style="1576" bestFit="1" customWidth="1"/>
    <col min="12" max="12" width="16.28515625" style="1576" bestFit="1" customWidth="1"/>
    <col min="13" max="13" width="22.5703125" style="1576" bestFit="1" customWidth="1"/>
    <col min="14" max="14" width="21.28515625" style="1576" bestFit="1" customWidth="1"/>
    <col min="15" max="15" width="22.28515625" style="1576" bestFit="1" customWidth="1"/>
    <col min="16" max="16384" width="9.140625" style="1576"/>
  </cols>
  <sheetData>
    <row r="1" spans="1:15" x14ac:dyDescent="0.25">
      <c r="A1" s="1898"/>
      <c r="B1" s="1898"/>
      <c r="D1" s="231"/>
      <c r="E1" s="231"/>
    </row>
    <row r="2" spans="1:15" x14ac:dyDescent="0.25">
      <c r="D2" s="231"/>
      <c r="E2" s="231"/>
    </row>
    <row r="3" spans="1:15" x14ac:dyDescent="0.25">
      <c r="D3" s="231"/>
      <c r="E3" s="231"/>
    </row>
    <row r="4" spans="1:15" ht="31.5" x14ac:dyDescent="0.5">
      <c r="A4" s="233"/>
      <c r="B4" s="1224" t="s">
        <v>740</v>
      </c>
      <c r="C4" s="658"/>
      <c r="D4" s="658"/>
      <c r="E4" s="658"/>
      <c r="F4" s="658"/>
      <c r="G4" s="658"/>
      <c r="H4" s="231"/>
    </row>
    <row r="5" spans="1:15" ht="23.25" customHeight="1" x14ac:dyDescent="0.25">
      <c r="A5" s="276"/>
      <c r="B5" s="627" t="s">
        <v>728</v>
      </c>
      <c r="C5" s="276"/>
      <c r="D5" s="276"/>
      <c r="E5" s="276"/>
      <c r="F5" s="276"/>
      <c r="G5" s="276"/>
      <c r="H5" s="276"/>
      <c r="I5" s="276"/>
      <c r="J5" s="276"/>
      <c r="K5" s="276"/>
      <c r="L5" s="276"/>
      <c r="M5" s="276"/>
      <c r="N5" s="276"/>
      <c r="O5" s="276"/>
    </row>
    <row r="6" spans="1:15" x14ac:dyDescent="0.25">
      <c r="A6" s="279"/>
      <c r="B6" s="723"/>
      <c r="C6" s="279"/>
      <c r="D6" s="279"/>
      <c r="E6" s="279"/>
      <c r="F6" s="1436"/>
      <c r="G6" s="276"/>
      <c r="H6" s="276"/>
      <c r="I6" s="276"/>
      <c r="J6" s="276"/>
      <c r="K6" s="276"/>
      <c r="L6" s="276"/>
      <c r="M6" s="276"/>
      <c r="N6" s="276"/>
      <c r="O6" s="276"/>
    </row>
    <row r="7" spans="1:15" x14ac:dyDescent="0.25">
      <c r="A7" s="276"/>
      <c r="B7" s="735"/>
      <c r="C7" s="276"/>
      <c r="D7" s="276"/>
      <c r="E7" s="276"/>
      <c r="F7" s="276"/>
      <c r="G7" s="276"/>
      <c r="H7" s="276"/>
      <c r="I7" s="276"/>
      <c r="J7" s="276"/>
      <c r="K7" s="276"/>
      <c r="L7" s="276"/>
      <c r="M7" s="276"/>
      <c r="N7" s="276"/>
      <c r="O7" s="276"/>
    </row>
    <row r="8" spans="1:15" ht="24.95" customHeight="1" x14ac:dyDescent="0.25">
      <c r="A8" s="709"/>
      <c r="B8" s="797"/>
      <c r="C8" s="709"/>
      <c r="D8" s="709"/>
      <c r="E8" s="709"/>
      <c r="F8" s="709"/>
      <c r="G8" s="709"/>
      <c r="H8" s="709"/>
      <c r="I8" s="709"/>
      <c r="J8" s="709"/>
      <c r="K8" s="709"/>
      <c r="L8" s="709"/>
      <c r="M8" s="276"/>
      <c r="N8" s="276"/>
      <c r="O8" s="276"/>
    </row>
    <row r="9" spans="1:15" ht="24.95" customHeight="1" x14ac:dyDescent="0.25">
      <c r="A9" s="709"/>
      <c r="B9" s="782"/>
      <c r="C9" s="1625" t="s">
        <v>595</v>
      </c>
      <c r="D9" s="708" t="s">
        <v>656</v>
      </c>
      <c r="E9" s="1625"/>
      <c r="F9" s="1522" t="s">
        <v>506</v>
      </c>
      <c r="G9" s="1522" t="s">
        <v>507</v>
      </c>
      <c r="H9" s="1474" t="s">
        <v>704</v>
      </c>
      <c r="I9" s="1522" t="s">
        <v>503</v>
      </c>
      <c r="J9" s="1636" t="s">
        <v>536</v>
      </c>
      <c r="K9" s="709"/>
      <c r="L9" s="709"/>
      <c r="M9" s="276"/>
      <c r="N9" s="276"/>
      <c r="O9" s="276"/>
    </row>
    <row r="10" spans="1:15" ht="24.95" customHeight="1" x14ac:dyDescent="0.25">
      <c r="A10" s="709"/>
      <c r="B10" s="1477" t="s">
        <v>657</v>
      </c>
      <c r="C10" s="1642">
        <f>C51</f>
        <v>82197237</v>
      </c>
      <c r="D10" s="1621">
        <f>C51/C50-1</f>
        <v>2.2300379284946104E-2</v>
      </c>
      <c r="E10" s="715">
        <f>D10</f>
        <v>2.2300379284946104E-2</v>
      </c>
      <c r="F10" s="1642">
        <f>MIN(C44:C51)</f>
        <v>52724302</v>
      </c>
      <c r="G10" s="1642">
        <f>MAX(C44:C51)</f>
        <v>82197237</v>
      </c>
      <c r="H10" s="1650">
        <f>C44/1000000</f>
        <v>52.724302000000002</v>
      </c>
      <c r="I10" s="1615"/>
      <c r="J10" s="836">
        <f>C51/1000000</f>
        <v>82.197237000000001</v>
      </c>
      <c r="K10" s="709"/>
      <c r="L10" s="709"/>
      <c r="M10" s="276"/>
      <c r="N10" s="276"/>
    </row>
    <row r="11" spans="1:15" ht="24.95" customHeight="1" x14ac:dyDescent="0.25">
      <c r="A11" s="709"/>
      <c r="B11" s="1477" t="s">
        <v>512</v>
      </c>
      <c r="C11" s="1642">
        <f>D51</f>
        <v>108</v>
      </c>
      <c r="D11" s="1621">
        <f>D51/D50-1</f>
        <v>2.857142857142847E-2</v>
      </c>
      <c r="E11" s="731">
        <f>D11</f>
        <v>2.857142857142847E-2</v>
      </c>
      <c r="F11" s="1620">
        <f>MIN(D44:D51)</f>
        <v>93</v>
      </c>
      <c r="G11" s="1620">
        <f>MAX(D44:D51)</f>
        <v>108</v>
      </c>
      <c r="H11" s="1650">
        <f>D44</f>
        <v>106</v>
      </c>
      <c r="I11" s="1615"/>
      <c r="J11" s="836">
        <f>D51</f>
        <v>108</v>
      </c>
      <c r="K11" s="709"/>
      <c r="L11" s="709"/>
      <c r="M11" s="276"/>
      <c r="N11" s="276"/>
    </row>
    <row r="12" spans="1:15" ht="24.95" customHeight="1" x14ac:dyDescent="0.25">
      <c r="A12" s="709"/>
      <c r="B12" s="1477" t="s">
        <v>738</v>
      </c>
      <c r="C12" s="1642">
        <f>E51</f>
        <v>5.3</v>
      </c>
      <c r="D12" s="1621">
        <f>E51/E50-1</f>
        <v>0</v>
      </c>
      <c r="E12" s="731">
        <f>D12</f>
        <v>0</v>
      </c>
      <c r="F12" s="1620">
        <f>MIN(E44:E51)</f>
        <v>4.8</v>
      </c>
      <c r="G12" s="1620">
        <f>MAX(E44:E51)</f>
        <v>7.4</v>
      </c>
      <c r="H12" s="1637">
        <f>E44</f>
        <v>7.4</v>
      </c>
      <c r="I12" s="1615"/>
      <c r="J12" s="1508">
        <f>E51</f>
        <v>5.3</v>
      </c>
      <c r="K12" s="709"/>
      <c r="L12" s="709"/>
      <c r="M12" s="276"/>
      <c r="N12" s="276"/>
    </row>
    <row r="13" spans="1:15" ht="24.95" customHeight="1" x14ac:dyDescent="0.25">
      <c r="A13" s="709"/>
      <c r="B13" s="1477"/>
      <c r="C13" s="1620"/>
      <c r="D13" s="1621"/>
      <c r="E13" s="731"/>
      <c r="F13" s="1620"/>
      <c r="G13" s="1620"/>
      <c r="H13" s="1637"/>
      <c r="I13" s="1615"/>
      <c r="J13" s="1508"/>
      <c r="K13" s="709"/>
      <c r="L13" s="709"/>
      <c r="M13" s="276"/>
      <c r="N13" s="276"/>
    </row>
    <row r="14" spans="1:15" ht="24.95" customHeight="1" x14ac:dyDescent="0.25">
      <c r="A14" s="709"/>
      <c r="B14" s="1477" t="s">
        <v>717</v>
      </c>
      <c r="C14" s="1522" t="s">
        <v>595</v>
      </c>
      <c r="D14" s="708" t="s">
        <v>716</v>
      </c>
      <c r="E14" s="1624"/>
      <c r="F14" s="1624" t="s">
        <v>506</v>
      </c>
      <c r="G14" s="1624" t="s">
        <v>507</v>
      </c>
      <c r="H14" s="1626" t="s">
        <v>739</v>
      </c>
      <c r="I14" s="1624" t="s">
        <v>503</v>
      </c>
      <c r="J14" s="1626" t="s">
        <v>730</v>
      </c>
      <c r="K14" s="709"/>
      <c r="L14" s="709"/>
      <c r="M14" s="276"/>
      <c r="N14" s="276"/>
    </row>
    <row r="15" spans="1:15" ht="24.95" customHeight="1" x14ac:dyDescent="0.25">
      <c r="A15" s="709"/>
      <c r="B15" s="1477" t="s">
        <v>159</v>
      </c>
      <c r="C15" s="713">
        <f>G51</f>
        <v>2.23E-2</v>
      </c>
      <c r="D15" s="1621">
        <f>I51</f>
        <v>2.4000761899748264</v>
      </c>
      <c r="E15" s="731">
        <f>D15</f>
        <v>2.4000761899748264</v>
      </c>
      <c r="F15" s="1621">
        <f>MIN(G39:G51)</f>
        <v>-6.8552823741646063E-2</v>
      </c>
      <c r="G15" s="1621">
        <f>MAX(G39:G51)</f>
        <v>0.34405834405834401</v>
      </c>
      <c r="H15" s="1638">
        <f>G39</f>
        <v>0.34405834405834401</v>
      </c>
      <c r="I15" s="1615"/>
      <c r="J15" s="1509">
        <f>G51</f>
        <v>2.23E-2</v>
      </c>
      <c r="K15" s="709"/>
      <c r="L15" s="709"/>
      <c r="M15" s="276"/>
      <c r="N15" s="276"/>
    </row>
    <row r="16" spans="1:15" ht="24.95" customHeight="1" x14ac:dyDescent="0.25">
      <c r="A16" s="709"/>
      <c r="B16" s="1477" t="s">
        <v>737</v>
      </c>
      <c r="C16" s="713">
        <f>H51</f>
        <v>2.23E-2</v>
      </c>
      <c r="D16" s="1621">
        <f>J51</f>
        <v>2.4000761899748264</v>
      </c>
      <c r="E16" s="731">
        <f>D16</f>
        <v>2.4000761899748264</v>
      </c>
      <c r="F16" s="1621">
        <f>MIN(H39:H51)</f>
        <v>-6.8552823741646063E-2</v>
      </c>
      <c r="G16" s="1621">
        <f>MAX(H39:H51)</f>
        <v>0.34405834405834401</v>
      </c>
      <c r="H16" s="934">
        <f>H39</f>
        <v>0.34405834405834401</v>
      </c>
      <c r="I16" s="1615"/>
      <c r="J16" s="935">
        <f>H51</f>
        <v>2.23E-2</v>
      </c>
      <c r="K16" s="709"/>
      <c r="L16" s="709"/>
      <c r="M16" s="276"/>
      <c r="N16" s="276"/>
    </row>
    <row r="17" spans="1:22" ht="24.95" customHeight="1" x14ac:dyDescent="0.25">
      <c r="A17" s="709"/>
      <c r="B17" s="782"/>
      <c r="C17" s="1623"/>
      <c r="D17" s="1524"/>
      <c r="E17" s="1623"/>
      <c r="F17" s="1640"/>
      <c r="G17" s="1640"/>
      <c r="H17" s="1510"/>
      <c r="I17" s="1513"/>
      <c r="J17" s="1513"/>
      <c r="K17" s="709"/>
      <c r="L17" s="709"/>
      <c r="M17" s="276"/>
      <c r="N17" s="276"/>
      <c r="O17" s="276"/>
    </row>
    <row r="18" spans="1:22" ht="24.95" customHeight="1" x14ac:dyDescent="0.25">
      <c r="A18" s="1641" t="b">
        <v>1</v>
      </c>
      <c r="B18" s="1625"/>
      <c r="C18" s="709"/>
      <c r="D18" s="709"/>
      <c r="E18" s="709"/>
      <c r="F18" s="709"/>
      <c r="G18" s="709"/>
      <c r="H18" s="709"/>
      <c r="I18" s="709"/>
      <c r="J18" s="709"/>
      <c r="K18" s="709"/>
      <c r="L18" s="709"/>
      <c r="M18" s="276"/>
      <c r="N18" s="276"/>
      <c r="O18" s="276"/>
    </row>
    <row r="19" spans="1:22" ht="24.95" customHeight="1" x14ac:dyDescent="0.25">
      <c r="A19" s="383"/>
      <c r="B19" s="276"/>
      <c r="C19" s="276"/>
      <c r="D19" s="276"/>
      <c r="E19" s="1312"/>
      <c r="F19" s="276"/>
      <c r="G19" s="276"/>
      <c r="H19" s="276"/>
      <c r="I19" s="276"/>
      <c r="J19" s="276"/>
      <c r="K19" s="276"/>
      <c r="L19" s="276"/>
      <c r="M19" s="276"/>
      <c r="N19" s="276"/>
      <c r="O19" s="276"/>
    </row>
    <row r="20" spans="1:22" ht="26.25" x14ac:dyDescent="0.25">
      <c r="A20" s="276"/>
      <c r="B20" s="1525"/>
      <c r="C20" s="1327" t="str">
        <f>IF($A$18=TRUE,C37,"")</f>
        <v xml:space="preserve">Volume of activity </v>
      </c>
      <c r="D20" s="1327" t="str">
        <f>IF($A$18=TRUE,D37,"")</f>
        <v>Average cost</v>
      </c>
      <c r="E20" s="1327" t="str">
        <f>IF($A$18=TRUE,E37,"")</f>
        <v>Waiting time</v>
      </c>
      <c r="F20" s="1645"/>
      <c r="G20" s="1643" t="str">
        <f t="shared" ref="G20" si="0">IF($A$18=TRUE,G37,"")</f>
        <v>Output growth</v>
      </c>
      <c r="H20" s="1646"/>
      <c r="I20" s="627"/>
      <c r="J20" s="627"/>
      <c r="K20" s="627"/>
      <c r="L20" s="627" t="str">
        <f t="shared" ref="L20:R20" si="1">IF(J18=TRUE,M38,"")</f>
        <v/>
      </c>
      <c r="M20" s="627" t="str">
        <f t="shared" si="1"/>
        <v/>
      </c>
      <c r="N20" s="627" t="str">
        <f t="shared" si="1"/>
        <v/>
      </c>
      <c r="O20" s="627" t="str">
        <f t="shared" si="1"/>
        <v/>
      </c>
      <c r="P20" s="627" t="str">
        <f t="shared" si="1"/>
        <v/>
      </c>
      <c r="Q20" s="627" t="str">
        <f t="shared" si="1"/>
        <v/>
      </c>
      <c r="R20" s="627" t="str">
        <f t="shared" si="1"/>
        <v/>
      </c>
    </row>
    <row r="21" spans="1:22" x14ac:dyDescent="0.25">
      <c r="A21" s="276"/>
      <c r="B21" s="627" t="str">
        <f t="shared" ref="B21:B34" si="2">IF($A$18=TRUE,B38,"")</f>
        <v>1998/99</v>
      </c>
      <c r="C21" s="1644" t="str">
        <f t="shared" ref="C21:E34" si="3">IF($A$18=TRUE,C38,"")</f>
        <v>N/A</v>
      </c>
      <c r="D21" s="1644" t="str">
        <f t="shared" si="3"/>
        <v>N/A</v>
      </c>
      <c r="E21" s="1644" t="str">
        <f t="shared" si="3"/>
        <v>N/A</v>
      </c>
      <c r="F21" s="1645"/>
      <c r="G21" s="1645"/>
      <c r="H21" s="1473"/>
      <c r="I21" s="1470"/>
      <c r="J21" s="627"/>
      <c r="K21" s="627"/>
      <c r="L21" s="627"/>
      <c r="M21" s="627"/>
      <c r="N21" s="627"/>
      <c r="O21" s="627"/>
      <c r="P21" s="627"/>
      <c r="Q21" s="627"/>
      <c r="R21" s="627"/>
    </row>
    <row r="22" spans="1:22" x14ac:dyDescent="0.25">
      <c r="A22" s="276"/>
      <c r="B22" s="1649" t="str">
        <f t="shared" si="2"/>
        <v>1999/00</v>
      </c>
      <c r="C22" s="1644" t="str">
        <f t="shared" si="3"/>
        <v>N/A</v>
      </c>
      <c r="D22" s="1644" t="str">
        <f t="shared" si="3"/>
        <v>N/A</v>
      </c>
      <c r="E22" s="1644" t="str">
        <f t="shared" si="3"/>
        <v>N/A</v>
      </c>
      <c r="F22" s="1643" t="str">
        <f>IF($A$18=TRUE,F39,"")</f>
        <v>1998/99 -1999/00</v>
      </c>
      <c r="G22" s="632">
        <f>IF($A$18=TRUE,G39,"")</f>
        <v>0.34405834405834401</v>
      </c>
      <c r="H22" s="1473"/>
      <c r="I22" s="1470"/>
      <c r="J22" s="627"/>
      <c r="K22" s="627"/>
      <c r="L22" s="627"/>
      <c r="M22" s="627"/>
      <c r="N22" s="627"/>
      <c r="O22" s="627"/>
      <c r="P22" s="627"/>
      <c r="Q22" s="627"/>
      <c r="R22" s="627"/>
    </row>
    <row r="23" spans="1:22" x14ac:dyDescent="0.25">
      <c r="A23" s="276"/>
      <c r="B23" s="1649" t="str">
        <f t="shared" si="2"/>
        <v>2000/01</v>
      </c>
      <c r="C23" s="1644" t="str">
        <f t="shared" si="3"/>
        <v>N/A</v>
      </c>
      <c r="D23" s="1644" t="str">
        <f t="shared" si="3"/>
        <v>N/A</v>
      </c>
      <c r="E23" s="1644" t="str">
        <f t="shared" si="3"/>
        <v>N/A</v>
      </c>
      <c r="F23" s="1643" t="str">
        <f>IF($A$18=TRUE,F40,"")</f>
        <v>1999/00 -2000/01</v>
      </c>
      <c r="G23" s="632">
        <f>IF($A$18=TRUE,G40,"")</f>
        <v>4.0935368387547966E-2</v>
      </c>
      <c r="H23" s="1473"/>
      <c r="I23" s="1470"/>
      <c r="J23" s="627"/>
      <c r="K23" s="627"/>
      <c r="L23" s="627"/>
      <c r="M23" s="627"/>
      <c r="N23" s="627"/>
      <c r="O23" s="627"/>
      <c r="P23" s="627"/>
      <c r="Q23" s="627"/>
      <c r="R23" s="627"/>
    </row>
    <row r="24" spans="1:22" x14ac:dyDescent="0.25">
      <c r="A24" s="276"/>
      <c r="B24" s="1649" t="str">
        <f t="shared" si="2"/>
        <v>2001/02</v>
      </c>
      <c r="C24" s="1644" t="str">
        <f t="shared" si="3"/>
        <v>N/A</v>
      </c>
      <c r="D24" s="1644" t="str">
        <f t="shared" si="3"/>
        <v>N/A</v>
      </c>
      <c r="E24" s="1644" t="str">
        <f t="shared" si="3"/>
        <v>N/A</v>
      </c>
      <c r="F24" s="1643" t="str">
        <f t="shared" ref="F24:F34" si="4">IF($A$18=TRUE,F41,"")</f>
        <v>2000/01 - 2001/02</v>
      </c>
      <c r="G24" s="632">
        <f>IF($A$18=TRUE,G41-1,"")</f>
        <v>-0.96716457978116832</v>
      </c>
      <c r="H24" s="1648"/>
      <c r="I24" s="1470"/>
      <c r="J24" s="627"/>
      <c r="K24" s="627"/>
      <c r="L24" s="627"/>
      <c r="M24" s="627"/>
      <c r="N24" s="627"/>
      <c r="O24" s="627"/>
      <c r="P24" s="627"/>
      <c r="Q24" s="627"/>
      <c r="R24" s="627"/>
    </row>
    <row r="25" spans="1:22" x14ac:dyDescent="0.25">
      <c r="A25" s="276"/>
      <c r="B25" s="1649" t="str">
        <f t="shared" si="2"/>
        <v>2002/03</v>
      </c>
      <c r="C25" s="1518" t="str">
        <f t="shared" si="3"/>
        <v>N/A</v>
      </c>
      <c r="D25" s="1518" t="str">
        <f t="shared" si="3"/>
        <v>N/A</v>
      </c>
      <c r="E25" s="1518" t="str">
        <f t="shared" si="3"/>
        <v>N/A</v>
      </c>
      <c r="F25" s="1643" t="str">
        <f t="shared" si="4"/>
        <v>2001/02 - 2002/03</v>
      </c>
      <c r="G25" s="632">
        <f t="shared" ref="G25:G34" si="5">IF($A$18=TRUE,G42-1,"")</f>
        <v>-0.94895344253141278</v>
      </c>
      <c r="H25" s="1648"/>
      <c r="I25" s="1470"/>
      <c r="J25" s="627"/>
      <c r="K25" s="627"/>
      <c r="L25" s="627"/>
      <c r="M25" s="627"/>
      <c r="N25" s="627"/>
      <c r="O25" s="627"/>
      <c r="P25" s="627"/>
      <c r="Q25" s="627"/>
      <c r="R25" s="627"/>
    </row>
    <row r="26" spans="1:22" x14ac:dyDescent="0.25">
      <c r="A26" s="276"/>
      <c r="B26" s="1649" t="str">
        <f t="shared" si="2"/>
        <v>2003/04</v>
      </c>
      <c r="C26" s="1518" t="str">
        <f t="shared" si="3"/>
        <v>N/A</v>
      </c>
      <c r="D26" s="1518" t="str">
        <f t="shared" si="3"/>
        <v>N/A</v>
      </c>
      <c r="E26" s="1518" t="str">
        <f t="shared" si="3"/>
        <v>N/A</v>
      </c>
      <c r="F26" s="1643" t="str">
        <f t="shared" si="4"/>
        <v>2002/03 -2003/04</v>
      </c>
      <c r="G26" s="632">
        <f t="shared" si="5"/>
        <v>-0.94754459173780758</v>
      </c>
      <c r="H26" s="1648"/>
      <c r="I26" s="1470"/>
      <c r="J26" s="627"/>
      <c r="K26" s="627"/>
      <c r="L26" s="627"/>
      <c r="M26" s="627"/>
      <c r="N26" s="627"/>
      <c r="O26" s="627"/>
      <c r="P26" s="627"/>
      <c r="Q26" s="627"/>
      <c r="R26" s="627"/>
    </row>
    <row r="27" spans="1:22" x14ac:dyDescent="0.25">
      <c r="A27" s="593"/>
      <c r="B27" s="1651" t="str">
        <f t="shared" si="2"/>
        <v>2004/05</v>
      </c>
      <c r="C27" s="1644">
        <f t="shared" si="3"/>
        <v>52724302</v>
      </c>
      <c r="D27" s="1644">
        <f t="shared" si="3"/>
        <v>106</v>
      </c>
      <c r="E27" s="1644">
        <f t="shared" si="3"/>
        <v>7.4</v>
      </c>
      <c r="F27" s="1643" t="str">
        <f t="shared" si="4"/>
        <v>2003/04 -2004/05</v>
      </c>
      <c r="G27" s="1647">
        <f>IF($A$18=TRUE,G44-1,"")</f>
        <v>-0.89857453080471128</v>
      </c>
      <c r="H27" s="1648"/>
      <c r="I27" s="1470"/>
      <c r="J27" s="627"/>
      <c r="K27" s="627"/>
      <c r="L27" s="627"/>
      <c r="M27" s="627"/>
      <c r="N27" s="627"/>
      <c r="O27" s="627"/>
      <c r="P27" s="627"/>
      <c r="Q27" s="627"/>
      <c r="R27" s="627"/>
    </row>
    <row r="28" spans="1:22" x14ac:dyDescent="0.25">
      <c r="A28" s="593"/>
      <c r="B28" s="1651" t="str">
        <f t="shared" si="2"/>
        <v>2005/06</v>
      </c>
      <c r="C28" s="1644">
        <f t="shared" si="3"/>
        <v>60541477</v>
      </c>
      <c r="D28" s="1644">
        <f t="shared" si="3"/>
        <v>103</v>
      </c>
      <c r="E28" s="1644">
        <f t="shared" si="3"/>
        <v>6.5</v>
      </c>
      <c r="F28" s="1643" t="str">
        <f t="shared" si="4"/>
        <v>2004/05 - 2005/06</v>
      </c>
      <c r="G28" s="632">
        <f t="shared" si="5"/>
        <v>-0.90128010418857252</v>
      </c>
      <c r="H28" s="1648"/>
      <c r="I28" s="1629"/>
      <c r="J28" s="593"/>
      <c r="K28" s="593"/>
      <c r="L28" s="593"/>
      <c r="M28" s="593"/>
      <c r="N28" s="593"/>
      <c r="O28" s="593"/>
      <c r="P28" s="593"/>
      <c r="Q28" s="296"/>
      <c r="R28" s="296"/>
      <c r="S28" s="296"/>
      <c r="T28" s="296"/>
      <c r="U28" s="296"/>
      <c r="V28" s="296"/>
    </row>
    <row r="29" spans="1:22" x14ac:dyDescent="0.25">
      <c r="A29" s="593"/>
      <c r="B29" s="1651" t="str">
        <f t="shared" si="2"/>
        <v>2006/07</v>
      </c>
      <c r="C29" s="1644">
        <f t="shared" si="3"/>
        <v>63453507</v>
      </c>
      <c r="D29" s="1644">
        <f t="shared" si="3"/>
        <v>93</v>
      </c>
      <c r="E29" s="1644">
        <f t="shared" si="3"/>
        <v>5.9</v>
      </c>
      <c r="F29" s="1643" t="str">
        <f t="shared" si="4"/>
        <v>2005/06 - 2006/07</v>
      </c>
      <c r="G29" s="632">
        <f t="shared" si="5"/>
        <v>-1.068552823741646</v>
      </c>
      <c r="H29" s="1648"/>
      <c r="I29" s="1629"/>
      <c r="J29" s="593"/>
      <c r="K29" s="593"/>
      <c r="L29" s="593"/>
      <c r="M29" s="593"/>
      <c r="N29" s="593"/>
      <c r="O29" s="593"/>
      <c r="P29" s="593"/>
      <c r="Q29" s="296"/>
      <c r="R29" s="296"/>
      <c r="S29" s="296"/>
      <c r="T29" s="296"/>
      <c r="U29" s="296"/>
      <c r="V29" s="296"/>
    </row>
    <row r="30" spans="1:22" x14ac:dyDescent="0.25">
      <c r="A30" s="593"/>
      <c r="B30" s="653" t="str">
        <f t="shared" si="2"/>
        <v>2007/08</v>
      </c>
      <c r="C30" s="1644">
        <f t="shared" si="3"/>
        <v>69678564</v>
      </c>
      <c r="D30" s="1644">
        <f t="shared" si="3"/>
        <v>94</v>
      </c>
      <c r="E30" s="1644">
        <f t="shared" si="3"/>
        <v>5.3</v>
      </c>
      <c r="F30" s="1643" t="str">
        <f t="shared" si="4"/>
        <v>2006/07 - 2007/08</v>
      </c>
      <c r="G30" s="632">
        <f t="shared" si="5"/>
        <v>-0.91840750649847225</v>
      </c>
      <c r="H30" s="1648"/>
      <c r="I30" s="1629"/>
      <c r="J30" s="593"/>
      <c r="K30" s="593"/>
      <c r="L30" s="593"/>
      <c r="M30" s="593"/>
      <c r="N30" s="593"/>
      <c r="O30" s="593"/>
      <c r="P30" s="593"/>
      <c r="Q30" s="296"/>
      <c r="R30" s="296"/>
      <c r="S30" s="296"/>
      <c r="T30" s="296"/>
      <c r="U30" s="296"/>
      <c r="V30" s="296"/>
    </row>
    <row r="31" spans="1:22" x14ac:dyDescent="0.25">
      <c r="A31" s="593"/>
      <c r="B31" s="653" t="str">
        <f t="shared" si="2"/>
        <v>2008/09</v>
      </c>
      <c r="C31" s="1644">
        <f t="shared" si="3"/>
        <v>74421017</v>
      </c>
      <c r="D31" s="1644">
        <f t="shared" si="3"/>
        <v>98</v>
      </c>
      <c r="E31" s="1644">
        <f t="shared" si="3"/>
        <v>4.8</v>
      </c>
      <c r="F31" s="1643" t="str">
        <f t="shared" si="4"/>
        <v>2007/08 - 2008/09</v>
      </c>
      <c r="G31" s="632">
        <f t="shared" si="5"/>
        <v>-0.92712919999999999</v>
      </c>
      <c r="H31" s="1648"/>
      <c r="I31" s="1629"/>
      <c r="J31" s="593"/>
      <c r="K31" s="593"/>
      <c r="L31" s="593"/>
      <c r="M31" s="593"/>
      <c r="N31" s="593"/>
      <c r="O31" s="593"/>
      <c r="P31" s="593"/>
      <c r="Q31" s="296"/>
      <c r="R31" s="296"/>
      <c r="S31" s="296"/>
      <c r="T31" s="296"/>
      <c r="U31" s="296"/>
      <c r="V31" s="296"/>
    </row>
    <row r="32" spans="1:22" x14ac:dyDescent="0.25">
      <c r="A32" s="593"/>
      <c r="B32" s="653" t="str">
        <f t="shared" si="2"/>
        <v>2009/10</v>
      </c>
      <c r="C32" s="1644">
        <f t="shared" si="3"/>
        <v>76761100</v>
      </c>
      <c r="D32" s="1644">
        <f t="shared" si="3"/>
        <v>99</v>
      </c>
      <c r="E32" s="1644">
        <f t="shared" si="3"/>
        <v>5.0999999999999996</v>
      </c>
      <c r="F32" s="1643" t="str">
        <f t="shared" si="4"/>
        <v>2008/09 -2009/10</v>
      </c>
      <c r="G32" s="632">
        <f t="shared" si="5"/>
        <v>-0.90206980000000003</v>
      </c>
      <c r="H32" s="1648"/>
      <c r="I32" s="1629"/>
      <c r="J32" s="593"/>
      <c r="K32" s="593"/>
      <c r="L32" s="593"/>
      <c r="M32" s="593"/>
      <c r="N32" s="593"/>
      <c r="O32" s="593"/>
      <c r="P32" s="593"/>
      <c r="Q32" s="296"/>
      <c r="R32" s="296"/>
      <c r="S32" s="296"/>
      <c r="T32" s="296"/>
      <c r="U32" s="296"/>
      <c r="V32" s="296"/>
    </row>
    <row r="33" spans="1:23" x14ac:dyDescent="0.25">
      <c r="A33" s="593"/>
      <c r="B33" s="653" t="str">
        <f t="shared" si="2"/>
        <v>2010/11</v>
      </c>
      <c r="C33" s="1644">
        <f t="shared" si="3"/>
        <v>80404193</v>
      </c>
      <c r="D33" s="1644">
        <f t="shared" si="3"/>
        <v>105</v>
      </c>
      <c r="E33" s="1644">
        <f t="shared" si="3"/>
        <v>5.3</v>
      </c>
      <c r="F33" s="1643" t="str">
        <f t="shared" si="4"/>
        <v>2009/10 - 2010/11</v>
      </c>
      <c r="G33" s="632">
        <f t="shared" si="5"/>
        <v>-0.97726800000000003</v>
      </c>
      <c r="H33" s="1648"/>
      <c r="I33" s="1629"/>
      <c r="J33" s="593"/>
      <c r="K33" s="593"/>
      <c r="L33" s="593"/>
      <c r="M33" s="593"/>
      <c r="N33" s="593"/>
      <c r="O33" s="593"/>
      <c r="P33" s="593"/>
      <c r="Q33" s="296"/>
      <c r="R33" s="296"/>
      <c r="S33" s="296"/>
      <c r="T33" s="296"/>
      <c r="U33" s="296"/>
      <c r="V33" s="296"/>
    </row>
    <row r="34" spans="1:23" x14ac:dyDescent="0.25">
      <c r="A34" s="593"/>
      <c r="B34" s="653" t="str">
        <f t="shared" si="2"/>
        <v>2011/12</v>
      </c>
      <c r="C34" s="1644">
        <f t="shared" si="3"/>
        <v>82197237</v>
      </c>
      <c r="D34" s="1644">
        <f t="shared" si="3"/>
        <v>108</v>
      </c>
      <c r="E34" s="1644">
        <f t="shared" si="3"/>
        <v>5.3</v>
      </c>
      <c r="F34" s="1643" t="str">
        <f t="shared" si="4"/>
        <v>2010/11 - 2011/12</v>
      </c>
      <c r="G34" s="632">
        <f t="shared" si="5"/>
        <v>-0.97770000000000001</v>
      </c>
      <c r="H34" s="1648"/>
      <c r="I34" s="1630"/>
      <c r="J34" s="1631"/>
      <c r="K34" s="1632"/>
      <c r="L34" s="593"/>
      <c r="M34" s="593"/>
      <c r="N34" s="593"/>
      <c r="O34" s="593"/>
      <c r="P34" s="593"/>
      <c r="Q34" s="296"/>
      <c r="R34" s="296"/>
      <c r="S34" s="296"/>
      <c r="T34" s="296"/>
      <c r="U34" s="296"/>
      <c r="V34" s="296"/>
    </row>
    <row r="35" spans="1:23" x14ac:dyDescent="0.25">
      <c r="A35" s="567"/>
      <c r="B35" s="585"/>
      <c r="C35" s="648"/>
      <c r="D35" s="743"/>
      <c r="E35" s="1355"/>
      <c r="F35" s="1652"/>
      <c r="G35" s="1653"/>
      <c r="H35" s="1654"/>
      <c r="I35" s="585"/>
      <c r="J35" s="567"/>
      <c r="K35" s="593"/>
      <c r="L35" s="593"/>
      <c r="M35" s="593"/>
      <c r="N35" s="593"/>
      <c r="O35" s="593"/>
      <c r="P35" s="296"/>
      <c r="Q35" s="296"/>
      <c r="R35" s="296"/>
      <c r="S35" s="296"/>
      <c r="T35" s="296"/>
      <c r="U35" s="296"/>
    </row>
    <row r="36" spans="1:23" x14ac:dyDescent="0.25">
      <c r="A36" s="1391"/>
      <c r="B36" s="1668"/>
      <c r="C36" s="1669"/>
      <c r="D36" s="1670"/>
      <c r="E36" s="1671"/>
      <c r="F36" s="1671"/>
      <c r="G36" s="1671"/>
      <c r="H36" s="1668"/>
      <c r="I36" s="1668"/>
      <c r="J36" s="1391"/>
      <c r="K36" s="1632"/>
      <c r="L36" s="1632"/>
      <c r="M36" s="1632"/>
      <c r="N36" s="1632"/>
      <c r="O36" s="1632"/>
      <c r="P36" s="1614"/>
      <c r="Q36" s="1614"/>
      <c r="R36" s="1614"/>
      <c r="S36" s="296"/>
      <c r="T36" s="296"/>
      <c r="U36" s="296"/>
    </row>
    <row r="37" spans="1:23" x14ac:dyDescent="0.25">
      <c r="A37" s="567"/>
      <c r="B37" s="1324"/>
      <c r="C37" s="1324" t="s">
        <v>634</v>
      </c>
      <c r="D37" s="1324" t="s">
        <v>512</v>
      </c>
      <c r="E37" s="1324" t="s">
        <v>735</v>
      </c>
      <c r="F37" s="1324"/>
      <c r="G37" s="1355" t="s">
        <v>159</v>
      </c>
      <c r="H37" s="1355"/>
      <c r="I37" s="585"/>
      <c r="J37" s="585"/>
      <c r="K37" s="567"/>
      <c r="L37" s="567"/>
      <c r="M37" s="567"/>
      <c r="N37" s="567"/>
      <c r="O37" s="567"/>
      <c r="P37" s="567"/>
      <c r="Q37" s="396"/>
      <c r="R37" s="396"/>
      <c r="S37" s="396"/>
      <c r="T37" s="259"/>
      <c r="U37" s="259"/>
      <c r="V37" s="259"/>
    </row>
    <row r="38" spans="1:23" x14ac:dyDescent="0.25">
      <c r="A38" s="567"/>
      <c r="B38" s="809" t="s">
        <v>68</v>
      </c>
      <c r="C38" s="809" t="s">
        <v>464</v>
      </c>
      <c r="D38" s="809" t="s">
        <v>464</v>
      </c>
      <c r="E38" s="809" t="s">
        <v>464</v>
      </c>
      <c r="F38" s="809"/>
      <c r="G38" s="1324"/>
      <c r="H38" s="809"/>
      <c r="I38" s="809"/>
      <c r="J38" s="1324"/>
      <c r="K38" s="1325"/>
      <c r="L38" s="1325"/>
      <c r="M38" s="1325"/>
      <c r="N38" s="1325"/>
      <c r="O38" s="1325"/>
      <c r="P38" s="1325"/>
      <c r="Q38" s="1325"/>
      <c r="R38" s="1325"/>
      <c r="S38" s="1325"/>
      <c r="T38" s="547"/>
      <c r="U38" s="259"/>
      <c r="V38" s="259"/>
      <c r="W38" s="296"/>
    </row>
    <row r="39" spans="1:23" x14ac:dyDescent="0.25">
      <c r="A39" s="567"/>
      <c r="B39" s="809" t="s">
        <v>69</v>
      </c>
      <c r="C39" s="809" t="s">
        <v>464</v>
      </c>
      <c r="D39" s="809" t="s">
        <v>464</v>
      </c>
      <c r="E39" s="809" t="s">
        <v>464</v>
      </c>
      <c r="F39" s="809" t="s">
        <v>719</v>
      </c>
      <c r="G39" s="809">
        <v>0.34405834405834401</v>
      </c>
      <c r="H39" s="809">
        <v>0.34405834405834401</v>
      </c>
      <c r="I39" s="809">
        <f>G39+1</f>
        <v>1.344058344058344</v>
      </c>
      <c r="J39" s="809">
        <f>H39+1</f>
        <v>1.344058344058344</v>
      </c>
      <c r="K39" s="809"/>
      <c r="L39" s="809"/>
      <c r="M39" s="809"/>
      <c r="N39" s="809"/>
      <c r="O39" s="809"/>
      <c r="P39" s="809"/>
      <c r="Q39" s="809"/>
      <c r="R39" s="547"/>
      <c r="S39" s="547"/>
      <c r="T39" s="547"/>
      <c r="U39" s="259"/>
      <c r="V39" s="259"/>
      <c r="W39" s="296"/>
    </row>
    <row r="40" spans="1:23" x14ac:dyDescent="0.25">
      <c r="A40" s="567"/>
      <c r="B40" s="809" t="s">
        <v>70</v>
      </c>
      <c r="C40" s="809" t="s">
        <v>464</v>
      </c>
      <c r="D40" s="809" t="s">
        <v>464</v>
      </c>
      <c r="E40" s="809" t="s">
        <v>464</v>
      </c>
      <c r="F40" s="809" t="s">
        <v>598</v>
      </c>
      <c r="G40" s="809">
        <v>4.0935368387547966E-2</v>
      </c>
      <c r="H40" s="809">
        <v>4.0935368387547966E-2</v>
      </c>
      <c r="I40" s="809">
        <f>I39*(G40+1)</f>
        <v>1.3990778675067299</v>
      </c>
      <c r="J40" s="809">
        <f>J39*(H40+1)</f>
        <v>1.3990778675067299</v>
      </c>
      <c r="K40" s="1526"/>
      <c r="L40" s="809"/>
      <c r="M40" s="809"/>
      <c r="N40" s="809"/>
      <c r="O40" s="809"/>
      <c r="P40" s="809"/>
      <c r="Q40" s="809"/>
      <c r="R40" s="547"/>
      <c r="S40" s="547"/>
      <c r="T40" s="547"/>
      <c r="U40" s="259"/>
      <c r="V40" s="259"/>
      <c r="W40" s="296"/>
    </row>
    <row r="41" spans="1:23" x14ac:dyDescent="0.25">
      <c r="A41" s="567"/>
      <c r="B41" s="567" t="s">
        <v>71</v>
      </c>
      <c r="C41" s="809" t="s">
        <v>464</v>
      </c>
      <c r="D41" s="809" t="s">
        <v>464</v>
      </c>
      <c r="E41" s="809" t="s">
        <v>464</v>
      </c>
      <c r="F41" s="809" t="s">
        <v>720</v>
      </c>
      <c r="G41" s="809">
        <v>3.2835420218831679E-2</v>
      </c>
      <c r="H41" s="809">
        <v>3.2835420218831679E-2</v>
      </c>
      <c r="I41" s="809">
        <f t="shared" ref="I41:J51" si="6">I40*(G41+1)</f>
        <v>1.4450171772051803</v>
      </c>
      <c r="J41" s="809">
        <f t="shared" si="6"/>
        <v>1.4450171772051803</v>
      </c>
      <c r="K41" s="1526"/>
      <c r="L41" s="809"/>
      <c r="M41" s="809"/>
      <c r="N41" s="809"/>
      <c r="O41" s="809"/>
      <c r="P41" s="809"/>
      <c r="Q41" s="809"/>
      <c r="R41" s="547"/>
      <c r="S41" s="547"/>
      <c r="T41" s="547"/>
      <c r="U41" s="259"/>
      <c r="V41" s="259"/>
      <c r="W41" s="296"/>
    </row>
    <row r="42" spans="1:23" ht="23.25" customHeight="1" x14ac:dyDescent="0.25">
      <c r="A42" s="567"/>
      <c r="B42" s="809" t="s">
        <v>72</v>
      </c>
      <c r="C42" s="809" t="s">
        <v>464</v>
      </c>
      <c r="D42" s="809" t="s">
        <v>464</v>
      </c>
      <c r="E42" s="809" t="s">
        <v>464</v>
      </c>
      <c r="F42" s="809" t="s">
        <v>721</v>
      </c>
      <c r="G42" s="809">
        <v>5.1046557468587217E-2</v>
      </c>
      <c r="H42" s="809">
        <v>5.1046557468587217E-2</v>
      </c>
      <c r="I42" s="809">
        <f t="shared" si="6"/>
        <v>1.5187803295844802</v>
      </c>
      <c r="J42" s="809">
        <f t="shared" si="6"/>
        <v>1.5187803295844802</v>
      </c>
      <c r="K42" s="567"/>
      <c r="L42" s="567"/>
      <c r="M42" s="567"/>
      <c r="N42" s="567"/>
      <c r="O42" s="567"/>
      <c r="P42" s="567"/>
      <c r="Q42" s="567"/>
      <c r="R42" s="396"/>
      <c r="S42" s="396"/>
      <c r="T42" s="396"/>
      <c r="U42" s="259"/>
      <c r="V42" s="259"/>
      <c r="W42" s="296"/>
    </row>
    <row r="43" spans="1:23" ht="23.25" customHeight="1" x14ac:dyDescent="0.25">
      <c r="A43" s="567"/>
      <c r="B43" s="809" t="s">
        <v>73</v>
      </c>
      <c r="C43" s="809" t="s">
        <v>464</v>
      </c>
      <c r="D43" s="809" t="s">
        <v>464</v>
      </c>
      <c r="E43" s="809" t="s">
        <v>464</v>
      </c>
      <c r="F43" s="809" t="s">
        <v>601</v>
      </c>
      <c r="G43" s="809">
        <v>5.2455408262192416E-2</v>
      </c>
      <c r="H43" s="809">
        <v>5.2455408262192416E-2</v>
      </c>
      <c r="I43" s="809">
        <f t="shared" si="6"/>
        <v>1.5984485718334212</v>
      </c>
      <c r="J43" s="809">
        <f t="shared" si="6"/>
        <v>1.5984485718334212</v>
      </c>
      <c r="K43" s="567"/>
      <c r="L43" s="567"/>
      <c r="M43" s="567"/>
      <c r="N43" s="567"/>
      <c r="O43" s="567"/>
      <c r="P43" s="567"/>
      <c r="Q43" s="567"/>
      <c r="R43" s="396"/>
      <c r="S43" s="396"/>
      <c r="T43" s="396"/>
      <c r="U43" s="259"/>
      <c r="V43" s="259"/>
      <c r="W43" s="296"/>
    </row>
    <row r="44" spans="1:23" x14ac:dyDescent="0.25">
      <c r="A44" s="567"/>
      <c r="B44" s="1324" t="s">
        <v>74</v>
      </c>
      <c r="C44" s="809">
        <v>52724302</v>
      </c>
      <c r="D44" s="809">
        <v>106</v>
      </c>
      <c r="E44" s="809">
        <v>7.4</v>
      </c>
      <c r="F44" s="809" t="s">
        <v>606</v>
      </c>
      <c r="G44" s="809">
        <v>0.10142546919528872</v>
      </c>
      <c r="H44" s="809">
        <v>0.10142546919528872</v>
      </c>
      <c r="I44" s="809">
        <f t="shared" si="6"/>
        <v>1.7605719682161651</v>
      </c>
      <c r="J44" s="809">
        <f t="shared" si="6"/>
        <v>1.7605719682161651</v>
      </c>
      <c r="K44" s="567"/>
      <c r="L44" s="567"/>
      <c r="M44" s="567"/>
      <c r="N44" s="567"/>
      <c r="O44" s="567"/>
      <c r="P44" s="567"/>
      <c r="Q44" s="567"/>
      <c r="R44" s="396"/>
      <c r="S44" s="396"/>
      <c r="T44" s="396"/>
      <c r="U44" s="259"/>
      <c r="V44" s="259"/>
      <c r="W44" s="296"/>
    </row>
    <row r="45" spans="1:23" x14ac:dyDescent="0.25">
      <c r="A45" s="567"/>
      <c r="B45" s="1324" t="s">
        <v>75</v>
      </c>
      <c r="C45" s="809">
        <v>60541477</v>
      </c>
      <c r="D45" s="809">
        <v>103</v>
      </c>
      <c r="E45" s="809">
        <v>6.5</v>
      </c>
      <c r="F45" s="809" t="s">
        <v>722</v>
      </c>
      <c r="G45" s="809">
        <v>9.8719895811427483E-2</v>
      </c>
      <c r="H45" s="809">
        <v>9.8719895811427483E-2</v>
      </c>
      <c r="I45" s="809">
        <f t="shared" si="6"/>
        <v>1.9343754494869847</v>
      </c>
      <c r="J45" s="809">
        <f t="shared" si="6"/>
        <v>1.9343754494869847</v>
      </c>
      <c r="K45" s="567"/>
      <c r="L45" s="567"/>
      <c r="M45" s="567"/>
      <c r="N45" s="567"/>
      <c r="O45" s="567"/>
      <c r="P45" s="567"/>
      <c r="Q45" s="567"/>
      <c r="R45" s="396"/>
      <c r="S45" s="396"/>
      <c r="T45" s="396"/>
      <c r="U45" s="259"/>
      <c r="V45" s="259"/>
      <c r="W45" s="296"/>
    </row>
    <row r="46" spans="1:23" x14ac:dyDescent="0.25">
      <c r="A46" s="949"/>
      <c r="B46" s="1324" t="s">
        <v>76</v>
      </c>
      <c r="C46" s="809">
        <v>63453507</v>
      </c>
      <c r="D46" s="809">
        <v>93</v>
      </c>
      <c r="E46" s="809">
        <v>5.9</v>
      </c>
      <c r="F46" s="809" t="s">
        <v>723</v>
      </c>
      <c r="G46" s="809">
        <v>-6.8552823741646063E-2</v>
      </c>
      <c r="H46" s="809">
        <v>-6.8552823741646063E-2</v>
      </c>
      <c r="I46" s="809">
        <f t="shared" si="6"/>
        <v>1.801768550248136</v>
      </c>
      <c r="J46" s="809">
        <f t="shared" si="6"/>
        <v>1.801768550248136</v>
      </c>
      <c r="K46" s="567"/>
      <c r="L46" s="567"/>
      <c r="M46" s="567"/>
      <c r="N46" s="567"/>
      <c r="O46" s="567"/>
      <c r="P46" s="567"/>
      <c r="Q46" s="567"/>
      <c r="R46" s="396"/>
      <c r="S46" s="396"/>
      <c r="T46" s="396"/>
      <c r="U46" s="259"/>
      <c r="V46" s="259"/>
      <c r="W46" s="296"/>
    </row>
    <row r="47" spans="1:23" x14ac:dyDescent="0.25">
      <c r="A47" s="809"/>
      <c r="B47" s="1324" t="s">
        <v>4</v>
      </c>
      <c r="C47" s="809">
        <v>69678564</v>
      </c>
      <c r="D47" s="809">
        <v>94</v>
      </c>
      <c r="E47" s="809">
        <v>5.3</v>
      </c>
      <c r="F47" s="809" t="s">
        <v>724</v>
      </c>
      <c r="G47" s="809">
        <v>8.1592493501527752E-2</v>
      </c>
      <c r="H47" s="809">
        <v>8.1592493501527752E-2</v>
      </c>
      <c r="I47" s="809">
        <f t="shared" si="6"/>
        <v>1.9487793389755141</v>
      </c>
      <c r="J47" s="809">
        <f t="shared" si="6"/>
        <v>1.9487793389755141</v>
      </c>
      <c r="K47" s="567"/>
      <c r="L47" s="567"/>
      <c r="M47" s="567"/>
      <c r="N47" s="567"/>
      <c r="O47" s="567"/>
      <c r="P47" s="567"/>
      <c r="Q47" s="567"/>
      <c r="R47" s="396"/>
      <c r="S47" s="396"/>
      <c r="T47" s="396"/>
      <c r="U47" s="259"/>
      <c r="V47" s="259"/>
      <c r="W47" s="296"/>
    </row>
    <row r="48" spans="1:23" x14ac:dyDescent="0.25">
      <c r="A48" s="809"/>
      <c r="B48" s="1325" t="s">
        <v>5</v>
      </c>
      <c r="C48" s="809">
        <v>74421017</v>
      </c>
      <c r="D48" s="809">
        <v>98</v>
      </c>
      <c r="E48" s="809">
        <v>4.8</v>
      </c>
      <c r="F48" s="809" t="s">
        <v>610</v>
      </c>
      <c r="G48" s="809">
        <v>7.2870800000000013E-2</v>
      </c>
      <c r="H48" s="809">
        <v>7.2870800000000013E-2</v>
      </c>
      <c r="I48" s="809">
        <f t="shared" si="6"/>
        <v>2.0907884484301311</v>
      </c>
      <c r="J48" s="809">
        <f t="shared" si="6"/>
        <v>2.0907884484301311</v>
      </c>
      <c r="K48" s="567"/>
      <c r="L48" s="567"/>
      <c r="M48" s="567"/>
      <c r="N48" s="567"/>
      <c r="O48" s="567"/>
      <c r="P48" s="567"/>
      <c r="Q48" s="567"/>
      <c r="R48" s="396"/>
      <c r="S48" s="396"/>
      <c r="T48" s="396"/>
      <c r="U48" s="259"/>
      <c r="V48" s="259"/>
      <c r="W48" s="296"/>
    </row>
    <row r="49" spans="1:23" x14ac:dyDescent="0.25">
      <c r="A49" s="809"/>
      <c r="B49" s="1325" t="s">
        <v>6</v>
      </c>
      <c r="C49" s="809">
        <v>76761100</v>
      </c>
      <c r="D49" s="809">
        <v>99</v>
      </c>
      <c r="E49" s="809">
        <v>5.0999999999999996</v>
      </c>
      <c r="F49" s="809" t="s">
        <v>725</v>
      </c>
      <c r="G49" s="809">
        <v>9.7930199999999967E-2</v>
      </c>
      <c r="H49" s="809">
        <v>9.7930199999999967E-2</v>
      </c>
      <c r="I49" s="809">
        <f t="shared" si="6"/>
        <v>2.2955397793425836</v>
      </c>
      <c r="J49" s="809">
        <f t="shared" si="6"/>
        <v>2.2955397793425836</v>
      </c>
      <c r="K49" s="567"/>
      <c r="L49" s="567"/>
      <c r="M49" s="567"/>
      <c r="N49" s="567"/>
      <c r="O49" s="567"/>
      <c r="P49" s="567"/>
      <c r="Q49" s="567"/>
      <c r="R49" s="396"/>
      <c r="S49" s="396"/>
      <c r="T49" s="396"/>
      <c r="U49" s="259"/>
      <c r="V49" s="259"/>
      <c r="W49" s="296"/>
    </row>
    <row r="50" spans="1:23" x14ac:dyDescent="0.25">
      <c r="A50" s="809"/>
      <c r="B50" s="1325" t="s">
        <v>7</v>
      </c>
      <c r="C50" s="809">
        <v>80404193</v>
      </c>
      <c r="D50" s="809">
        <v>105</v>
      </c>
      <c r="E50" s="809">
        <v>5.3</v>
      </c>
      <c r="F50" s="809" t="s">
        <v>612</v>
      </c>
      <c r="G50" s="809">
        <v>2.2731999999999974E-2</v>
      </c>
      <c r="H50" s="809">
        <v>2.2731999999999974E-2</v>
      </c>
      <c r="I50" s="809">
        <f t="shared" si="6"/>
        <v>2.3477219896065993</v>
      </c>
      <c r="J50" s="809">
        <f t="shared" si="6"/>
        <v>2.3477219896065993</v>
      </c>
      <c r="K50" s="567"/>
      <c r="L50" s="567"/>
      <c r="M50" s="567"/>
      <c r="N50" s="567"/>
      <c r="O50" s="567"/>
      <c r="P50" s="567"/>
      <c r="Q50" s="567"/>
      <c r="R50" s="396"/>
      <c r="S50" s="396"/>
      <c r="T50" s="396"/>
      <c r="U50" s="259"/>
      <c r="V50" s="259"/>
      <c r="W50" s="296"/>
    </row>
    <row r="51" spans="1:23" x14ac:dyDescent="0.25">
      <c r="A51" s="809"/>
      <c r="B51" s="1325" t="s">
        <v>489</v>
      </c>
      <c r="C51" s="678">
        <v>82197237</v>
      </c>
      <c r="D51" s="809">
        <v>108</v>
      </c>
      <c r="E51" s="809">
        <v>5.3</v>
      </c>
      <c r="F51" s="809" t="s">
        <v>726</v>
      </c>
      <c r="G51" s="809">
        <v>2.23E-2</v>
      </c>
      <c r="H51" s="809">
        <v>2.23E-2</v>
      </c>
      <c r="I51" s="809">
        <f t="shared" si="6"/>
        <v>2.4000761899748264</v>
      </c>
      <c r="J51" s="809">
        <f t="shared" si="6"/>
        <v>2.4000761899748264</v>
      </c>
      <c r="K51" s="567"/>
      <c r="L51" s="567"/>
      <c r="M51" s="567"/>
      <c r="N51" s="567"/>
      <c r="O51" s="567"/>
      <c r="P51" s="567"/>
      <c r="Q51" s="567"/>
      <c r="R51" s="396"/>
      <c r="S51" s="396"/>
      <c r="T51" s="396"/>
      <c r="U51" s="259"/>
      <c r="V51" s="259"/>
      <c r="W51" s="296"/>
    </row>
    <row r="52" spans="1:23" x14ac:dyDescent="0.25">
      <c r="A52" s="809"/>
      <c r="B52" s="1325"/>
      <c r="C52" s="567"/>
      <c r="D52" s="567"/>
      <c r="E52" s="567"/>
      <c r="F52" s="809"/>
      <c r="G52" s="809"/>
      <c r="H52" s="809"/>
      <c r="I52" s="809"/>
      <c r="J52" s="567"/>
      <c r="K52" s="567"/>
      <c r="L52" s="567"/>
      <c r="M52" s="567"/>
      <c r="N52" s="567"/>
      <c r="O52" s="567"/>
      <c r="P52" s="567"/>
      <c r="Q52" s="567"/>
      <c r="R52" s="396"/>
      <c r="S52" s="396"/>
      <c r="T52" s="396"/>
      <c r="U52" s="259"/>
      <c r="V52" s="259"/>
      <c r="W52" s="296"/>
    </row>
    <row r="53" spans="1:23" ht="23.25" customHeight="1" x14ac:dyDescent="0.25">
      <c r="A53" s="809"/>
      <c r="B53" s="1325"/>
      <c r="C53" s="567"/>
      <c r="D53" s="567"/>
      <c r="E53" s="1326"/>
      <c r="F53" s="809"/>
      <c r="G53" s="809"/>
      <c r="H53" s="809"/>
      <c r="I53" s="567"/>
      <c r="J53" s="567"/>
      <c r="K53" s="567"/>
      <c r="L53" s="567"/>
      <c r="M53" s="567"/>
      <c r="N53" s="567"/>
      <c r="O53" s="567"/>
      <c r="P53" s="567"/>
      <c r="Q53" s="396"/>
      <c r="R53" s="396"/>
      <c r="S53" s="396"/>
      <c r="T53" s="259"/>
      <c r="U53" s="259"/>
      <c r="V53" s="259"/>
    </row>
    <row r="54" spans="1:23" x14ac:dyDescent="0.25">
      <c r="A54" s="809"/>
      <c r="B54" s="1325"/>
      <c r="C54" s="1655"/>
      <c r="D54" s="1655"/>
      <c r="E54" s="1326"/>
      <c r="F54" s="1326"/>
      <c r="G54" s="1326"/>
      <c r="H54" s="567"/>
      <c r="I54" s="567"/>
      <c r="J54" s="567"/>
      <c r="K54" s="567"/>
      <c r="L54" s="567"/>
      <c r="M54" s="567"/>
      <c r="N54" s="396"/>
      <c r="O54" s="396"/>
      <c r="P54" s="396"/>
      <c r="Q54" s="396"/>
      <c r="R54" s="396"/>
      <c r="S54" s="259"/>
      <c r="T54" s="259"/>
      <c r="U54" s="259"/>
      <c r="V54" s="259"/>
    </row>
    <row r="55" spans="1:23" x14ac:dyDescent="0.25">
      <c r="A55" s="809"/>
      <c r="B55" s="1325"/>
      <c r="C55" s="567"/>
      <c r="D55" s="396"/>
      <c r="E55" s="1655"/>
      <c r="F55" s="1326"/>
      <c r="G55" s="1326"/>
      <c r="H55" s="567"/>
      <c r="I55" s="567"/>
      <c r="J55" s="567"/>
      <c r="K55" s="567"/>
      <c r="L55" s="567"/>
      <c r="M55" s="567"/>
      <c r="N55" s="396"/>
      <c r="O55" s="396"/>
      <c r="P55" s="396"/>
      <c r="Q55" s="396"/>
      <c r="R55" s="396"/>
      <c r="S55" s="259"/>
      <c r="T55" s="259"/>
      <c r="U55" s="259"/>
      <c r="V55" s="259"/>
    </row>
    <row r="56" spans="1:23" x14ac:dyDescent="0.25">
      <c r="A56" s="809"/>
      <c r="B56" s="1325"/>
      <c r="C56" s="396"/>
      <c r="D56" s="396" t="s">
        <v>736</v>
      </c>
      <c r="E56" s="1326"/>
      <c r="F56" s="1655"/>
      <c r="G56" s="1655"/>
      <c r="H56" s="1655"/>
      <c r="I56" s="1655"/>
      <c r="J56" s="567"/>
      <c r="K56" s="567"/>
      <c r="L56" s="567"/>
      <c r="M56" s="567"/>
      <c r="N56" s="396"/>
      <c r="O56" s="396"/>
      <c r="P56" s="396"/>
      <c r="Q56" s="396"/>
      <c r="R56" s="396"/>
      <c r="S56" s="259"/>
      <c r="T56" s="259"/>
      <c r="U56" s="259"/>
      <c r="V56" s="259"/>
    </row>
    <row r="57" spans="1:23" x14ac:dyDescent="0.25">
      <c r="A57" s="567"/>
      <c r="B57" s="882">
        <v>52724302</v>
      </c>
      <c r="C57" s="882">
        <v>60541477</v>
      </c>
      <c r="D57" s="882">
        <v>63453507</v>
      </c>
      <c r="E57" s="1326">
        <v>69678564</v>
      </c>
      <c r="F57" s="882">
        <v>74421017</v>
      </c>
      <c r="G57" s="882">
        <v>76761100</v>
      </c>
      <c r="H57" s="882">
        <v>80404193</v>
      </c>
      <c r="I57" s="882">
        <v>82197237</v>
      </c>
      <c r="J57" s="567"/>
      <c r="K57" s="567"/>
      <c r="L57" s="567"/>
      <c r="M57" s="567"/>
      <c r="N57" s="396"/>
      <c r="O57" s="396"/>
      <c r="P57" s="396"/>
      <c r="Q57" s="396"/>
      <c r="R57" s="396"/>
      <c r="S57" s="259"/>
      <c r="T57" s="259"/>
      <c r="U57" s="259"/>
      <c r="V57" s="259"/>
    </row>
    <row r="58" spans="1:23" x14ac:dyDescent="0.25">
      <c r="A58" s="567"/>
      <c r="B58" s="567"/>
      <c r="C58" s="567"/>
      <c r="D58" s="567"/>
      <c r="E58" s="1326"/>
      <c r="F58" s="567"/>
      <c r="G58" s="567"/>
      <c r="H58" s="567"/>
      <c r="I58" s="567"/>
      <c r="J58" s="567"/>
      <c r="K58" s="567"/>
      <c r="L58" s="567"/>
      <c r="M58" s="567"/>
      <c r="N58" s="396"/>
      <c r="O58" s="396"/>
      <c r="P58" s="396"/>
      <c r="Q58" s="396"/>
      <c r="R58" s="396"/>
      <c r="S58" s="259"/>
      <c r="T58" s="259"/>
      <c r="U58" s="259"/>
      <c r="V58" s="259"/>
    </row>
    <row r="59" spans="1:23" x14ac:dyDescent="0.25">
      <c r="A59" s="567"/>
      <c r="B59" s="567"/>
      <c r="C59" s="567"/>
      <c r="D59" s="567"/>
      <c r="E59" s="1326"/>
      <c r="F59" s="567"/>
      <c r="G59" s="567"/>
      <c r="H59" s="567"/>
      <c r="I59" s="567"/>
      <c r="J59" s="567"/>
      <c r="K59" s="567"/>
      <c r="L59" s="567"/>
      <c r="M59" s="567"/>
      <c r="N59" s="396"/>
      <c r="O59" s="396"/>
      <c r="P59" s="396"/>
      <c r="Q59" s="396"/>
      <c r="R59" s="396"/>
      <c r="S59" s="259"/>
      <c r="T59" s="259"/>
      <c r="U59" s="259"/>
      <c r="V59" s="259"/>
    </row>
    <row r="60" spans="1:23" x14ac:dyDescent="0.25">
      <c r="A60" s="567"/>
      <c r="B60" s="567" t="s">
        <v>732</v>
      </c>
      <c r="C60" s="567" t="s">
        <v>733</v>
      </c>
      <c r="D60" s="567"/>
      <c r="E60" s="1326"/>
      <c r="F60" s="567"/>
      <c r="G60" s="567"/>
      <c r="H60" s="567"/>
      <c r="I60" s="567"/>
      <c r="J60" s="567"/>
      <c r="K60" s="567"/>
      <c r="L60" s="567"/>
      <c r="M60" s="567"/>
      <c r="N60" s="396"/>
      <c r="O60" s="396"/>
      <c r="P60" s="396"/>
      <c r="Q60" s="396"/>
      <c r="R60" s="396"/>
      <c r="S60" s="259"/>
      <c r="T60" s="259"/>
      <c r="U60" s="259"/>
      <c r="V60" s="259"/>
    </row>
    <row r="61" spans="1:23" x14ac:dyDescent="0.25">
      <c r="A61" s="567"/>
      <c r="B61" s="567" t="s">
        <v>346</v>
      </c>
      <c r="C61" s="567"/>
      <c r="D61" s="567"/>
      <c r="E61" s="1326"/>
      <c r="F61" s="567"/>
      <c r="G61" s="567"/>
      <c r="H61" s="567"/>
      <c r="I61" s="567"/>
      <c r="J61" s="567"/>
      <c r="K61" s="567"/>
      <c r="L61" s="567"/>
      <c r="M61" s="567"/>
      <c r="N61" s="396"/>
      <c r="O61" s="396"/>
      <c r="P61" s="396"/>
      <c r="Q61" s="396"/>
      <c r="R61" s="396"/>
      <c r="S61" s="259"/>
      <c r="T61" s="259"/>
      <c r="U61" s="259"/>
      <c r="V61" s="259"/>
    </row>
    <row r="62" spans="1:23" x14ac:dyDescent="0.25">
      <c r="A62" s="567"/>
      <c r="B62" s="882">
        <v>52724302</v>
      </c>
      <c r="C62" s="882">
        <v>60541477</v>
      </c>
      <c r="D62" s="882">
        <v>63453507</v>
      </c>
      <c r="E62" s="1326">
        <v>69678564</v>
      </c>
      <c r="F62" s="882">
        <v>74421017</v>
      </c>
      <c r="G62" s="882">
        <v>76761100</v>
      </c>
      <c r="H62" s="882">
        <v>81263904</v>
      </c>
      <c r="I62" s="882">
        <v>75863819</v>
      </c>
      <c r="J62" s="567"/>
      <c r="K62" s="567"/>
      <c r="L62" s="567"/>
      <c r="M62" s="567"/>
      <c r="N62" s="396"/>
      <c r="O62" s="396"/>
      <c r="P62" s="396"/>
      <c r="Q62" s="396"/>
      <c r="R62" s="396"/>
      <c r="S62" s="259"/>
      <c r="T62" s="259"/>
      <c r="U62" s="259"/>
      <c r="V62" s="259"/>
    </row>
    <row r="63" spans="1:23" x14ac:dyDescent="0.25">
      <c r="A63" s="396"/>
      <c r="B63" s="567" t="s">
        <v>732</v>
      </c>
      <c r="C63" s="567" t="s">
        <v>733</v>
      </c>
      <c r="D63" s="567"/>
      <c r="E63" s="567"/>
      <c r="F63" s="567"/>
      <c r="G63" s="567"/>
      <c r="H63" s="567"/>
      <c r="I63" s="567"/>
      <c r="J63" s="567"/>
      <c r="K63" s="567"/>
      <c r="L63" s="567"/>
      <c r="M63" s="567"/>
      <c r="N63" s="396"/>
      <c r="O63" s="396"/>
      <c r="P63" s="396"/>
      <c r="Q63" s="396"/>
      <c r="R63" s="396"/>
      <c r="S63" s="259"/>
      <c r="T63" s="259"/>
      <c r="U63" s="259"/>
      <c r="V63" s="259"/>
    </row>
    <row r="64" spans="1:23" ht="23.25" customHeight="1" x14ac:dyDescent="0.25">
      <c r="A64" s="396"/>
      <c r="B64" s="567" t="s">
        <v>346</v>
      </c>
      <c r="C64" s="567" t="s">
        <v>734</v>
      </c>
      <c r="D64" s="567"/>
      <c r="E64" s="567"/>
      <c r="F64" s="567"/>
      <c r="G64" s="567"/>
      <c r="H64" s="567"/>
      <c r="I64" s="567"/>
      <c r="J64" s="567"/>
      <c r="K64" s="567"/>
      <c r="L64" s="567"/>
      <c r="M64" s="567"/>
      <c r="N64" s="396"/>
      <c r="O64" s="396"/>
      <c r="P64" s="396"/>
      <c r="Q64" s="396"/>
      <c r="R64" s="396"/>
      <c r="S64" s="259"/>
      <c r="T64" s="259"/>
      <c r="U64" s="259"/>
      <c r="V64" s="259"/>
    </row>
    <row r="65" spans="1:22" x14ac:dyDescent="0.25">
      <c r="A65" s="396"/>
      <c r="B65" s="882">
        <v>80404193</v>
      </c>
      <c r="C65" s="882">
        <v>82197237</v>
      </c>
      <c r="D65" s="567"/>
      <c r="E65" s="567"/>
      <c r="F65" s="567"/>
      <c r="G65" s="567"/>
      <c r="H65" s="567"/>
      <c r="I65" s="567"/>
      <c r="J65" s="567"/>
      <c r="K65" s="567"/>
      <c r="L65" s="567"/>
      <c r="M65" s="567"/>
      <c r="N65" s="396"/>
      <c r="O65" s="396"/>
      <c r="P65" s="396"/>
      <c r="Q65" s="396"/>
      <c r="R65" s="396"/>
      <c r="S65" s="259"/>
      <c r="T65" s="259"/>
      <c r="U65" s="259"/>
      <c r="V65" s="259"/>
    </row>
    <row r="66" spans="1:22" x14ac:dyDescent="0.25">
      <c r="A66" s="396"/>
      <c r="B66" s="567"/>
      <c r="C66" s="567"/>
      <c r="D66" s="567"/>
      <c r="E66" s="567"/>
      <c r="F66" s="567"/>
      <c r="G66" s="567"/>
      <c r="H66" s="567"/>
      <c r="I66" s="396"/>
      <c r="J66" s="396"/>
      <c r="K66" s="396"/>
      <c r="L66" s="396"/>
      <c r="M66" s="396"/>
      <c r="N66" s="396"/>
      <c r="O66" s="396"/>
      <c r="P66" s="396"/>
      <c r="Q66" s="396"/>
      <c r="R66" s="396"/>
      <c r="S66" s="259"/>
      <c r="T66" s="259"/>
      <c r="U66" s="259"/>
      <c r="V66" s="259"/>
    </row>
    <row r="67" spans="1:22" x14ac:dyDescent="0.25">
      <c r="A67" s="396"/>
      <c r="B67" s="567">
        <v>106</v>
      </c>
      <c r="C67" s="567">
        <v>103</v>
      </c>
      <c r="D67" s="567">
        <v>93</v>
      </c>
      <c r="E67" s="567">
        <v>94</v>
      </c>
      <c r="F67" s="567">
        <v>98</v>
      </c>
      <c r="G67" s="567">
        <v>99</v>
      </c>
      <c r="H67" s="567">
        <v>105</v>
      </c>
      <c r="I67" s="396">
        <v>108</v>
      </c>
      <c r="J67" s="396"/>
      <c r="K67" s="396"/>
      <c r="L67" s="396"/>
      <c r="M67" s="396"/>
      <c r="N67" s="396"/>
      <c r="O67" s="396"/>
      <c r="P67" s="396"/>
      <c r="Q67" s="396"/>
      <c r="R67" s="396"/>
      <c r="S67" s="259"/>
      <c r="T67" s="259"/>
      <c r="U67" s="259"/>
      <c r="V67" s="259"/>
    </row>
    <row r="68" spans="1:22" x14ac:dyDescent="0.25">
      <c r="A68" s="396"/>
      <c r="B68" s="1413">
        <v>0.34405834405834401</v>
      </c>
      <c r="C68" s="1413">
        <v>4.0935368387547966E-2</v>
      </c>
      <c r="D68" s="1417">
        <v>3.2835420218831679E-2</v>
      </c>
      <c r="E68" s="1413">
        <v>5.1046557468587217E-2</v>
      </c>
      <c r="F68" s="1413">
        <v>5.2455408262192416E-2</v>
      </c>
      <c r="G68" s="1417">
        <v>0.10142546919528872</v>
      </c>
      <c r="H68" s="1413">
        <v>9.8719895811427483E-2</v>
      </c>
      <c r="I68" s="1417">
        <v>-6.8552823741646063E-2</v>
      </c>
      <c r="J68" s="1413">
        <v>8.1592493501527752E-2</v>
      </c>
      <c r="K68" s="1413">
        <v>7.2870800000000013E-2</v>
      </c>
      <c r="L68" s="1413">
        <v>9.7930199999999967E-2</v>
      </c>
      <c r="M68" s="1413">
        <v>2.2731999999999974E-2</v>
      </c>
      <c r="N68" s="1413">
        <v>2.23E-2</v>
      </c>
      <c r="O68" s="396"/>
      <c r="P68" s="396"/>
      <c r="Q68" s="396"/>
      <c r="R68" s="396"/>
      <c r="S68" s="259"/>
      <c r="T68" s="259"/>
      <c r="U68" s="259"/>
      <c r="V68" s="259"/>
    </row>
    <row r="69" spans="1:22" x14ac:dyDescent="0.25">
      <c r="A69" s="396"/>
      <c r="B69" s="567">
        <v>7.4</v>
      </c>
      <c r="C69" s="567">
        <v>6.5</v>
      </c>
      <c r="D69" s="567">
        <v>5.9</v>
      </c>
      <c r="E69" s="567">
        <v>3.4</v>
      </c>
      <c r="F69" s="567">
        <v>3.1</v>
      </c>
      <c r="G69" s="567">
        <v>3.4</v>
      </c>
      <c r="H69" s="567"/>
      <c r="I69" s="396"/>
      <c r="J69" s="396"/>
      <c r="K69" s="396"/>
      <c r="L69" s="396"/>
      <c r="M69" s="396"/>
      <c r="N69" s="396"/>
      <c r="O69" s="396"/>
      <c r="P69" s="396"/>
      <c r="Q69" s="396"/>
      <c r="R69" s="396"/>
      <c r="S69" s="259"/>
      <c r="T69" s="259"/>
      <c r="U69" s="259"/>
      <c r="V69" s="259"/>
    </row>
    <row r="70" spans="1:22" x14ac:dyDescent="0.25">
      <c r="A70" s="396"/>
      <c r="B70" s="567"/>
      <c r="C70" s="567"/>
      <c r="D70" s="567"/>
      <c r="E70" s="567"/>
      <c r="F70" s="567"/>
      <c r="G70" s="567"/>
      <c r="H70" s="567"/>
      <c r="I70" s="396"/>
      <c r="J70" s="396"/>
      <c r="K70" s="396"/>
      <c r="L70" s="396"/>
      <c r="M70" s="396"/>
      <c r="N70" s="396"/>
      <c r="O70" s="396"/>
      <c r="P70" s="396"/>
      <c r="Q70" s="396"/>
      <c r="R70" s="396"/>
      <c r="S70" s="259"/>
      <c r="T70" s="259"/>
      <c r="U70" s="259"/>
      <c r="V70" s="259"/>
    </row>
    <row r="71" spans="1:22" x14ac:dyDescent="0.25">
      <c r="A71" s="396"/>
      <c r="B71" s="567"/>
      <c r="C71" s="567"/>
      <c r="D71" s="567"/>
      <c r="E71" s="567"/>
      <c r="F71" s="567"/>
      <c r="G71" s="567"/>
      <c r="H71" s="567"/>
      <c r="I71" s="396"/>
      <c r="J71" s="396"/>
      <c r="K71" s="396"/>
      <c r="L71" s="396"/>
      <c r="M71" s="396"/>
      <c r="N71" s="396"/>
      <c r="O71" s="396"/>
      <c r="P71" s="396"/>
      <c r="Q71" s="396"/>
      <c r="R71" s="396"/>
      <c r="S71" s="259"/>
      <c r="T71" s="259"/>
      <c r="U71" s="259"/>
      <c r="V71" s="259"/>
    </row>
    <row r="72" spans="1:22" x14ac:dyDescent="0.25">
      <c r="A72" s="396"/>
      <c r="B72" s="567"/>
      <c r="C72" s="567"/>
      <c r="D72" s="567"/>
      <c r="E72" s="567"/>
      <c r="F72" s="567"/>
      <c r="G72" s="567"/>
      <c r="H72" s="567"/>
      <c r="I72" s="396"/>
      <c r="J72" s="396"/>
      <c r="K72" s="396"/>
      <c r="L72" s="396"/>
      <c r="M72" s="396"/>
      <c r="N72" s="396"/>
      <c r="O72" s="396"/>
      <c r="P72" s="396"/>
      <c r="Q72" s="396"/>
      <c r="R72" s="396"/>
      <c r="S72" s="259"/>
      <c r="T72" s="259"/>
      <c r="U72" s="259"/>
      <c r="V72" s="259"/>
    </row>
    <row r="73" spans="1:22" x14ac:dyDescent="0.25">
      <c r="A73" s="396"/>
      <c r="B73" s="567"/>
      <c r="C73" s="567"/>
      <c r="D73" s="567"/>
      <c r="E73" s="567"/>
      <c r="F73" s="567"/>
      <c r="G73" s="567"/>
      <c r="H73" s="567"/>
      <c r="I73" s="396"/>
      <c r="J73" s="396"/>
      <c r="K73" s="396"/>
      <c r="L73" s="396"/>
      <c r="M73" s="396"/>
      <c r="N73" s="396"/>
      <c r="O73" s="396"/>
      <c r="P73" s="396"/>
      <c r="Q73" s="396"/>
      <c r="R73" s="396"/>
      <c r="S73" s="259"/>
      <c r="T73" s="259"/>
      <c r="U73" s="259"/>
      <c r="V73" s="259"/>
    </row>
    <row r="74" spans="1:22" ht="23.25" customHeight="1" x14ac:dyDescent="0.25">
      <c r="A74" s="396"/>
      <c r="B74" s="567"/>
      <c r="C74" s="567"/>
      <c r="D74" s="567"/>
      <c r="E74" s="567"/>
      <c r="F74" s="567"/>
      <c r="G74" s="567"/>
      <c r="H74" s="567"/>
      <c r="I74" s="396"/>
      <c r="J74" s="396"/>
      <c r="K74" s="396"/>
      <c r="L74" s="396"/>
      <c r="M74" s="396"/>
      <c r="N74" s="396"/>
      <c r="O74" s="396"/>
      <c r="P74" s="396"/>
      <c r="Q74" s="396"/>
      <c r="R74" s="396"/>
      <c r="S74" s="259"/>
      <c r="T74" s="259"/>
      <c r="U74" s="259"/>
      <c r="V74" s="259"/>
    </row>
    <row r="75" spans="1:22" x14ac:dyDescent="0.25">
      <c r="A75" s="396"/>
      <c r="B75" s="567"/>
      <c r="C75" s="567"/>
      <c r="D75" s="567"/>
      <c r="E75" s="567"/>
      <c r="F75" s="567"/>
      <c r="G75" s="567"/>
      <c r="H75" s="567"/>
      <c r="I75" s="396"/>
      <c r="J75" s="396"/>
      <c r="K75" s="396"/>
      <c r="L75" s="396"/>
      <c r="M75" s="396"/>
      <c r="N75" s="396"/>
      <c r="O75" s="396"/>
      <c r="P75" s="396"/>
      <c r="Q75" s="396"/>
      <c r="R75" s="396"/>
      <c r="S75" s="259"/>
      <c r="T75" s="259"/>
      <c r="U75" s="259"/>
      <c r="V75" s="259"/>
    </row>
    <row r="76" spans="1:22" x14ac:dyDescent="0.25">
      <c r="A76" s="396"/>
      <c r="B76" s="396"/>
      <c r="C76" s="567"/>
      <c r="D76" s="567"/>
      <c r="E76" s="567"/>
      <c r="F76" s="567"/>
      <c r="G76" s="567"/>
      <c r="H76" s="567"/>
      <c r="I76" s="396"/>
      <c r="J76" s="396"/>
      <c r="K76" s="396"/>
      <c r="L76" s="396"/>
      <c r="M76" s="396"/>
      <c r="N76" s="396"/>
      <c r="O76" s="396"/>
      <c r="P76" s="396"/>
      <c r="Q76" s="396"/>
      <c r="R76" s="396"/>
      <c r="S76" s="259"/>
      <c r="T76" s="259"/>
      <c r="U76" s="259"/>
      <c r="V76" s="259"/>
    </row>
    <row r="77" spans="1:22" x14ac:dyDescent="0.25">
      <c r="A77" s="396"/>
      <c r="B77" s="396"/>
      <c r="C77" s="567"/>
      <c r="D77" s="567"/>
      <c r="E77" s="567"/>
      <c r="F77" s="567"/>
      <c r="G77" s="567"/>
      <c r="H77" s="567"/>
      <c r="I77" s="396"/>
      <c r="J77" s="396"/>
      <c r="K77" s="396"/>
      <c r="L77" s="396"/>
      <c r="M77" s="396"/>
      <c r="N77" s="396"/>
      <c r="O77" s="396"/>
      <c r="P77" s="396"/>
      <c r="Q77" s="396"/>
      <c r="R77" s="396"/>
      <c r="S77" s="259"/>
      <c r="T77" s="259"/>
      <c r="U77" s="259"/>
      <c r="V77" s="259"/>
    </row>
    <row r="78" spans="1:22" x14ac:dyDescent="0.25">
      <c r="A78" s="396"/>
      <c r="B78" s="396"/>
      <c r="C78" s="567"/>
      <c r="D78" s="567"/>
      <c r="E78" s="567"/>
      <c r="F78" s="567"/>
      <c r="G78" s="567"/>
      <c r="H78" s="567"/>
      <c r="I78" s="396"/>
      <c r="J78" s="396"/>
      <c r="K78" s="396"/>
      <c r="L78" s="396"/>
      <c r="M78" s="396"/>
      <c r="N78" s="396"/>
      <c r="O78" s="396"/>
      <c r="P78" s="396"/>
      <c r="Q78" s="396"/>
      <c r="R78" s="396"/>
      <c r="S78" s="259"/>
      <c r="T78" s="259"/>
      <c r="U78" s="259"/>
      <c r="V78" s="259"/>
    </row>
    <row r="79" spans="1:22" x14ac:dyDescent="0.25">
      <c r="A79" s="396"/>
      <c r="B79" s="396"/>
      <c r="C79" s="396"/>
      <c r="D79" s="396"/>
      <c r="E79" s="567"/>
      <c r="F79" s="567"/>
      <c r="G79" s="567"/>
      <c r="H79" s="567"/>
      <c r="I79" s="396"/>
      <c r="J79" s="396"/>
      <c r="K79" s="396"/>
      <c r="L79" s="396"/>
      <c r="M79" s="396"/>
      <c r="N79" s="396"/>
      <c r="O79" s="396"/>
      <c r="P79" s="396"/>
      <c r="Q79" s="396"/>
      <c r="R79" s="396"/>
      <c r="S79" s="259"/>
      <c r="T79" s="259"/>
      <c r="U79" s="259"/>
      <c r="V79" s="259"/>
    </row>
    <row r="80" spans="1:22" x14ac:dyDescent="0.25">
      <c r="A80" s="396"/>
      <c r="B80" s="396"/>
      <c r="C80" s="396"/>
      <c r="D80" s="396"/>
      <c r="E80" s="567"/>
      <c r="F80" s="567"/>
      <c r="G80" s="567"/>
      <c r="H80" s="567"/>
      <c r="I80" s="396"/>
      <c r="J80" s="396"/>
      <c r="K80" s="396"/>
      <c r="L80" s="396"/>
      <c r="M80" s="396"/>
      <c r="N80" s="396"/>
      <c r="O80" s="396"/>
      <c r="P80" s="396"/>
      <c r="Q80" s="396"/>
      <c r="R80" s="396"/>
      <c r="S80" s="259"/>
      <c r="T80" s="259"/>
      <c r="U80" s="259"/>
      <c r="V80" s="259"/>
    </row>
    <row r="81" spans="1:22" x14ac:dyDescent="0.25">
      <c r="A81" s="396"/>
      <c r="B81" s="396"/>
      <c r="C81" s="396"/>
      <c r="D81" s="396"/>
      <c r="E81" s="396"/>
      <c r="F81" s="567"/>
      <c r="G81" s="567"/>
      <c r="H81" s="567"/>
      <c r="I81" s="396"/>
      <c r="J81" s="396"/>
      <c r="K81" s="396"/>
      <c r="L81" s="396"/>
      <c r="M81" s="396"/>
      <c r="N81" s="396"/>
      <c r="O81" s="396"/>
      <c r="P81" s="396"/>
      <c r="Q81" s="396"/>
      <c r="R81" s="396"/>
      <c r="S81" s="259"/>
      <c r="T81" s="259"/>
      <c r="U81" s="259"/>
      <c r="V81" s="259"/>
    </row>
    <row r="82" spans="1:22" x14ac:dyDescent="0.25">
      <c r="A82" s="396"/>
      <c r="B82" s="396"/>
      <c r="C82" s="396"/>
      <c r="D82" s="396"/>
      <c r="E82" s="396"/>
      <c r="F82" s="396"/>
      <c r="G82" s="396"/>
      <c r="H82" s="396"/>
      <c r="I82" s="396"/>
      <c r="J82" s="396"/>
      <c r="K82" s="396"/>
      <c r="L82" s="396"/>
      <c r="M82" s="396"/>
      <c r="N82" s="396"/>
      <c r="O82" s="396"/>
      <c r="P82" s="396"/>
      <c r="Q82" s="396"/>
      <c r="R82" s="396"/>
      <c r="S82" s="259"/>
      <c r="T82" s="259"/>
      <c r="U82" s="259"/>
      <c r="V82" s="259"/>
    </row>
    <row r="83" spans="1:22" x14ac:dyDescent="0.25">
      <c r="A83" s="396"/>
      <c r="B83" s="396"/>
      <c r="C83" s="396"/>
      <c r="D83" s="396"/>
      <c r="E83" s="396"/>
      <c r="F83" s="396"/>
      <c r="G83" s="396"/>
      <c r="H83" s="396"/>
      <c r="I83" s="396"/>
      <c r="J83" s="396"/>
      <c r="K83" s="396"/>
      <c r="L83" s="396"/>
      <c r="M83" s="396"/>
      <c r="N83" s="396"/>
      <c r="O83" s="396"/>
      <c r="P83" s="396"/>
      <c r="Q83" s="396"/>
      <c r="R83" s="396"/>
      <c r="S83" s="259"/>
      <c r="T83" s="259"/>
      <c r="U83" s="259"/>
      <c r="V83" s="259"/>
    </row>
    <row r="84" spans="1:22" ht="23.25" customHeight="1" x14ac:dyDescent="0.25">
      <c r="A84" s="396"/>
      <c r="B84" s="396"/>
      <c r="C84" s="396"/>
      <c r="D84" s="396"/>
      <c r="E84" s="396"/>
      <c r="F84" s="396"/>
      <c r="G84" s="396"/>
      <c r="H84" s="396"/>
      <c r="I84" s="396"/>
      <c r="J84" s="396"/>
      <c r="K84" s="396"/>
      <c r="L84" s="396"/>
      <c r="M84" s="396"/>
      <c r="N84" s="396"/>
      <c r="O84" s="396"/>
      <c r="P84" s="396"/>
      <c r="Q84" s="396"/>
      <c r="R84" s="396"/>
      <c r="S84" s="259"/>
      <c r="T84" s="259"/>
      <c r="U84" s="259"/>
      <c r="V84" s="259"/>
    </row>
    <row r="85" spans="1:22" x14ac:dyDescent="0.25">
      <c r="A85" s="396"/>
      <c r="B85" s="396"/>
      <c r="C85" s="396"/>
      <c r="D85" s="396"/>
      <c r="E85" s="396"/>
      <c r="F85" s="396"/>
      <c r="G85" s="396"/>
      <c r="H85" s="396"/>
      <c r="I85" s="396"/>
      <c r="J85" s="396"/>
      <c r="K85" s="396"/>
      <c r="L85" s="396"/>
      <c r="M85" s="396"/>
      <c r="N85" s="396"/>
      <c r="O85" s="396"/>
      <c r="P85" s="396"/>
      <c r="Q85" s="396"/>
      <c r="R85" s="396"/>
      <c r="S85" s="259"/>
      <c r="T85" s="259"/>
      <c r="U85" s="259"/>
      <c r="V85" s="259"/>
    </row>
    <row r="86" spans="1:22" x14ac:dyDescent="0.25">
      <c r="A86" s="396"/>
      <c r="B86" s="396"/>
      <c r="C86" s="396"/>
      <c r="D86" s="396"/>
      <c r="E86" s="396"/>
      <c r="F86" s="396"/>
      <c r="G86" s="396"/>
      <c r="H86" s="396"/>
      <c r="I86" s="396"/>
      <c r="J86" s="396"/>
      <c r="K86" s="396"/>
      <c r="L86" s="396"/>
      <c r="M86" s="396"/>
      <c r="N86" s="396"/>
      <c r="O86" s="396"/>
      <c r="P86" s="396"/>
      <c r="Q86" s="396"/>
      <c r="R86" s="396"/>
      <c r="S86" s="259"/>
      <c r="T86" s="259"/>
      <c r="U86" s="259"/>
      <c r="V86" s="259"/>
    </row>
    <row r="87" spans="1:22" x14ac:dyDescent="0.25">
      <c r="A87" s="396"/>
      <c r="B87" s="396"/>
      <c r="C87" s="396"/>
      <c r="D87" s="396"/>
      <c r="E87" s="396"/>
      <c r="F87" s="396"/>
      <c r="G87" s="396"/>
      <c r="H87" s="396"/>
      <c r="I87" s="396"/>
      <c r="J87" s="396"/>
      <c r="K87" s="396"/>
      <c r="L87" s="396"/>
      <c r="M87" s="396"/>
      <c r="N87" s="396"/>
      <c r="O87" s="396"/>
      <c r="P87" s="396"/>
      <c r="Q87" s="396"/>
      <c r="R87" s="396"/>
      <c r="S87" s="259"/>
      <c r="T87" s="259"/>
      <c r="U87" s="259"/>
      <c r="V87" s="259"/>
    </row>
    <row r="88" spans="1:22" x14ac:dyDescent="0.25">
      <c r="A88" s="396"/>
      <c r="B88" s="396"/>
      <c r="C88" s="396"/>
      <c r="D88" s="396"/>
      <c r="E88" s="396"/>
      <c r="F88" s="396"/>
      <c r="G88" s="396"/>
      <c r="H88" s="396"/>
      <c r="I88" s="396"/>
      <c r="J88" s="396"/>
      <c r="K88" s="396"/>
      <c r="L88" s="396"/>
      <c r="M88" s="396"/>
      <c r="N88" s="396"/>
      <c r="O88" s="396"/>
      <c r="P88" s="396"/>
      <c r="Q88" s="396"/>
      <c r="R88" s="396"/>
      <c r="S88" s="259"/>
      <c r="T88" s="259"/>
      <c r="U88" s="259"/>
      <c r="V88" s="259"/>
    </row>
    <row r="89" spans="1:22" x14ac:dyDescent="0.25">
      <c r="A89" s="396"/>
      <c r="B89" s="396"/>
      <c r="C89" s="396"/>
      <c r="D89" s="396"/>
      <c r="E89" s="396"/>
      <c r="F89" s="396"/>
      <c r="G89" s="396"/>
      <c r="H89" s="396"/>
      <c r="I89" s="396"/>
      <c r="J89" s="396"/>
      <c r="K89" s="396"/>
      <c r="L89" s="396"/>
      <c r="M89" s="396"/>
      <c r="N89" s="396"/>
      <c r="O89" s="396"/>
      <c r="P89" s="396"/>
      <c r="Q89" s="396"/>
      <c r="R89" s="396"/>
      <c r="S89" s="259"/>
      <c r="T89" s="259"/>
      <c r="U89" s="259"/>
      <c r="V89" s="259"/>
    </row>
    <row r="90" spans="1:22" x14ac:dyDescent="0.25">
      <c r="A90" s="396"/>
      <c r="B90" s="396"/>
      <c r="C90" s="396"/>
      <c r="D90" s="396"/>
      <c r="E90" s="396"/>
      <c r="F90" s="396"/>
      <c r="G90" s="396"/>
      <c r="H90" s="396"/>
      <c r="I90" s="396"/>
      <c r="J90" s="396"/>
      <c r="K90" s="396"/>
      <c r="L90" s="396"/>
      <c r="M90" s="396"/>
      <c r="N90" s="396"/>
      <c r="O90" s="396"/>
      <c r="P90" s="396"/>
      <c r="Q90" s="396"/>
      <c r="R90" s="396"/>
      <c r="S90" s="259"/>
      <c r="T90" s="259"/>
      <c r="U90" s="259"/>
      <c r="V90" s="259"/>
    </row>
    <row r="91" spans="1:22" x14ac:dyDescent="0.25">
      <c r="A91" s="396"/>
      <c r="B91" s="259"/>
      <c r="C91" s="259"/>
      <c r="D91" s="259"/>
      <c r="E91" s="396"/>
      <c r="F91" s="396"/>
      <c r="G91" s="396"/>
      <c r="H91" s="396"/>
      <c r="I91" s="396"/>
      <c r="J91" s="396"/>
      <c r="K91" s="396"/>
      <c r="L91" s="396"/>
      <c r="M91" s="396"/>
      <c r="N91" s="396"/>
      <c r="O91" s="396"/>
      <c r="P91" s="396"/>
      <c r="Q91" s="396"/>
      <c r="R91" s="396"/>
      <c r="S91" s="259"/>
      <c r="T91" s="259"/>
      <c r="U91" s="259"/>
      <c r="V91" s="259"/>
    </row>
    <row r="92" spans="1:22" x14ac:dyDescent="0.25">
      <c r="A92" s="259"/>
      <c r="B92" s="259"/>
      <c r="C92" s="259"/>
      <c r="D92" s="259"/>
      <c r="E92" s="259"/>
      <c r="F92" s="396"/>
      <c r="G92" s="396"/>
      <c r="H92" s="396"/>
      <c r="I92" s="396"/>
      <c r="J92" s="396"/>
      <c r="K92" s="396"/>
      <c r="L92" s="396"/>
      <c r="M92" s="396"/>
      <c r="N92" s="396"/>
      <c r="O92" s="396"/>
      <c r="P92" s="396"/>
      <c r="Q92" s="396"/>
      <c r="R92" s="396"/>
      <c r="S92" s="259"/>
      <c r="T92" s="259"/>
      <c r="U92" s="259"/>
      <c r="V92" s="259"/>
    </row>
    <row r="93" spans="1:22" x14ac:dyDescent="0.25">
      <c r="A93" s="259"/>
      <c r="B93" s="259"/>
      <c r="C93" s="259"/>
      <c r="D93" s="259"/>
      <c r="E93" s="259"/>
      <c r="F93" s="259"/>
      <c r="G93" s="259"/>
      <c r="H93" s="259"/>
      <c r="I93" s="259"/>
      <c r="J93" s="259"/>
      <c r="K93" s="259"/>
      <c r="L93" s="259"/>
      <c r="M93" s="259"/>
      <c r="N93" s="259"/>
      <c r="O93" s="259"/>
      <c r="P93" s="259"/>
      <c r="Q93" s="259"/>
      <c r="R93" s="259"/>
      <c r="S93" s="259"/>
      <c r="T93" s="259"/>
      <c r="U93" s="259"/>
      <c r="V93" s="259"/>
    </row>
    <row r="94" spans="1:22" ht="23.25" customHeight="1" x14ac:dyDescent="0.25">
      <c r="A94" s="259"/>
      <c r="B94" s="259"/>
      <c r="C94" s="259"/>
      <c r="D94" s="259"/>
      <c r="E94" s="259"/>
      <c r="F94" s="259"/>
      <c r="G94" s="259"/>
      <c r="H94" s="259"/>
      <c r="I94" s="259"/>
      <c r="J94" s="259"/>
      <c r="K94" s="259"/>
      <c r="L94" s="259"/>
      <c r="M94" s="259"/>
      <c r="N94" s="259"/>
      <c r="O94" s="259"/>
      <c r="P94" s="259"/>
      <c r="Q94" s="259"/>
      <c r="R94" s="259"/>
      <c r="S94" s="259"/>
      <c r="T94" s="259"/>
      <c r="U94" s="259"/>
      <c r="V94" s="259"/>
    </row>
    <row r="95" spans="1:22" x14ac:dyDescent="0.25">
      <c r="A95" s="259"/>
      <c r="B95" s="259"/>
      <c r="C95" s="259"/>
      <c r="D95" s="259"/>
      <c r="E95" s="259"/>
      <c r="F95" s="259"/>
      <c r="G95" s="259"/>
      <c r="H95" s="259"/>
      <c r="I95" s="259"/>
      <c r="J95" s="259"/>
      <c r="K95" s="259"/>
      <c r="L95" s="259"/>
      <c r="M95" s="259"/>
      <c r="N95" s="259"/>
      <c r="O95" s="259"/>
      <c r="P95" s="259"/>
      <c r="Q95" s="259"/>
      <c r="R95" s="259"/>
      <c r="S95" s="259"/>
      <c r="T95" s="259"/>
      <c r="U95" s="259"/>
      <c r="V95" s="259"/>
    </row>
    <row r="96" spans="1:22" x14ac:dyDescent="0.25">
      <c r="A96" s="259"/>
      <c r="B96" s="259"/>
      <c r="C96" s="259"/>
      <c r="D96" s="259"/>
      <c r="E96" s="259"/>
      <c r="F96" s="259"/>
      <c r="G96" s="259"/>
      <c r="H96" s="259"/>
      <c r="I96" s="259"/>
      <c r="J96" s="259"/>
      <c r="K96" s="259"/>
      <c r="L96" s="259"/>
      <c r="M96" s="259"/>
      <c r="N96" s="259"/>
      <c r="O96" s="259"/>
      <c r="P96" s="259"/>
      <c r="Q96" s="259"/>
      <c r="R96" s="259"/>
      <c r="S96" s="259"/>
      <c r="T96" s="259"/>
      <c r="U96" s="259"/>
      <c r="V96" s="259"/>
    </row>
    <row r="97" spans="1:22" x14ac:dyDescent="0.25">
      <c r="A97" s="259"/>
      <c r="B97" s="259"/>
      <c r="C97" s="259"/>
      <c r="D97" s="259"/>
      <c r="E97" s="259"/>
      <c r="F97" s="259"/>
      <c r="G97" s="259"/>
      <c r="H97" s="259"/>
      <c r="I97" s="259"/>
      <c r="J97" s="259"/>
      <c r="K97" s="259"/>
      <c r="L97" s="259"/>
      <c r="M97" s="259"/>
      <c r="N97" s="259"/>
      <c r="O97" s="259"/>
      <c r="P97" s="259"/>
      <c r="Q97" s="259"/>
      <c r="R97" s="259"/>
      <c r="S97" s="259"/>
      <c r="T97" s="259"/>
      <c r="U97" s="259"/>
      <c r="V97" s="259"/>
    </row>
  </sheetData>
  <sheetProtection formatCells="0"/>
  <mergeCells count="1">
    <mergeCell ref="A1:B1"/>
  </mergeCells>
  <conditionalFormatting sqref="E10:E13 E15:E16">
    <cfRule type="iconSet" priority="1">
      <iconSet iconSet="3Arrows" showValue="0">
        <cfvo type="percent" val="0"/>
        <cfvo type="num" val="0"/>
        <cfvo type="num" val="0" gte="0"/>
      </iconSet>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40641" r:id="rId4" name="Check Box 1">
              <controlPr defaultSize="0" autoFill="0" autoLine="0" autoPict="0">
                <anchor moveWithCells="1">
                  <from>
                    <xdr:col>0</xdr:col>
                    <xdr:colOff>590550</xdr:colOff>
                    <xdr:row>17</xdr:row>
                    <xdr:rowOff>0</xdr:rowOff>
                  </from>
                  <to>
                    <xdr:col>2</xdr:col>
                    <xdr:colOff>171450</xdr:colOff>
                    <xdr:row>17</xdr:row>
                    <xdr:rowOff>304800</xdr:rowOff>
                  </to>
                </anchor>
              </controlPr>
            </control>
          </mc:Choice>
        </mc:AlternateContent>
      </controls>
    </mc:Choice>
  </mc:AlternateContent>
  <extLst>
    <ext xmlns:x14="http://schemas.microsoft.com/office/spreadsheetml/2009/9/main" uri="{05C60535-1F16-4fd2-B633-F4F36F0B64E0}">
      <x14:sparklineGroups xmlns:xm="http://schemas.microsoft.com/office/excel/2006/main">
        <x14:sparklineGroup displayEmptyCellsAs="gap" markers="1" high="1">
          <x14:colorSeries theme="8"/>
          <x14:colorNegative theme="9"/>
          <x14:colorAxis rgb="FF000000"/>
          <x14:colorMarkers theme="8" tint="-0.249977111117893"/>
          <x14:colorFirst theme="8" tint="-0.249977111117893"/>
          <x14:colorLast theme="8" tint="-0.249977111117893"/>
          <x14:colorHigh rgb="FFFF0000"/>
          <x14:colorLow theme="8" tint="-0.249977111117893"/>
          <x14:sparklines>
            <x14:sparkline>
              <xm:f>'A&amp;E'!H39:H51</xm:f>
              <xm:sqref>I16</xm:sqref>
            </x14:sparkline>
          </x14:sparklines>
        </x14:sparklineGroup>
        <x14:sparklineGroup displayEmptyCellsAs="gap" markers="1" high="1">
          <x14:colorSeries theme="8"/>
          <x14:colorNegative theme="9"/>
          <x14:colorAxis rgb="FF000000"/>
          <x14:colorMarkers theme="8" tint="-0.249977111117893"/>
          <x14:colorFirst theme="8" tint="-0.249977111117893"/>
          <x14:colorLast theme="8" tint="-0.249977111117893"/>
          <x14:colorHigh rgb="FFFF0000"/>
          <x14:colorLow theme="8" tint="-0.249977111117893"/>
          <x14:sparklines>
            <x14:sparkline>
              <xm:f>'A&amp;E'!E44:E51</xm:f>
              <xm:sqref>I12</xm:sqref>
            </x14:sparkline>
          </x14:sparklines>
        </x14:sparklineGroup>
        <x14:sparklineGroup displayEmptyCellsAs="gap" markers="1" high="1">
          <x14:colorSeries theme="8"/>
          <x14:colorNegative theme="9"/>
          <x14:colorAxis rgb="FF000000"/>
          <x14:colorMarkers theme="8" tint="-0.249977111117893"/>
          <x14:colorFirst theme="8" tint="-0.249977111117893"/>
          <x14:colorLast theme="8" tint="-0.249977111117893"/>
          <x14:colorHigh theme="5"/>
          <x14:colorLow theme="8" tint="-0.249977111117893"/>
          <x14:sparklines>
            <x14:sparkline>
              <xm:f>'A&amp;E'!C44:C51</xm:f>
              <xm:sqref>I10</xm:sqref>
            </x14:sparkline>
          </x14:sparklines>
        </x14:sparklineGroup>
        <x14:sparklineGroup displayEmptyCellsAs="gap" markers="1" high="1">
          <x14:colorSeries theme="8"/>
          <x14:colorNegative theme="9"/>
          <x14:colorAxis rgb="FF000000"/>
          <x14:colorMarkers theme="8" tint="-0.249977111117893"/>
          <x14:colorFirst theme="8" tint="-0.249977111117893"/>
          <x14:colorLast theme="8" tint="-0.249977111117893"/>
          <x14:colorHigh theme="5"/>
          <x14:colorLow theme="8" tint="-0.249977111117893"/>
          <x14:sparklines>
            <x14:sparkline>
              <xm:f>'A&amp;E'!D44:D51</xm:f>
              <xm:sqref>I11</xm:sqref>
            </x14:sparkline>
          </x14:sparklines>
        </x14:sparklineGroup>
        <x14:sparklineGroup displayEmptyCellsAs="gap" markers="1" high="1">
          <x14:colorSeries theme="8"/>
          <x14:colorNegative theme="9"/>
          <x14:colorAxis rgb="FF000000"/>
          <x14:colorMarkers theme="8" tint="-0.249977111117893"/>
          <x14:colorFirst theme="8" tint="-0.249977111117893"/>
          <x14:colorLast theme="8" tint="-0.249977111117893"/>
          <x14:colorHigh rgb="FFFF0000"/>
          <x14:colorLow theme="8" tint="-0.249977111117893"/>
          <x14:sparklines>
            <x14:sparkline>
              <xm:f>'A&amp;E'!G41:G52</xm:f>
              <xm:sqref>I15</xm:sqref>
            </x14:sparkline>
          </x14:sparklines>
        </x14:sparklineGroup>
      </x14:sparklineGroup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S94"/>
  <sheetViews>
    <sheetView showGridLines="0" showRowColHeaders="0" zoomScaleNormal="100" workbookViewId="0">
      <selection activeCell="B5" sqref="B5"/>
    </sheetView>
  </sheetViews>
  <sheetFormatPr defaultRowHeight="15" x14ac:dyDescent="0.25"/>
  <cols>
    <col min="2" max="2" width="17.7109375" customWidth="1"/>
    <col min="3" max="3" width="11.7109375" customWidth="1"/>
    <col min="4" max="4" width="18.7109375" customWidth="1"/>
    <col min="5" max="5" width="12.7109375" customWidth="1"/>
    <col min="6" max="8" width="9" customWidth="1"/>
    <col min="9" max="9" width="30.7109375" customWidth="1"/>
    <col min="10" max="10" width="9" customWidth="1"/>
    <col min="11" max="11" width="26.28515625" bestFit="1" customWidth="1"/>
    <col min="12" max="12" width="16.28515625" bestFit="1" customWidth="1"/>
    <col min="13" max="13" width="22.5703125" bestFit="1" customWidth="1"/>
    <col min="14" max="14" width="21.28515625" bestFit="1" customWidth="1"/>
    <col min="15" max="15" width="22.28515625" bestFit="1" customWidth="1"/>
  </cols>
  <sheetData>
    <row r="1" spans="1:19" x14ac:dyDescent="0.25">
      <c r="A1" s="1898"/>
      <c r="B1" s="1898"/>
      <c r="D1" s="231"/>
      <c r="E1" s="231"/>
    </row>
    <row r="2" spans="1:19" x14ac:dyDescent="0.25">
      <c r="D2" s="231"/>
      <c r="E2" s="231"/>
    </row>
    <row r="3" spans="1:19" x14ac:dyDescent="0.25">
      <c r="D3" s="231"/>
      <c r="E3" s="231"/>
    </row>
    <row r="4" spans="1:19" ht="31.5" x14ac:dyDescent="0.5">
      <c r="A4" s="233"/>
      <c r="B4" s="1224" t="s">
        <v>591</v>
      </c>
      <c r="C4" s="658"/>
      <c r="D4" s="658"/>
      <c r="E4" s="658"/>
      <c r="F4" s="658"/>
      <c r="G4" s="658"/>
      <c r="H4" s="231"/>
    </row>
    <row r="5" spans="1:19" ht="23.25" customHeight="1" x14ac:dyDescent="0.25">
      <c r="A5" s="276"/>
      <c r="B5" s="627" t="s">
        <v>659</v>
      </c>
      <c r="C5" s="276"/>
      <c r="D5" s="276"/>
      <c r="E5" s="276"/>
      <c r="F5" s="276"/>
      <c r="G5" s="276"/>
      <c r="H5" s="276"/>
      <c r="I5" s="276"/>
      <c r="J5" s="276"/>
      <c r="K5" s="276"/>
      <c r="L5" s="276"/>
      <c r="M5" s="276"/>
      <c r="N5" s="276"/>
      <c r="O5" s="276"/>
    </row>
    <row r="6" spans="1:19" x14ac:dyDescent="0.25">
      <c r="A6" s="276"/>
      <c r="B6" s="627" t="s">
        <v>239</v>
      </c>
      <c r="C6" s="276"/>
      <c r="D6" s="276"/>
      <c r="E6" s="276"/>
      <c r="F6" s="1458"/>
      <c r="G6" s="276"/>
      <c r="H6" s="276"/>
      <c r="I6" s="276"/>
      <c r="J6" s="276"/>
      <c r="K6" s="276"/>
      <c r="L6" s="276"/>
      <c r="M6" s="276"/>
      <c r="N6" s="276"/>
      <c r="O6" s="276"/>
    </row>
    <row r="7" spans="1:19" x14ac:dyDescent="0.25">
      <c r="A7" s="276"/>
      <c r="B7" s="627"/>
      <c r="C7" s="276"/>
      <c r="D7" s="276"/>
      <c r="E7" s="276"/>
      <c r="F7" s="276"/>
      <c r="G7" s="276"/>
      <c r="H7" s="276"/>
      <c r="I7" s="276"/>
      <c r="J7" s="276"/>
      <c r="K7" s="276"/>
      <c r="L7" s="276"/>
      <c r="M7" s="276"/>
      <c r="N7" s="276"/>
      <c r="O7" s="276"/>
    </row>
    <row r="8" spans="1:19" x14ac:dyDescent="0.25">
      <c r="A8" s="276"/>
      <c r="B8" s="382" t="s">
        <v>238</v>
      </c>
      <c r="C8" s="382"/>
      <c r="D8" s="382"/>
      <c r="E8" s="276"/>
      <c r="F8" s="276"/>
      <c r="G8" s="276"/>
      <c r="H8" s="276"/>
      <c r="I8" s="276"/>
      <c r="J8" s="276"/>
      <c r="K8" s="276"/>
      <c r="L8" s="276"/>
      <c r="M8" s="276"/>
      <c r="N8" s="276"/>
      <c r="O8" s="276"/>
      <c r="P8" s="8"/>
      <c r="Q8" s="8"/>
      <c r="R8" s="8"/>
      <c r="S8" s="8"/>
    </row>
    <row r="9" spans="1:19" x14ac:dyDescent="0.25">
      <c r="A9" s="276"/>
      <c r="B9" s="1444" t="s">
        <v>583</v>
      </c>
      <c r="C9" s="1449"/>
      <c r="D9" s="276"/>
      <c r="E9" s="276"/>
      <c r="F9" s="276"/>
      <c r="G9" s="276"/>
      <c r="H9" s="276"/>
      <c r="I9" s="276"/>
      <c r="J9" s="276"/>
      <c r="K9" s="276"/>
      <c r="L9" s="276"/>
      <c r="M9" s="276"/>
      <c r="N9" s="276"/>
    </row>
    <row r="10" spans="1:19" x14ac:dyDescent="0.25">
      <c r="A10" s="276"/>
      <c r="B10" s="630"/>
      <c r="C10" s="276"/>
      <c r="D10" s="276"/>
      <c r="E10" s="276"/>
      <c r="F10" s="276"/>
      <c r="G10" s="276"/>
      <c r="H10" s="276"/>
      <c r="I10" s="276"/>
      <c r="J10" s="276"/>
      <c r="K10" s="276"/>
      <c r="L10" s="276"/>
      <c r="M10" s="276"/>
      <c r="N10" s="276"/>
      <c r="O10" s="276"/>
    </row>
    <row r="11" spans="1:19" ht="24.95" customHeight="1" x14ac:dyDescent="0.25">
      <c r="A11" s="276"/>
      <c r="B11" s="630"/>
      <c r="C11" s="276"/>
      <c r="D11" s="276"/>
      <c r="E11" s="276"/>
      <c r="F11" s="276"/>
      <c r="G11" s="276"/>
      <c r="H11" s="276"/>
      <c r="I11" s="276"/>
      <c r="J11" s="276"/>
      <c r="K11" s="276"/>
      <c r="L11" s="276"/>
      <c r="M11" s="276"/>
      <c r="N11" s="276"/>
      <c r="O11" s="276"/>
    </row>
    <row r="12" spans="1:19" ht="24.95" customHeight="1" x14ac:dyDescent="0.25">
      <c r="A12" s="276"/>
      <c r="B12" s="630"/>
      <c r="C12" s="627" t="s">
        <v>595</v>
      </c>
      <c r="D12" s="629" t="s">
        <v>656</v>
      </c>
      <c r="E12" s="627"/>
      <c r="F12" s="627" t="s">
        <v>506</v>
      </c>
      <c r="G12" s="627" t="s">
        <v>507</v>
      </c>
      <c r="H12" s="1356" t="s">
        <v>635</v>
      </c>
      <c r="I12" s="628" t="s">
        <v>503</v>
      </c>
      <c r="J12" s="1279" t="s">
        <v>536</v>
      </c>
      <c r="K12" s="276"/>
      <c r="L12" s="276"/>
      <c r="M12" s="276"/>
      <c r="N12" s="276"/>
      <c r="O12" s="276"/>
    </row>
    <row r="13" spans="1:19" ht="24.95" customHeight="1" x14ac:dyDescent="0.25">
      <c r="A13" s="276"/>
      <c r="B13" s="630" t="s">
        <v>657</v>
      </c>
      <c r="C13" s="1314">
        <f>C53</f>
        <v>16.001358</v>
      </c>
      <c r="D13" s="1313">
        <f>C53/C52-1</f>
        <v>8.6305604629322019E-3</v>
      </c>
      <c r="E13" s="633">
        <f>D13</f>
        <v>8.6305604629322019E-3</v>
      </c>
      <c r="F13" s="1314" t="e">
        <f>MIN(C39:C53)</f>
        <v>#REF!</v>
      </c>
      <c r="G13" s="1314" t="e">
        <f>MAX(C39:C53)</f>
        <v>#REF!</v>
      </c>
      <c r="H13" s="1357">
        <f>C39</f>
        <v>11.210816000000001</v>
      </c>
      <c r="I13" s="1920"/>
      <c r="J13" s="1508">
        <f>C53</f>
        <v>16.001358</v>
      </c>
      <c r="K13" s="276"/>
      <c r="L13" s="276"/>
      <c r="M13" s="276"/>
      <c r="N13" s="276"/>
    </row>
    <row r="14" spans="1:19" ht="24.95" customHeight="1" x14ac:dyDescent="0.25">
      <c r="A14" s="276"/>
      <c r="B14" s="630" t="s">
        <v>579</v>
      </c>
      <c r="C14" s="632">
        <f>D53</f>
        <v>0.98166483207237798</v>
      </c>
      <c r="D14" s="1313">
        <f>D53/D52-1</f>
        <v>5.9132962314079052E-4</v>
      </c>
      <c r="E14" s="633">
        <f>D14</f>
        <v>5.9132962314079052E-4</v>
      </c>
      <c r="F14" s="1313" t="e">
        <f>MIN(D39:D53)</f>
        <v>#REF!</v>
      </c>
      <c r="G14" s="1313" t="e">
        <f>MAX(D39:D53)</f>
        <v>#REF!</v>
      </c>
      <c r="H14" s="1358">
        <f>D39</f>
        <v>0.96919817161486754</v>
      </c>
      <c r="I14" s="1920"/>
      <c r="J14" s="1509">
        <f>D53</f>
        <v>0.98166483207237798</v>
      </c>
      <c r="K14" s="276"/>
      <c r="L14" s="276"/>
      <c r="M14" s="276"/>
      <c r="N14" s="276"/>
    </row>
    <row r="15" spans="1:19" ht="24.95" customHeight="1" x14ac:dyDescent="0.25">
      <c r="A15" s="276"/>
      <c r="B15" s="630" t="s">
        <v>580</v>
      </c>
      <c r="C15" s="1353">
        <f>E53</f>
        <v>28.325708043029849</v>
      </c>
      <c r="D15" s="1313">
        <f>E53/E52-1</f>
        <v>-6.4188586228253186E-3</v>
      </c>
      <c r="E15" s="633">
        <f>D15</f>
        <v>-6.4188586228253186E-3</v>
      </c>
      <c r="F15" s="1354" t="e">
        <f>MIN(E39:E53)</f>
        <v>#REF!</v>
      </c>
      <c r="G15" s="1354" t="e">
        <f>MAX(E39:E53)</f>
        <v>#REF!</v>
      </c>
      <c r="H15" s="934">
        <f>E39</f>
        <v>29.513722763362264</v>
      </c>
      <c r="I15" s="1920"/>
      <c r="J15" s="1512">
        <f>E53</f>
        <v>28.325708043029849</v>
      </c>
      <c r="K15" s="276"/>
      <c r="L15" s="276"/>
      <c r="M15" s="276"/>
      <c r="N15" s="276"/>
    </row>
    <row r="16" spans="1:19" ht="24.95" customHeight="1" x14ac:dyDescent="0.25">
      <c r="A16" s="276"/>
      <c r="B16" s="630" t="str">
        <f>IF($B$9="Elective and day cases", "Waiting times","")</f>
        <v/>
      </c>
      <c r="C16" s="881" t="str">
        <f>IF($B$9="Elective and day cases", F53,"")</f>
        <v/>
      </c>
      <c r="D16" s="632" t="str">
        <f>IF($B$9="Elective and day cases", F53/F52-1,"")</f>
        <v/>
      </c>
      <c r="E16" s="633" t="str">
        <f>D16</f>
        <v/>
      </c>
      <c r="F16" s="881" t="str">
        <f>IF($B$9="Elective and day cases", MIN(F39:F53),"")</f>
        <v/>
      </c>
      <c r="G16" s="881" t="str">
        <f>IF($B$9="Elective and day cases", MAX(F39:F53),"")</f>
        <v/>
      </c>
      <c r="H16" s="732" t="str">
        <f>IF($B$9="Elective and day cases",F39,"")</f>
        <v/>
      </c>
      <c r="I16" s="1920"/>
      <c r="J16" s="1511" t="str">
        <f>IF($B$9="Elective and day cases",F53,"")</f>
        <v/>
      </c>
      <c r="K16" s="276"/>
      <c r="L16" s="276"/>
      <c r="M16" s="276"/>
      <c r="N16" s="276"/>
    </row>
    <row r="17" spans="1:17" ht="24.95" customHeight="1" x14ac:dyDescent="0.25">
      <c r="A17" s="276"/>
      <c r="B17" s="630"/>
      <c r="C17" s="881"/>
      <c r="D17" s="1290"/>
      <c r="E17" s="881"/>
      <c r="F17" s="1315"/>
      <c r="G17" s="1315"/>
      <c r="H17" s="1510"/>
      <c r="I17" s="1452"/>
      <c r="J17" s="1452"/>
      <c r="K17" s="276"/>
      <c r="L17" s="276"/>
      <c r="M17" s="276"/>
      <c r="N17" s="276"/>
      <c r="O17" s="276"/>
    </row>
    <row r="18" spans="1:17" ht="24.95" customHeight="1" x14ac:dyDescent="0.25">
      <c r="A18" s="383" t="b">
        <v>1</v>
      </c>
      <c r="B18" s="627"/>
      <c r="C18" s="276"/>
      <c r="D18" s="276"/>
      <c r="E18" s="276"/>
      <c r="F18" s="276"/>
      <c r="G18" s="276"/>
      <c r="H18" s="276"/>
      <c r="I18" s="276"/>
      <c r="J18" s="276"/>
      <c r="K18" s="276"/>
      <c r="L18" s="276"/>
      <c r="M18" s="276"/>
      <c r="N18" s="276"/>
      <c r="O18" s="276"/>
    </row>
    <row r="19" spans="1:17" ht="24.95" customHeight="1" x14ac:dyDescent="0.25">
      <c r="A19" s="383"/>
      <c r="B19" s="276"/>
      <c r="C19" s="276"/>
      <c r="D19" s="276"/>
      <c r="E19" s="1312"/>
      <c r="F19" s="276"/>
      <c r="G19" s="276"/>
      <c r="H19" s="276"/>
      <c r="I19" s="276"/>
      <c r="J19" s="276"/>
      <c r="K19" s="276"/>
      <c r="L19" s="276"/>
      <c r="M19" s="276"/>
      <c r="N19" s="276"/>
      <c r="O19" s="276"/>
    </row>
    <row r="20" spans="1:17" ht="26.25" x14ac:dyDescent="0.25">
      <c r="A20" s="276"/>
      <c r="B20" s="628"/>
      <c r="C20" s="1327" t="str">
        <f>IF($A$18=TRUE,C38,"")</f>
        <v xml:space="preserve">Volume of activity </v>
      </c>
      <c r="D20" s="1327" t="str">
        <f>IF($A$18=TRUE,D38,"")</f>
        <v>30-day survival rate</v>
      </c>
      <c r="E20" s="1327" t="str">
        <f>IF($A$18=TRUE,E38,"")</f>
        <v>Mean life expectancy</v>
      </c>
      <c r="F20" s="629" t="str">
        <f>IF($A$18=TRUE,F38,"")</f>
        <v/>
      </c>
      <c r="G20" s="629"/>
      <c r="H20" s="627"/>
      <c r="I20" s="627"/>
      <c r="J20" s="627"/>
      <c r="K20" s="627" t="str">
        <f t="shared" ref="K20:Q20" si="0">IF(J18=TRUE,K38,"")</f>
        <v/>
      </c>
      <c r="L20" s="627" t="str">
        <f t="shared" si="0"/>
        <v/>
      </c>
      <c r="M20" s="627" t="str">
        <f t="shared" si="0"/>
        <v/>
      </c>
      <c r="N20" s="627" t="str">
        <f t="shared" si="0"/>
        <v/>
      </c>
      <c r="O20" s="627" t="str">
        <f t="shared" si="0"/>
        <v/>
      </c>
      <c r="P20" s="627" t="str">
        <f t="shared" si="0"/>
        <v/>
      </c>
      <c r="Q20" s="627" t="str">
        <f t="shared" si="0"/>
        <v/>
      </c>
    </row>
    <row r="21" spans="1:17" x14ac:dyDescent="0.25">
      <c r="A21" s="276"/>
      <c r="B21" s="627" t="str">
        <f t="shared" ref="B21:F33" si="1">IF($A$18=TRUE,B39,"")</f>
        <v>1998/99</v>
      </c>
      <c r="C21" s="710">
        <f>IF($A$18=TRUE,C39*1000000,"")</f>
        <v>11210816.000000002</v>
      </c>
      <c r="D21" s="632">
        <f t="shared" si="1"/>
        <v>0.96919817161486754</v>
      </c>
      <c r="E21" s="1353">
        <f t="shared" si="1"/>
        <v>29.513722763362264</v>
      </c>
      <c r="F21" s="881" t="str">
        <f t="shared" si="1"/>
        <v/>
      </c>
      <c r="G21" s="1473"/>
      <c r="H21" s="1470"/>
      <c r="I21" s="627"/>
      <c r="J21" s="627"/>
      <c r="K21" s="627"/>
      <c r="L21" s="627"/>
      <c r="M21" s="627"/>
      <c r="N21" s="627"/>
      <c r="O21" s="627"/>
      <c r="P21" s="627"/>
      <c r="Q21" s="627"/>
    </row>
    <row r="22" spans="1:17" x14ac:dyDescent="0.25">
      <c r="A22" s="276"/>
      <c r="B22" s="627" t="str">
        <f t="shared" si="1"/>
        <v>1999/00</v>
      </c>
      <c r="C22" s="710">
        <f t="shared" ref="C22:C35" si="2">IF($A$18=TRUE,C40*1000000,"")</f>
        <v>11105744.999999998</v>
      </c>
      <c r="D22" s="632">
        <f t="shared" si="1"/>
        <v>0.96940157052764542</v>
      </c>
      <c r="E22" s="1353">
        <f t="shared" si="1"/>
        <v>29.413581565434725</v>
      </c>
      <c r="F22" s="881" t="str">
        <f t="shared" si="1"/>
        <v/>
      </c>
      <c r="G22" s="1473"/>
      <c r="H22" s="1470"/>
      <c r="I22" s="627"/>
      <c r="J22" s="627"/>
      <c r="K22" s="627"/>
      <c r="L22" s="627"/>
      <c r="M22" s="627"/>
      <c r="N22" s="627"/>
      <c r="O22" s="627"/>
      <c r="P22" s="627"/>
      <c r="Q22" s="627"/>
    </row>
    <row r="23" spans="1:17" x14ac:dyDescent="0.25">
      <c r="A23" s="276"/>
      <c r="B23" s="627" t="str">
        <f t="shared" si="1"/>
        <v>2000/01</v>
      </c>
      <c r="C23" s="710">
        <f t="shared" si="2"/>
        <v>11075239</v>
      </c>
      <c r="D23" s="632">
        <f t="shared" si="1"/>
        <v>0.97065632394750345</v>
      </c>
      <c r="E23" s="1353">
        <f t="shared" si="1"/>
        <v>29.068773548655631</v>
      </c>
      <c r="F23" s="881" t="str">
        <f t="shared" si="1"/>
        <v/>
      </c>
      <c r="G23" s="1473"/>
      <c r="H23" s="1470"/>
      <c r="I23" s="627"/>
      <c r="J23" s="627"/>
      <c r="K23" s="627"/>
      <c r="L23" s="627"/>
      <c r="M23" s="627"/>
      <c r="N23" s="627"/>
      <c r="O23" s="627"/>
      <c r="P23" s="627"/>
      <c r="Q23" s="627"/>
    </row>
    <row r="24" spans="1:17" x14ac:dyDescent="0.25">
      <c r="A24" s="276"/>
      <c r="B24" s="627" t="str">
        <f t="shared" si="1"/>
        <v>2001/02</v>
      </c>
      <c r="C24" s="710">
        <f t="shared" si="2"/>
        <v>10994059</v>
      </c>
      <c r="D24" s="632">
        <f t="shared" si="1"/>
        <v>0.97008052840020276</v>
      </c>
      <c r="E24" s="1353">
        <f t="shared" si="1"/>
        <v>28.99116963511786</v>
      </c>
      <c r="F24" s="881" t="str">
        <f t="shared" si="1"/>
        <v/>
      </c>
      <c r="G24" s="1473"/>
      <c r="H24" s="1470"/>
      <c r="I24" s="627"/>
      <c r="J24" s="627"/>
      <c r="K24" s="627"/>
      <c r="L24" s="627"/>
      <c r="M24" s="627"/>
      <c r="N24" s="627"/>
      <c r="O24" s="627"/>
      <c r="P24" s="627"/>
      <c r="Q24" s="627"/>
    </row>
    <row r="25" spans="1:17" x14ac:dyDescent="0.25">
      <c r="A25" s="276"/>
      <c r="B25" s="627" t="str">
        <f t="shared" si="1"/>
        <v>2002/03</v>
      </c>
      <c r="C25" s="710">
        <f t="shared" si="2"/>
        <v>11541834.999999998</v>
      </c>
      <c r="D25" s="632">
        <f t="shared" si="1"/>
        <v>0.97134109495145904</v>
      </c>
      <c r="E25" s="1353">
        <f t="shared" si="1"/>
        <v>28.533748301155057</v>
      </c>
      <c r="F25" s="881" t="str">
        <f t="shared" si="1"/>
        <v/>
      </c>
      <c r="G25" s="1473"/>
      <c r="H25" s="1470"/>
      <c r="I25" s="627"/>
      <c r="J25" s="627"/>
      <c r="K25" s="627"/>
      <c r="L25" s="627"/>
      <c r="M25" s="627"/>
      <c r="N25" s="627"/>
      <c r="O25" s="627"/>
      <c r="P25" s="627"/>
      <c r="Q25" s="627"/>
    </row>
    <row r="26" spans="1:17" x14ac:dyDescent="0.25">
      <c r="A26" s="276"/>
      <c r="B26" s="627" t="str">
        <f t="shared" si="1"/>
        <v>2003/04</v>
      </c>
      <c r="C26" s="710" t="e">
        <f t="shared" si="2"/>
        <v>#REF!</v>
      </c>
      <c r="D26" s="632" t="e">
        <f t="shared" si="1"/>
        <v>#REF!</v>
      </c>
      <c r="E26" s="1353" t="e">
        <f t="shared" si="1"/>
        <v>#REF!</v>
      </c>
      <c r="F26" s="881" t="str">
        <f t="shared" si="1"/>
        <v/>
      </c>
      <c r="G26" s="1473"/>
      <c r="H26" s="1470"/>
      <c r="I26" s="627"/>
      <c r="J26" s="627"/>
      <c r="K26" s="627"/>
      <c r="L26" s="627"/>
      <c r="M26" s="627"/>
      <c r="N26" s="627"/>
      <c r="O26" s="627"/>
      <c r="P26" s="627"/>
      <c r="Q26" s="627"/>
    </row>
    <row r="27" spans="1:17" x14ac:dyDescent="0.25">
      <c r="A27" s="276"/>
      <c r="B27" s="627" t="str">
        <f t="shared" si="1"/>
        <v>2003/04</v>
      </c>
      <c r="C27" s="710">
        <f t="shared" si="2"/>
        <v>12125336</v>
      </c>
      <c r="D27" s="632">
        <f t="shared" si="1"/>
        <v>0.97260801680052422</v>
      </c>
      <c r="E27" s="1353">
        <f t="shared" si="1"/>
        <v>28.397096696397888</v>
      </c>
      <c r="F27" s="881" t="str">
        <f t="shared" si="1"/>
        <v/>
      </c>
      <c r="G27" s="1473"/>
      <c r="H27" s="1470"/>
      <c r="I27" s="627"/>
      <c r="J27" s="627"/>
      <c r="K27" s="627"/>
      <c r="L27" s="627"/>
      <c r="M27" s="627"/>
      <c r="N27" s="627"/>
      <c r="O27" s="627"/>
      <c r="P27" s="627"/>
      <c r="Q27" s="627"/>
    </row>
    <row r="28" spans="1:17" x14ac:dyDescent="0.25">
      <c r="A28" s="276"/>
      <c r="B28" s="627" t="str">
        <f t="shared" si="1"/>
        <v>2004/05</v>
      </c>
      <c r="C28" s="710">
        <f t="shared" si="2"/>
        <v>12443735</v>
      </c>
      <c r="D28" s="632">
        <f t="shared" si="1"/>
        <v>0.97341917025716151</v>
      </c>
      <c r="E28" s="1353">
        <f t="shared" si="1"/>
        <v>28.746241102515093</v>
      </c>
      <c r="F28" s="881" t="str">
        <f t="shared" si="1"/>
        <v/>
      </c>
      <c r="G28" s="1473"/>
      <c r="H28" s="1471"/>
      <c r="I28" s="276"/>
      <c r="J28" s="276"/>
      <c r="K28" s="276"/>
      <c r="L28" s="276"/>
      <c r="M28" s="276"/>
      <c r="N28" s="276"/>
      <c r="O28" s="276"/>
    </row>
    <row r="29" spans="1:17" x14ac:dyDescent="0.25">
      <c r="A29" s="276"/>
      <c r="B29" s="627" t="str">
        <f t="shared" si="1"/>
        <v>2005/06</v>
      </c>
      <c r="C29" s="710">
        <f t="shared" si="2"/>
        <v>13155729</v>
      </c>
      <c r="D29" s="632">
        <f t="shared" si="1"/>
        <v>0.97566749662447427</v>
      </c>
      <c r="E29" s="1353">
        <f t="shared" si="1"/>
        <v>28.743665415391696</v>
      </c>
      <c r="F29" s="881" t="str">
        <f t="shared" si="1"/>
        <v/>
      </c>
      <c r="G29" s="1473"/>
      <c r="H29" s="1471"/>
      <c r="I29" s="276"/>
      <c r="J29" s="276"/>
      <c r="K29" s="276"/>
      <c r="L29" s="276"/>
      <c r="M29" s="276"/>
      <c r="N29" s="276"/>
      <c r="O29" s="276"/>
    </row>
    <row r="30" spans="1:17" x14ac:dyDescent="0.25">
      <c r="A30" s="276"/>
      <c r="B30" s="627" t="str">
        <f t="shared" si="1"/>
        <v>2006/07</v>
      </c>
      <c r="C30" s="710">
        <f t="shared" si="2"/>
        <v>13558084.999999998</v>
      </c>
      <c r="D30" s="632">
        <f t="shared" si="1"/>
        <v>0.97698337240841915</v>
      </c>
      <c r="E30" s="1353">
        <f t="shared" si="1"/>
        <v>28.758553055230166</v>
      </c>
      <c r="F30" s="881" t="str">
        <f t="shared" si="1"/>
        <v/>
      </c>
      <c r="G30" s="1473"/>
      <c r="H30" s="1471"/>
      <c r="I30" s="276"/>
      <c r="J30" s="276"/>
      <c r="K30" s="276"/>
      <c r="L30" s="276"/>
      <c r="M30" s="276"/>
      <c r="N30" s="276"/>
      <c r="O30" s="276"/>
    </row>
    <row r="31" spans="1:17" x14ac:dyDescent="0.25">
      <c r="A31" s="276"/>
      <c r="B31" s="627" t="str">
        <f t="shared" si="1"/>
        <v>2007/08</v>
      </c>
      <c r="C31" s="710">
        <f t="shared" si="2"/>
        <v>14191932.000000002</v>
      </c>
      <c r="D31" s="632">
        <f t="shared" si="1"/>
        <v>0.9789424262743085</v>
      </c>
      <c r="E31" s="1353">
        <f t="shared" si="1"/>
        <v>28.519277592287217</v>
      </c>
      <c r="F31" s="881" t="str">
        <f t="shared" si="1"/>
        <v/>
      </c>
      <c r="G31" s="1473"/>
      <c r="H31" s="1471"/>
      <c r="I31" s="276"/>
      <c r="J31" s="276"/>
      <c r="K31" s="276"/>
      <c r="L31" s="276"/>
      <c r="M31" s="276"/>
      <c r="N31" s="276"/>
      <c r="O31" s="276"/>
    </row>
    <row r="32" spans="1:17" x14ac:dyDescent="0.25">
      <c r="A32" s="276"/>
      <c r="B32" s="627" t="str">
        <f t="shared" si="1"/>
        <v>2008/09</v>
      </c>
      <c r="C32" s="710">
        <f t="shared" si="2"/>
        <v>14974264.000000002</v>
      </c>
      <c r="D32" s="632">
        <f t="shared" si="1"/>
        <v>0.97966739147246229</v>
      </c>
      <c r="E32" s="1353">
        <f t="shared" si="1"/>
        <v>28.305532532350167</v>
      </c>
      <c r="F32" s="881" t="str">
        <f t="shared" si="1"/>
        <v/>
      </c>
      <c r="G32" s="1473"/>
      <c r="H32" s="1471"/>
      <c r="I32" s="276"/>
      <c r="J32" s="276"/>
      <c r="K32" s="276"/>
      <c r="L32" s="276"/>
      <c r="M32" s="276"/>
      <c r="N32" s="276"/>
      <c r="O32" s="276"/>
    </row>
    <row r="33" spans="1:18" x14ac:dyDescent="0.25">
      <c r="A33" s="276"/>
      <c r="B33" s="627" t="str">
        <f>IF($A$18=TRUE,B51,"")</f>
        <v>2009/10</v>
      </c>
      <c r="C33" s="710">
        <f t="shared" si="2"/>
        <v>15417136</v>
      </c>
      <c r="D33" s="632">
        <f t="shared" si="1"/>
        <v>0.98096228693189191</v>
      </c>
      <c r="E33" s="1353">
        <f t="shared" si="1"/>
        <v>28.44992916972387</v>
      </c>
      <c r="F33" s="881" t="str">
        <f t="shared" si="1"/>
        <v/>
      </c>
      <c r="G33" s="1473"/>
      <c r="H33" s="1471"/>
      <c r="I33" s="276"/>
      <c r="J33" s="276"/>
      <c r="K33" s="276"/>
      <c r="L33" s="276"/>
      <c r="M33" s="276"/>
      <c r="N33" s="276"/>
      <c r="O33" s="276"/>
    </row>
    <row r="34" spans="1:18" x14ac:dyDescent="0.25">
      <c r="A34" s="276"/>
      <c r="B34" s="627" t="str">
        <f t="shared" ref="B34:F35" si="3">IF($A$18=TRUE,B52,"")</f>
        <v>20010/11</v>
      </c>
      <c r="C34" s="710">
        <f t="shared" si="2"/>
        <v>15864439</v>
      </c>
      <c r="D34" s="632">
        <f t="shared" si="3"/>
        <v>0.98108468763377021</v>
      </c>
      <c r="E34" s="1353">
        <f t="shared" si="3"/>
        <v>28.508701366622546</v>
      </c>
      <c r="F34" s="881" t="str">
        <f t="shared" si="3"/>
        <v/>
      </c>
      <c r="G34" s="1473"/>
      <c r="H34" s="1472"/>
      <c r="I34" s="734"/>
      <c r="J34" s="279"/>
      <c r="K34" s="276"/>
      <c r="L34" s="276"/>
      <c r="M34" s="276"/>
      <c r="N34" s="276"/>
      <c r="O34" s="276"/>
    </row>
    <row r="35" spans="1:18" x14ac:dyDescent="0.25">
      <c r="A35" s="276"/>
      <c r="B35" s="627" t="str">
        <f t="shared" si="3"/>
        <v>20011/12</v>
      </c>
      <c r="C35" s="710">
        <f t="shared" si="2"/>
        <v>16001358</v>
      </c>
      <c r="D35" s="632">
        <f t="shared" si="3"/>
        <v>0.98166483207237798</v>
      </c>
      <c r="E35" s="1353">
        <f t="shared" si="3"/>
        <v>28.325708043029849</v>
      </c>
      <c r="F35" s="881" t="str">
        <f t="shared" si="3"/>
        <v/>
      </c>
      <c r="G35" s="1473"/>
      <c r="H35" s="1472"/>
      <c r="I35" s="734"/>
      <c r="J35" s="279"/>
      <c r="K35" s="276"/>
      <c r="L35" s="276"/>
      <c r="M35" s="276"/>
      <c r="N35" s="276"/>
      <c r="O35" s="276"/>
    </row>
    <row r="36" spans="1:18" x14ac:dyDescent="0.25">
      <c r="A36" s="379"/>
      <c r="B36" s="1451"/>
      <c r="C36" s="1450"/>
      <c r="D36" s="1350"/>
      <c r="E36" s="1351"/>
      <c r="F36" s="1351"/>
      <c r="G36" s="1351"/>
      <c r="H36" s="1451"/>
      <c r="I36" s="1451"/>
      <c r="J36" s="379"/>
      <c r="K36" s="279"/>
      <c r="L36" s="279"/>
      <c r="M36" s="279"/>
      <c r="N36" s="279"/>
      <c r="O36" s="279"/>
      <c r="P36" s="231"/>
      <c r="Q36" s="231"/>
      <c r="R36" s="231"/>
    </row>
    <row r="37" spans="1:18" x14ac:dyDescent="0.25">
      <c r="A37" s="567"/>
      <c r="B37" s="585"/>
      <c r="C37" s="648"/>
      <c r="D37" s="743"/>
      <c r="E37" s="1355"/>
      <c r="F37" s="1355"/>
      <c r="G37" s="1355"/>
      <c r="H37" s="585"/>
      <c r="I37" s="585"/>
      <c r="J37" s="379"/>
      <c r="K37" s="279"/>
      <c r="L37" s="279"/>
      <c r="M37" s="279"/>
      <c r="N37" s="279"/>
      <c r="O37" s="279"/>
      <c r="P37" s="231"/>
      <c r="Q37" s="231"/>
      <c r="R37" s="231"/>
    </row>
    <row r="38" spans="1:18" x14ac:dyDescent="0.25">
      <c r="A38" s="567"/>
      <c r="B38" s="1324"/>
      <c r="C38" s="1324" t="s">
        <v>634</v>
      </c>
      <c r="D38" s="1324" t="s">
        <v>579</v>
      </c>
      <c r="E38" s="1324" t="s">
        <v>580</v>
      </c>
      <c r="F38" s="809" t="str">
        <f>IF($B$9="Elective and day cases",'Hospital new figures_9899_1112'!E51,"")</f>
        <v/>
      </c>
      <c r="G38" s="809"/>
      <c r="H38" s="1324"/>
      <c r="I38" s="1325"/>
      <c r="J38" s="1352"/>
      <c r="K38" s="1323"/>
      <c r="L38" s="1323"/>
      <c r="M38" s="1323"/>
      <c r="N38" s="1323"/>
      <c r="O38" s="1323"/>
      <c r="P38" s="1323"/>
      <c r="Q38" s="1323"/>
      <c r="R38" s="330"/>
    </row>
    <row r="39" spans="1:18" x14ac:dyDescent="0.25">
      <c r="A39" s="567"/>
      <c r="B39" s="809" t="s">
        <v>68</v>
      </c>
      <c r="C39" s="809">
        <f>IF($B$9="Non-electives",'Hospital new figures_9899_1112'!J52,IF($B$9="Elective and day cases",'Hospital new figures_9899_1112'!B52,'Hospital new figures_9899_1112'!R52))</f>
        <v>11.210816000000001</v>
      </c>
      <c r="D39" s="809">
        <f>IF($B$9="Non-electives",'Hospital new figures_9899_1112'!K52,IF($B$9="Elective and day cases",'Hospital new figures_9899_1112'!C52,'Hospital new figures_9899_1112'!S52))</f>
        <v>0.96919817161486754</v>
      </c>
      <c r="E39" s="809">
        <f>IF($B$9="Non-electives",'Hospital new figures_9899_1112'!M52,IF($B$9="Elective and day cases",'Hospital new figures_9899_1112'!D52,'Hospital new figures_9899_1112'!U52))</f>
        <v>29.513722763362264</v>
      </c>
      <c r="F39" s="809" t="str">
        <f>IF($B$9="Elective and day cases",'Hospital new figures_9899_1112'!E52,"")</f>
        <v/>
      </c>
      <c r="G39" s="809"/>
      <c r="H39" s="809"/>
      <c r="I39" s="809"/>
      <c r="J39" s="1018"/>
      <c r="K39" s="676"/>
      <c r="L39" s="676"/>
      <c r="M39" s="676"/>
      <c r="N39" s="676"/>
      <c r="O39" s="676"/>
      <c r="P39" s="330"/>
      <c r="Q39" s="330"/>
      <c r="R39" s="330"/>
    </row>
    <row r="40" spans="1:18" x14ac:dyDescent="0.25">
      <c r="A40" s="567"/>
      <c r="B40" s="809" t="s">
        <v>69</v>
      </c>
      <c r="C40" s="809">
        <f>IF($B$9="Non-electives",'Hospital new figures_9899_1112'!J53,IF($B$9="Elective and day cases",'Hospital new figures_9899_1112'!B53,'Hospital new figures_9899_1112'!R53))</f>
        <v>11.105744999999999</v>
      </c>
      <c r="D40" s="809">
        <f>IF($B$9="Non-electives",'Hospital new figures_9899_1112'!K53,IF($B$9="Elective and day cases",'Hospital new figures_9899_1112'!C53,'Hospital new figures_9899_1112'!S53))</f>
        <v>0.96940157052764542</v>
      </c>
      <c r="E40" s="809">
        <f>IF($B$9="Non-electives",'Hospital new figures_9899_1112'!M53,IF($B$9="Elective and day cases",'Hospital new figures_9899_1112'!D53,'Hospital new figures_9899_1112'!U53))</f>
        <v>29.413581565434725</v>
      </c>
      <c r="F40" s="809" t="str">
        <f>IF($B$9="Elective and day cases",'Hospital new figures_9899_1112'!E53,"")</f>
        <v/>
      </c>
      <c r="G40" s="809"/>
      <c r="H40" s="678"/>
      <c r="I40" s="1445"/>
      <c r="J40" s="1018"/>
      <c r="K40" s="676"/>
      <c r="L40" s="676"/>
      <c r="M40" s="676"/>
      <c r="N40" s="676"/>
      <c r="O40" s="676"/>
      <c r="P40" s="330"/>
      <c r="Q40" s="330"/>
      <c r="R40" s="330"/>
    </row>
    <row r="41" spans="1:18" x14ac:dyDescent="0.25">
      <c r="A41" s="567"/>
      <c r="B41" s="809" t="s">
        <v>70</v>
      </c>
      <c r="C41" s="809">
        <f>IF($B$9="Non-electives",'Hospital new figures_9899_1112'!J54,IF($B$9="Elective and day cases",'Hospital new figures_9899_1112'!B54,'Hospital new figures_9899_1112'!R54))</f>
        <v>11.075239</v>
      </c>
      <c r="D41" s="809">
        <f>IF($B$9="Non-electives",'Hospital new figures_9899_1112'!K54,IF($B$9="Elective and day cases",'Hospital new figures_9899_1112'!C54,'Hospital new figures_9899_1112'!S54))</f>
        <v>0.97065632394750345</v>
      </c>
      <c r="E41" s="809">
        <f>IF($B$9="Non-electives",'Hospital new figures_9899_1112'!M54,IF($B$9="Elective and day cases",'Hospital new figures_9899_1112'!D54,'Hospital new figures_9899_1112'!U54))</f>
        <v>29.068773548655631</v>
      </c>
      <c r="F41" s="809" t="str">
        <f>IF($B$9="Elective and day cases",'Hospital new figures_9899_1112'!E54,"")</f>
        <v/>
      </c>
      <c r="G41" s="809"/>
      <c r="H41" s="678"/>
      <c r="I41" s="1445"/>
      <c r="J41" s="1018"/>
      <c r="K41" s="676"/>
      <c r="L41" s="676"/>
      <c r="M41" s="676"/>
      <c r="N41" s="676"/>
      <c r="O41" s="676"/>
      <c r="P41" s="330"/>
      <c r="Q41" s="330"/>
      <c r="R41" s="330"/>
    </row>
    <row r="42" spans="1:18" ht="23.25" customHeight="1" x14ac:dyDescent="0.25">
      <c r="A42" s="567"/>
      <c r="B42" s="567" t="s">
        <v>71</v>
      </c>
      <c r="C42" s="809">
        <f>IF($B$9="Non-electives",'Hospital new figures_9899_1112'!J55,IF($B$9="Elective and day cases",'Hospital new figures_9899_1112'!B55,'Hospital new figures_9899_1112'!R55))</f>
        <v>10.994059</v>
      </c>
      <c r="D42" s="809">
        <f>IF($B$9="Non-electives",'Hospital new figures_9899_1112'!K55,IF($B$9="Elective and day cases",'Hospital new figures_9899_1112'!C55,'Hospital new figures_9899_1112'!S55))</f>
        <v>0.97008052840020276</v>
      </c>
      <c r="E42" s="809">
        <f>IF($B$9="Non-electives",'Hospital new figures_9899_1112'!M55,IF($B$9="Elective and day cases",'Hospital new figures_9899_1112'!D55,'Hospital new figures_9899_1112'!U55))</f>
        <v>28.99116963511786</v>
      </c>
      <c r="F42" s="809" t="str">
        <f>IF($B$9="Elective and day cases",'Hospital new figures_9899_1112'!E55,"")</f>
        <v/>
      </c>
      <c r="G42" s="809"/>
      <c r="H42" s="585"/>
      <c r="I42" s="567"/>
      <c r="J42" s="379"/>
      <c r="K42" s="279"/>
      <c r="L42" s="279"/>
      <c r="M42" s="279"/>
      <c r="N42" s="279"/>
      <c r="O42" s="279"/>
      <c r="P42" s="231"/>
      <c r="Q42" s="231"/>
      <c r="R42" s="231"/>
    </row>
    <row r="43" spans="1:18" x14ac:dyDescent="0.25">
      <c r="A43" s="567"/>
      <c r="B43" s="809" t="s">
        <v>72</v>
      </c>
      <c r="C43" s="809">
        <f>IF($B$9="Non-electives",'Hospital new figures_9899_1112'!J56,IF($B$9="Elective and day cases",'Hospital new figures_9899_1112'!B56,'Hospital new figures_9899_1112'!R56))</f>
        <v>11.541834999999999</v>
      </c>
      <c r="D43" s="809">
        <f>IF($B$9="Non-electives",'Hospital new figures_9899_1112'!K56,IF($B$9="Elective and day cases",'Hospital new figures_9899_1112'!C56,'Hospital new figures_9899_1112'!S56))</f>
        <v>0.97134109495145904</v>
      </c>
      <c r="E43" s="809">
        <f>IF($B$9="Non-electives",'Hospital new figures_9899_1112'!M56,IF($B$9="Elective and day cases",'Hospital new figures_9899_1112'!D56,'Hospital new figures_9899_1112'!U56))</f>
        <v>28.533748301155057</v>
      </c>
      <c r="F43" s="809" t="str">
        <f>IF($B$9="Elective and day cases",'Hospital new figures_9899_1112'!E56,"")</f>
        <v/>
      </c>
      <c r="G43" s="809"/>
      <c r="H43" s="960"/>
      <c r="I43" s="567"/>
      <c r="J43" s="379"/>
      <c r="K43" s="567"/>
      <c r="L43" s="279"/>
      <c r="M43" s="279"/>
      <c r="N43" s="279"/>
      <c r="O43" s="279"/>
      <c r="P43" s="231"/>
      <c r="Q43" s="231"/>
      <c r="R43" s="231"/>
    </row>
    <row r="44" spans="1:18" x14ac:dyDescent="0.25">
      <c r="A44" s="567"/>
      <c r="B44" s="1324" t="s">
        <v>73</v>
      </c>
      <c r="C44" s="809" t="e">
        <f>IF($B$9="Non-electives",'Hospital new figures_9899_1112'!#REF!,IF($B$9="Elective and day cases",'Hospital new figures_9899_1112'!#REF!,'Hospital new figures_9899_1112'!#REF!))</f>
        <v>#REF!</v>
      </c>
      <c r="D44" s="809" t="e">
        <f>IF($B$9="Non-electives",'Hospital new figures_9899_1112'!#REF!,IF($B$9="Elective and day cases",'Hospital new figures_9899_1112'!#REF!,'Hospital new figures_9899_1112'!#REF!))</f>
        <v>#REF!</v>
      </c>
      <c r="E44" s="809" t="e">
        <f>IF($B$9="Non-electives",'Hospital new figures_9899_1112'!#REF!,IF($B$9="Elective and day cases",'Hospital new figures_9899_1112'!#REF!,'Hospital new figures_9899_1112'!#REF!))</f>
        <v>#REF!</v>
      </c>
      <c r="F44" s="809" t="str">
        <f>IF($B$9="Elective and day cases",'Hospital new figures_9899_1112'!#REF!,"")</f>
        <v/>
      </c>
      <c r="G44" s="809"/>
      <c r="H44" s="960"/>
      <c r="I44" s="567"/>
      <c r="J44" s="379"/>
      <c r="K44" s="567"/>
      <c r="L44" s="279"/>
      <c r="M44" s="279"/>
      <c r="N44" s="279"/>
      <c r="O44" s="279"/>
      <c r="P44" s="231"/>
      <c r="Q44" s="231"/>
      <c r="R44" s="231"/>
    </row>
    <row r="45" spans="1:18" x14ac:dyDescent="0.25">
      <c r="A45" s="567"/>
      <c r="B45" s="1324" t="s">
        <v>73</v>
      </c>
      <c r="C45" s="809">
        <f>IF($B$9="Non-electives",'Hospital new figures_9899_1112'!J57,IF($B$9="Elective and day cases",'Hospital new figures_9899_1112'!B57,'Hospital new figures_9899_1112'!R57))</f>
        <v>12.125336000000001</v>
      </c>
      <c r="D45" s="809">
        <f>IF($B$9="Non-electives",'Hospital new figures_9899_1112'!K57,IF($B$9="Elective and day cases",'Hospital new figures_9899_1112'!C57,'Hospital new figures_9899_1112'!S57))</f>
        <v>0.97260801680052422</v>
      </c>
      <c r="E45" s="809">
        <f>IF($B$9="Non-electives",'Hospital new figures_9899_1112'!M57,IF($B$9="Elective and day cases",'Hospital new figures_9899_1112'!D57,'Hospital new figures_9899_1112'!U57))</f>
        <v>28.397096696397888</v>
      </c>
      <c r="F45" s="809" t="str">
        <f>IF($B$9="Elective and day cases",'Hospital new figures_9899_1112'!E57,"")</f>
        <v/>
      </c>
      <c r="G45" s="809"/>
      <c r="H45" s="960"/>
      <c r="I45" s="567"/>
      <c r="J45" s="379"/>
      <c r="K45" s="567"/>
      <c r="L45" s="279"/>
      <c r="M45" s="279"/>
      <c r="N45" s="279"/>
      <c r="O45" s="279"/>
      <c r="P45" s="231"/>
      <c r="Q45" s="231"/>
      <c r="R45" s="231"/>
    </row>
    <row r="46" spans="1:18" x14ac:dyDescent="0.25">
      <c r="A46" s="567"/>
      <c r="B46" s="1324" t="s">
        <v>74</v>
      </c>
      <c r="C46" s="809">
        <f>IF($B$9="Non-electives",'Hospital new figures_9899_1112'!J58,IF($B$9="Elective and day cases",'Hospital new figures_9899_1112'!B58,'Hospital new figures_9899_1112'!R58))</f>
        <v>12.443735</v>
      </c>
      <c r="D46" s="809">
        <f>IF($B$9="Non-electives",'Hospital new figures_9899_1112'!K58,IF($B$9="Elective and day cases",'Hospital new figures_9899_1112'!C58,'Hospital new figures_9899_1112'!S58))</f>
        <v>0.97341917025716151</v>
      </c>
      <c r="E46" s="809">
        <f>IF($B$9="Non-electives",'Hospital new figures_9899_1112'!M58,IF($B$9="Elective and day cases",'Hospital new figures_9899_1112'!D58,'Hospital new figures_9899_1112'!U58))</f>
        <v>28.746241102515093</v>
      </c>
      <c r="F46" s="809" t="str">
        <f>IF($B$9="Elective and day cases",'Hospital new figures_9899_1112'!E58,"")</f>
        <v/>
      </c>
      <c r="G46" s="809"/>
      <c r="H46" s="960"/>
      <c r="I46" s="567"/>
      <c r="J46" s="379"/>
      <c r="K46" s="567"/>
      <c r="L46" s="279"/>
      <c r="M46" s="279"/>
      <c r="N46" s="279"/>
      <c r="O46" s="279"/>
      <c r="P46" s="231"/>
      <c r="Q46" s="231"/>
      <c r="R46" s="231"/>
    </row>
    <row r="47" spans="1:18" x14ac:dyDescent="0.25">
      <c r="A47" s="949"/>
      <c r="B47" s="1324" t="s">
        <v>75</v>
      </c>
      <c r="C47" s="809">
        <f>IF($B$9="Non-electives",'Hospital new figures_9899_1112'!J59,IF($B$9="Elective and day cases",'Hospital new figures_9899_1112'!B59,'Hospital new figures_9899_1112'!R59))</f>
        <v>13.155729000000001</v>
      </c>
      <c r="D47" s="809">
        <f>IF($B$9="Non-electives",'Hospital new figures_9899_1112'!K59,IF($B$9="Elective and day cases",'Hospital new figures_9899_1112'!C59,'Hospital new figures_9899_1112'!S59))</f>
        <v>0.97566749662447427</v>
      </c>
      <c r="E47" s="809">
        <f>IF($B$9="Non-electives",'Hospital new figures_9899_1112'!M59,IF($B$9="Elective and day cases",'Hospital new figures_9899_1112'!D59,'Hospital new figures_9899_1112'!U59))</f>
        <v>28.743665415391696</v>
      </c>
      <c r="F47" s="809" t="str">
        <f>IF($B$9="Elective and day cases",'Hospital new figures_9899_1112'!E59,"")</f>
        <v/>
      </c>
      <c r="G47" s="809"/>
      <c r="H47" s="960"/>
      <c r="I47" s="567"/>
      <c r="J47" s="379"/>
      <c r="K47" s="567"/>
      <c r="L47" s="279"/>
      <c r="M47" s="279"/>
      <c r="N47" s="279"/>
      <c r="O47" s="279"/>
      <c r="P47" s="231"/>
      <c r="Q47" s="231"/>
      <c r="R47" s="231"/>
    </row>
    <row r="48" spans="1:18" x14ac:dyDescent="0.25">
      <c r="A48" s="809"/>
      <c r="B48" s="1324" t="s">
        <v>76</v>
      </c>
      <c r="C48" s="809">
        <f>IF($B$9="Non-electives",'Hospital new figures_9899_1112'!J60,IF($B$9="Elective and day cases",'Hospital new figures_9899_1112'!B60,'Hospital new figures_9899_1112'!R60))</f>
        <v>13.558084999999998</v>
      </c>
      <c r="D48" s="809">
        <f>IF($B$9="Non-electives",'Hospital new figures_9899_1112'!K60,IF($B$9="Elective and day cases",'Hospital new figures_9899_1112'!C60,'Hospital new figures_9899_1112'!S60))</f>
        <v>0.97698337240841915</v>
      </c>
      <c r="E48" s="809">
        <f>IF($B$9="Non-electives",'Hospital new figures_9899_1112'!M60,IF($B$9="Elective and day cases",'Hospital new figures_9899_1112'!D60,'Hospital new figures_9899_1112'!U60))</f>
        <v>28.758553055230166</v>
      </c>
      <c r="F48" s="809" t="str">
        <f>IF($B$9="Elective and day cases",'Hospital new figures_9899_1112'!E60,"")</f>
        <v/>
      </c>
      <c r="G48" s="809"/>
      <c r="H48" s="567"/>
      <c r="I48" s="567"/>
      <c r="J48" s="379"/>
      <c r="K48" s="567"/>
      <c r="L48" s="279"/>
      <c r="M48" s="279"/>
      <c r="N48" s="279"/>
      <c r="O48" s="279"/>
      <c r="P48" s="231"/>
      <c r="Q48" s="231"/>
      <c r="R48" s="231"/>
    </row>
    <row r="49" spans="1:18" x14ac:dyDescent="0.25">
      <c r="A49" s="809"/>
      <c r="B49" s="1324" t="s">
        <v>4</v>
      </c>
      <c r="C49" s="809">
        <f>IF($B$9="Non-electives",'Hospital new figures_9899_1112'!J61,IF($B$9="Elective and day cases",'Hospital new figures_9899_1112'!B61,'Hospital new figures_9899_1112'!R61))</f>
        <v>14.191932000000001</v>
      </c>
      <c r="D49" s="809">
        <f>IF($B$9="Non-electives",'Hospital new figures_9899_1112'!K61,IF($B$9="Elective and day cases",'Hospital new figures_9899_1112'!C61,'Hospital new figures_9899_1112'!S61))</f>
        <v>0.9789424262743085</v>
      </c>
      <c r="E49" s="809">
        <f>IF($B$9="Non-electives",'Hospital new figures_9899_1112'!M61,IF($B$9="Elective and day cases",'Hospital new figures_9899_1112'!D61,'Hospital new figures_9899_1112'!U61))</f>
        <v>28.519277592287217</v>
      </c>
      <c r="F49" s="809" t="str">
        <f>IF($B$9="Elective and day cases",'Hospital new figures_9899_1112'!E61,"")</f>
        <v/>
      </c>
      <c r="G49" s="809"/>
      <c r="H49" s="567"/>
      <c r="I49" s="567"/>
      <c r="J49" s="379"/>
      <c r="K49" s="567"/>
      <c r="L49" s="279"/>
      <c r="M49" s="279"/>
      <c r="N49" s="279"/>
      <c r="O49" s="279"/>
      <c r="P49" s="231"/>
      <c r="Q49" s="231"/>
      <c r="R49" s="231"/>
    </row>
    <row r="50" spans="1:18" x14ac:dyDescent="0.25">
      <c r="A50" s="809"/>
      <c r="B50" s="1325" t="s">
        <v>5</v>
      </c>
      <c r="C50" s="809">
        <f>IF($B$9="Non-electives",'Hospital new figures_9899_1112'!J62,IF($B$9="Elective and day cases",'Hospital new figures_9899_1112'!B62,'Hospital new figures_9899_1112'!R62))</f>
        <v>14.974264000000002</v>
      </c>
      <c r="D50" s="809">
        <f>IF($B$9="Non-electives",'Hospital new figures_9899_1112'!K62,IF($B$9="Elective and day cases",'Hospital new figures_9899_1112'!C62,'Hospital new figures_9899_1112'!S62))</f>
        <v>0.97966739147246229</v>
      </c>
      <c r="E50" s="809">
        <f>IF($B$9="Non-electives",'Hospital new figures_9899_1112'!M62,IF($B$9="Elective and day cases",'Hospital new figures_9899_1112'!D62,'Hospital new figures_9899_1112'!U62))</f>
        <v>28.305532532350167</v>
      </c>
      <c r="F50" s="809" t="str">
        <f>IF($B$9="Elective and day cases",'Hospital new figures_9899_1112'!E62,"")</f>
        <v/>
      </c>
      <c r="G50" s="809"/>
      <c r="H50" s="567"/>
      <c r="I50" s="567"/>
      <c r="J50" s="379"/>
      <c r="K50" s="567"/>
      <c r="L50" s="279"/>
      <c r="M50" s="279"/>
      <c r="N50" s="279"/>
      <c r="O50" s="279"/>
      <c r="P50" s="231"/>
      <c r="Q50" s="231"/>
      <c r="R50" s="231"/>
    </row>
    <row r="51" spans="1:18" x14ac:dyDescent="0.25">
      <c r="A51" s="809"/>
      <c r="B51" s="1325" t="s">
        <v>6</v>
      </c>
      <c r="C51" s="809">
        <f>IF($B$9="Non-electives",'Hospital new figures_9899_1112'!J63,IF($B$9="Elective and day cases",'Hospital new figures_9899_1112'!B63,'Hospital new figures_9899_1112'!R63))</f>
        <v>15.417135999999999</v>
      </c>
      <c r="D51" s="809">
        <f>IF($B$9="Non-electives",'Hospital new figures_9899_1112'!K63,IF($B$9="Elective and day cases",'Hospital new figures_9899_1112'!C63,'Hospital new figures_9899_1112'!S63))</f>
        <v>0.98096228693189191</v>
      </c>
      <c r="E51" s="809">
        <f>IF($B$9="Non-electives",'Hospital new figures_9899_1112'!M63,IF($B$9="Elective and day cases",'Hospital new figures_9899_1112'!D63,'Hospital new figures_9899_1112'!U63))</f>
        <v>28.44992916972387</v>
      </c>
      <c r="F51" s="809" t="str">
        <f>IF($B$9="Elective and day cases",'Hospital new figures_9899_1112'!E63,"")</f>
        <v/>
      </c>
      <c r="G51" s="809"/>
      <c r="H51" s="567"/>
      <c r="I51" s="567"/>
      <c r="J51" s="379"/>
      <c r="K51" s="567"/>
      <c r="L51" s="279"/>
      <c r="M51" s="279"/>
      <c r="N51" s="279"/>
      <c r="O51" s="279"/>
      <c r="P51" s="231"/>
      <c r="Q51" s="231"/>
      <c r="R51" s="231"/>
    </row>
    <row r="52" spans="1:18" x14ac:dyDescent="0.25">
      <c r="A52" s="809"/>
      <c r="B52" s="1325" t="s">
        <v>572</v>
      </c>
      <c r="C52" s="809">
        <f>IF($B$9="Non-electives",'Hospital new figures_9899_1112'!J64,IF($B$9="Elective and day cases",'Hospital new figures_9899_1112'!B64,'Hospital new figures_9899_1112'!R64))</f>
        <v>15.864439000000001</v>
      </c>
      <c r="D52" s="809">
        <f>IF($B$9="Non-electives",'Hospital new figures_9899_1112'!K64,IF($B$9="Elective and day cases",'Hospital new figures_9899_1112'!C64,'Hospital new figures_9899_1112'!S64))</f>
        <v>0.98108468763377021</v>
      </c>
      <c r="E52" s="809">
        <f>IF($B$9="Non-electives",'Hospital new figures_9899_1112'!M64,IF($B$9="Elective and day cases",'Hospital new figures_9899_1112'!D64,'Hospital new figures_9899_1112'!U64))</f>
        <v>28.508701366622546</v>
      </c>
      <c r="F52" s="809" t="str">
        <f>IF($B$9="Elective and day cases",'Hospital new figures_9899_1112'!E64,"")</f>
        <v/>
      </c>
      <c r="G52" s="809"/>
      <c r="H52" s="567"/>
      <c r="I52" s="567"/>
      <c r="J52" s="379"/>
      <c r="K52" s="567"/>
      <c r="L52" s="279"/>
      <c r="M52" s="279"/>
      <c r="N52" s="279"/>
      <c r="O52" s="279"/>
      <c r="P52" s="231"/>
      <c r="Q52" s="231"/>
      <c r="R52" s="231"/>
    </row>
    <row r="53" spans="1:18" ht="23.25" customHeight="1" x14ac:dyDescent="0.25">
      <c r="A53" s="809"/>
      <c r="B53" s="1325" t="s">
        <v>573</v>
      </c>
      <c r="C53" s="809">
        <f>IF($B$9="Non-electives",'Hospital new figures_9899_1112'!J65,IF($B$9="Elective and day cases",'Hospital new figures_9899_1112'!B65,'Hospital new figures_9899_1112'!R65))</f>
        <v>16.001358</v>
      </c>
      <c r="D53" s="809">
        <f>IF($B$9="Non-electives",'Hospital new figures_9899_1112'!K65,IF($B$9="Elective and day cases",'Hospital new figures_9899_1112'!C65,'Hospital new figures_9899_1112'!S65))</f>
        <v>0.98166483207237798</v>
      </c>
      <c r="E53" s="809">
        <f>IF($B$9="Non-electives",'Hospital new figures_9899_1112'!M65,IF($B$9="Elective and day cases",'Hospital new figures_9899_1112'!D65,'Hospital new figures_9899_1112'!U65))</f>
        <v>28.325708043029849</v>
      </c>
      <c r="F53" s="809" t="str">
        <f>IF($B$9="Elective and day cases",'Hospital new figures_9899_1112'!E65,"")</f>
        <v/>
      </c>
      <c r="G53" s="809"/>
      <c r="H53" s="567"/>
      <c r="I53" s="567"/>
      <c r="J53" s="379"/>
      <c r="K53" s="279"/>
      <c r="L53" s="279"/>
      <c r="M53" s="279"/>
      <c r="N53" s="279"/>
      <c r="O53" s="279"/>
      <c r="P53" s="231"/>
      <c r="Q53" s="231"/>
      <c r="R53" s="231"/>
    </row>
    <row r="54" spans="1:18" x14ac:dyDescent="0.25">
      <c r="A54" s="809"/>
      <c r="B54" s="1325"/>
      <c r="C54" s="567"/>
      <c r="D54" s="567"/>
      <c r="E54" s="1326"/>
      <c r="F54" s="1326"/>
      <c r="G54" s="1326"/>
      <c r="H54" s="567"/>
      <c r="I54" s="567"/>
      <c r="J54" s="379"/>
      <c r="K54" s="279"/>
      <c r="L54" s="279"/>
      <c r="M54" s="279"/>
      <c r="N54" s="231"/>
      <c r="O54" s="231"/>
      <c r="P54" s="231"/>
      <c r="Q54" s="231"/>
      <c r="R54" s="231"/>
    </row>
    <row r="55" spans="1:18" x14ac:dyDescent="0.25">
      <c r="A55" s="1018"/>
      <c r="B55" s="1352"/>
      <c r="C55" s="379"/>
      <c r="D55" s="379"/>
      <c r="E55" s="1326"/>
      <c r="F55" s="1326"/>
      <c r="G55" s="1326"/>
      <c r="H55" s="567"/>
      <c r="I55" s="567"/>
      <c r="J55" s="379"/>
      <c r="K55" s="279"/>
      <c r="L55" s="279"/>
      <c r="M55" s="279"/>
      <c r="N55" s="231"/>
      <c r="O55" s="231"/>
      <c r="P55" s="231"/>
      <c r="Q55" s="231"/>
      <c r="R55" s="231"/>
    </row>
    <row r="56" spans="1:18" x14ac:dyDescent="0.25">
      <c r="A56" s="1018"/>
      <c r="B56" s="1352"/>
      <c r="C56" s="379"/>
      <c r="D56" s="379"/>
      <c r="E56" s="1326"/>
      <c r="F56" s="567"/>
      <c r="G56" s="567"/>
      <c r="H56" s="567"/>
      <c r="I56" s="567"/>
      <c r="J56" s="379"/>
      <c r="K56" s="279"/>
      <c r="L56" s="279"/>
      <c r="M56" s="279"/>
      <c r="N56" s="231"/>
      <c r="O56" s="231"/>
      <c r="P56" s="231"/>
      <c r="Q56" s="231"/>
      <c r="R56" s="231"/>
    </row>
    <row r="57" spans="1:18" x14ac:dyDescent="0.25">
      <c r="A57" s="1018"/>
      <c r="B57" s="1352"/>
      <c r="C57" s="378"/>
      <c r="D57" s="378"/>
      <c r="E57" s="1326"/>
      <c r="F57" s="567"/>
      <c r="G57" s="567"/>
      <c r="H57" s="567"/>
      <c r="I57" s="567"/>
      <c r="J57" s="379"/>
      <c r="K57" s="279"/>
      <c r="L57" s="279"/>
      <c r="M57" s="279"/>
      <c r="N57" s="231"/>
      <c r="O57" s="231"/>
      <c r="P57" s="231"/>
      <c r="Q57" s="231"/>
      <c r="R57" s="231"/>
    </row>
    <row r="58" spans="1:18" x14ac:dyDescent="0.25">
      <c r="A58" s="379"/>
      <c r="B58" s="1352"/>
      <c r="C58" s="378"/>
      <c r="D58" s="378"/>
      <c r="E58" s="1254"/>
      <c r="F58" s="379"/>
      <c r="G58" s="379"/>
      <c r="H58" s="379"/>
      <c r="I58" s="379"/>
      <c r="J58" s="379"/>
      <c r="K58" s="279"/>
      <c r="L58" s="279"/>
      <c r="M58" s="279"/>
      <c r="N58" s="231"/>
      <c r="O58" s="231"/>
      <c r="P58" s="231"/>
      <c r="Q58" s="231"/>
      <c r="R58" s="231"/>
    </row>
    <row r="59" spans="1:18" x14ac:dyDescent="0.25">
      <c r="A59" s="379"/>
      <c r="B59" s="379"/>
      <c r="C59" s="379"/>
      <c r="D59" s="379"/>
      <c r="E59" s="1254"/>
      <c r="F59" s="379"/>
      <c r="G59" s="379"/>
      <c r="H59" s="379"/>
      <c r="I59" s="379"/>
      <c r="J59" s="379"/>
      <c r="K59" s="279"/>
      <c r="L59" s="279"/>
      <c r="M59" s="279"/>
      <c r="N59" s="231"/>
      <c r="O59" s="231"/>
      <c r="P59" s="231"/>
      <c r="Q59" s="231"/>
      <c r="R59" s="231"/>
    </row>
    <row r="60" spans="1:18" x14ac:dyDescent="0.25">
      <c r="A60" s="379"/>
      <c r="B60" s="379"/>
      <c r="C60" s="379"/>
      <c r="D60" s="379"/>
      <c r="E60" s="1254"/>
      <c r="F60" s="379"/>
      <c r="G60" s="379"/>
      <c r="H60" s="379"/>
      <c r="I60" s="379"/>
      <c r="J60" s="379"/>
      <c r="K60" s="279"/>
      <c r="L60" s="279"/>
      <c r="M60" s="279"/>
      <c r="N60" s="231"/>
      <c r="O60" s="231"/>
      <c r="P60" s="231"/>
      <c r="Q60" s="231"/>
      <c r="R60" s="231"/>
    </row>
    <row r="61" spans="1:18" x14ac:dyDescent="0.25">
      <c r="A61" s="379"/>
      <c r="B61" s="379"/>
      <c r="C61" s="379"/>
      <c r="D61" s="379"/>
      <c r="E61" s="1254"/>
      <c r="F61" s="379"/>
      <c r="G61" s="379"/>
      <c r="H61" s="379"/>
      <c r="I61" s="379"/>
      <c r="J61" s="379"/>
      <c r="K61" s="279"/>
      <c r="L61" s="279"/>
      <c r="M61" s="279"/>
      <c r="N61" s="231"/>
      <c r="O61" s="231"/>
      <c r="P61" s="231"/>
      <c r="Q61" s="231"/>
      <c r="R61" s="231"/>
    </row>
    <row r="62" spans="1:18" x14ac:dyDescent="0.25">
      <c r="A62" s="379"/>
      <c r="B62" s="379"/>
      <c r="C62" s="379"/>
      <c r="D62" s="379"/>
      <c r="E62" s="1254"/>
      <c r="F62" s="379"/>
      <c r="G62" s="379"/>
      <c r="H62" s="379"/>
      <c r="I62" s="379"/>
      <c r="J62" s="379"/>
      <c r="K62" s="279"/>
      <c r="L62" s="279"/>
      <c r="M62" s="279"/>
      <c r="N62" s="231"/>
      <c r="O62" s="231"/>
      <c r="P62" s="231"/>
      <c r="Q62" s="231"/>
      <c r="R62" s="231"/>
    </row>
    <row r="63" spans="1:18" x14ac:dyDescent="0.25">
      <c r="A63" s="379"/>
      <c r="B63" s="379"/>
      <c r="C63" s="379"/>
      <c r="D63" s="379"/>
      <c r="E63" s="1254"/>
      <c r="F63" s="379"/>
      <c r="G63" s="379"/>
      <c r="H63" s="379"/>
      <c r="I63" s="379"/>
      <c r="J63" s="379"/>
      <c r="K63" s="279"/>
      <c r="L63" s="279"/>
      <c r="M63" s="279"/>
      <c r="N63" s="231"/>
      <c r="O63" s="231"/>
      <c r="P63" s="231"/>
      <c r="Q63" s="231"/>
      <c r="R63" s="231"/>
    </row>
    <row r="64" spans="1:18" ht="23.25" customHeight="1" x14ac:dyDescent="0.25">
      <c r="A64" s="378"/>
      <c r="B64" s="379"/>
      <c r="C64" s="379"/>
      <c r="D64" s="379"/>
      <c r="E64" s="379"/>
      <c r="F64" s="379"/>
      <c r="G64" s="379"/>
      <c r="H64" s="379"/>
      <c r="I64" s="379"/>
      <c r="J64" s="379"/>
      <c r="K64" s="279"/>
      <c r="L64" s="279"/>
      <c r="M64" s="279"/>
      <c r="N64" s="231"/>
      <c r="O64" s="231"/>
      <c r="P64" s="231"/>
      <c r="Q64" s="231"/>
      <c r="R64" s="231"/>
    </row>
    <row r="65" spans="1:18" x14ac:dyDescent="0.25">
      <c r="A65" s="378"/>
      <c r="B65" s="379"/>
      <c r="C65" s="379"/>
      <c r="D65" s="379"/>
      <c r="E65" s="379"/>
      <c r="F65" s="379"/>
      <c r="G65" s="379"/>
      <c r="H65" s="379"/>
      <c r="I65" s="379"/>
      <c r="J65" s="379"/>
      <c r="K65" s="279"/>
      <c r="L65" s="279"/>
      <c r="M65" s="279"/>
      <c r="N65" s="231"/>
      <c r="O65" s="231"/>
      <c r="P65" s="231"/>
      <c r="Q65" s="231"/>
      <c r="R65" s="231"/>
    </row>
    <row r="66" spans="1:18" x14ac:dyDescent="0.25">
      <c r="A66" s="378"/>
      <c r="B66" s="379"/>
      <c r="C66" s="379"/>
      <c r="D66" s="379"/>
      <c r="E66" s="379"/>
      <c r="F66" s="379"/>
      <c r="G66" s="379"/>
      <c r="H66" s="379"/>
      <c r="I66" s="378"/>
      <c r="J66" s="378"/>
      <c r="K66" s="231"/>
      <c r="L66" s="231"/>
      <c r="M66" s="231"/>
      <c r="N66" s="231"/>
      <c r="O66" s="231"/>
      <c r="P66" s="231"/>
      <c r="Q66" s="231"/>
      <c r="R66" s="231"/>
    </row>
    <row r="67" spans="1:18" x14ac:dyDescent="0.25">
      <c r="A67" s="378"/>
      <c r="B67" s="379"/>
      <c r="C67" s="379"/>
      <c r="D67" s="379"/>
      <c r="E67" s="379"/>
      <c r="F67" s="379"/>
      <c r="G67" s="379"/>
      <c r="H67" s="379"/>
      <c r="I67" s="378"/>
      <c r="J67" s="378"/>
      <c r="K67" s="231"/>
      <c r="L67" s="231"/>
      <c r="M67" s="231"/>
      <c r="N67" s="231"/>
      <c r="O67" s="231"/>
      <c r="P67" s="231"/>
      <c r="Q67" s="231"/>
      <c r="R67" s="231"/>
    </row>
    <row r="68" spans="1:18" x14ac:dyDescent="0.25">
      <c r="A68" s="378"/>
      <c r="B68" s="379"/>
      <c r="C68" s="379"/>
      <c r="D68" s="379"/>
      <c r="E68" s="379"/>
      <c r="F68" s="379"/>
      <c r="G68" s="379"/>
      <c r="H68" s="379"/>
      <c r="I68" s="378"/>
      <c r="J68" s="378"/>
      <c r="K68" s="231"/>
      <c r="L68" s="231"/>
      <c r="M68" s="231"/>
      <c r="N68" s="231"/>
      <c r="O68" s="231"/>
      <c r="P68" s="231"/>
      <c r="Q68" s="231"/>
      <c r="R68" s="231"/>
    </row>
    <row r="69" spans="1:18" x14ac:dyDescent="0.25">
      <c r="A69" s="378"/>
      <c r="B69" s="379"/>
      <c r="C69" s="379"/>
      <c r="D69" s="379"/>
      <c r="E69" s="379"/>
      <c r="F69" s="379"/>
      <c r="G69" s="379"/>
      <c r="H69" s="379"/>
      <c r="I69" s="378"/>
      <c r="J69" s="378"/>
      <c r="K69" s="231"/>
      <c r="L69" s="231"/>
      <c r="M69" s="231"/>
      <c r="N69" s="231"/>
      <c r="O69" s="231"/>
      <c r="P69" s="231"/>
      <c r="Q69" s="231"/>
      <c r="R69" s="231"/>
    </row>
    <row r="70" spans="1:18" x14ac:dyDescent="0.25">
      <c r="A70" s="378"/>
      <c r="B70" s="379"/>
      <c r="C70" s="379"/>
      <c r="D70" s="379"/>
      <c r="E70" s="379"/>
      <c r="F70" s="379"/>
      <c r="G70" s="379"/>
      <c r="H70" s="379"/>
      <c r="I70" s="378"/>
      <c r="J70" s="378"/>
      <c r="K70" s="231"/>
      <c r="L70" s="231"/>
      <c r="M70" s="231"/>
      <c r="N70" s="231"/>
      <c r="O70" s="231"/>
      <c r="P70" s="231"/>
      <c r="Q70" s="231"/>
      <c r="R70" s="231"/>
    </row>
    <row r="71" spans="1:18" x14ac:dyDescent="0.25">
      <c r="A71" s="378"/>
      <c r="B71" s="379"/>
      <c r="C71" s="379"/>
      <c r="D71" s="379"/>
      <c r="E71" s="379"/>
      <c r="F71" s="379"/>
      <c r="G71" s="379"/>
      <c r="H71" s="379"/>
      <c r="I71" s="378"/>
      <c r="J71" s="378"/>
      <c r="K71" s="231"/>
      <c r="L71" s="231"/>
      <c r="M71" s="231"/>
      <c r="N71" s="231"/>
      <c r="O71" s="231"/>
      <c r="P71" s="231"/>
      <c r="Q71" s="231"/>
      <c r="R71" s="231"/>
    </row>
    <row r="72" spans="1:18" x14ac:dyDescent="0.25">
      <c r="A72" s="378"/>
      <c r="B72" s="379"/>
      <c r="C72" s="379"/>
      <c r="D72" s="379"/>
      <c r="E72" s="379"/>
      <c r="F72" s="379"/>
      <c r="G72" s="379"/>
      <c r="H72" s="379"/>
      <c r="I72" s="378"/>
      <c r="J72" s="378"/>
      <c r="K72" s="231"/>
      <c r="L72" s="231"/>
      <c r="M72" s="231"/>
      <c r="N72" s="231"/>
      <c r="O72" s="231"/>
      <c r="P72" s="231"/>
      <c r="Q72" s="231"/>
      <c r="R72" s="231"/>
    </row>
    <row r="73" spans="1:18" x14ac:dyDescent="0.25">
      <c r="A73" s="378"/>
      <c r="B73" s="379"/>
      <c r="C73" s="379"/>
      <c r="D73" s="379"/>
      <c r="E73" s="379"/>
      <c r="F73" s="379"/>
      <c r="G73" s="379"/>
      <c r="H73" s="379"/>
      <c r="I73" s="378"/>
      <c r="J73" s="378"/>
      <c r="K73" s="231"/>
      <c r="L73" s="231"/>
      <c r="M73" s="231"/>
      <c r="N73" s="231"/>
      <c r="O73" s="231"/>
      <c r="P73" s="231"/>
      <c r="Q73" s="231"/>
      <c r="R73" s="231"/>
    </row>
    <row r="74" spans="1:18" ht="23.25" customHeight="1" x14ac:dyDescent="0.25">
      <c r="A74" s="378"/>
      <c r="B74" s="379"/>
      <c r="C74" s="379"/>
      <c r="D74" s="379"/>
      <c r="E74" s="379"/>
      <c r="F74" s="379"/>
      <c r="G74" s="379"/>
      <c r="H74" s="379"/>
      <c r="I74" s="378"/>
      <c r="J74" s="378"/>
      <c r="K74" s="231"/>
      <c r="L74" s="231"/>
      <c r="M74" s="231"/>
      <c r="N74" s="231"/>
      <c r="O74" s="231"/>
      <c r="P74" s="231"/>
      <c r="Q74" s="231"/>
      <c r="R74" s="231"/>
    </row>
    <row r="75" spans="1:18" x14ac:dyDescent="0.25">
      <c r="A75" s="378"/>
      <c r="B75" s="379"/>
      <c r="C75" s="379"/>
      <c r="D75" s="379"/>
      <c r="E75" s="379"/>
      <c r="F75" s="379"/>
      <c r="G75" s="379"/>
      <c r="H75" s="379"/>
      <c r="I75" s="378"/>
      <c r="J75" s="378"/>
      <c r="K75" s="231"/>
      <c r="L75" s="231"/>
      <c r="M75" s="231"/>
      <c r="N75" s="231"/>
      <c r="O75" s="231"/>
      <c r="P75" s="231"/>
      <c r="Q75" s="231"/>
      <c r="R75" s="231"/>
    </row>
    <row r="76" spans="1:18" x14ac:dyDescent="0.25">
      <c r="A76" s="378"/>
      <c r="B76" s="379"/>
      <c r="C76" s="379"/>
      <c r="D76" s="379"/>
      <c r="E76" s="379"/>
      <c r="F76" s="379"/>
      <c r="G76" s="379"/>
      <c r="H76" s="379"/>
      <c r="I76" s="378"/>
      <c r="J76" s="378"/>
      <c r="K76" s="231"/>
      <c r="L76" s="231"/>
      <c r="M76" s="231"/>
      <c r="N76" s="231"/>
      <c r="O76" s="231"/>
      <c r="P76" s="231"/>
      <c r="Q76" s="231"/>
      <c r="R76" s="231"/>
    </row>
    <row r="77" spans="1:18" x14ac:dyDescent="0.25">
      <c r="A77" s="378"/>
      <c r="B77" s="379"/>
      <c r="C77" s="379"/>
      <c r="D77" s="379"/>
      <c r="E77" s="379"/>
      <c r="F77" s="379"/>
      <c r="G77" s="379"/>
      <c r="H77" s="379"/>
      <c r="I77" s="378"/>
      <c r="J77" s="378"/>
      <c r="K77" s="231"/>
      <c r="L77" s="231"/>
      <c r="M77" s="231"/>
      <c r="N77" s="231"/>
      <c r="O77" s="231"/>
      <c r="P77" s="231"/>
      <c r="Q77" s="231"/>
      <c r="R77" s="231"/>
    </row>
    <row r="78" spans="1:18" x14ac:dyDescent="0.25">
      <c r="A78" s="378"/>
      <c r="B78" s="378"/>
      <c r="C78" s="379"/>
      <c r="D78" s="379"/>
      <c r="E78" s="379"/>
      <c r="F78" s="379"/>
      <c r="G78" s="379"/>
      <c r="H78" s="379"/>
      <c r="I78" s="378"/>
      <c r="J78" s="378"/>
      <c r="K78" s="231"/>
      <c r="L78" s="231"/>
      <c r="M78" s="231"/>
      <c r="N78" s="231"/>
      <c r="O78" s="231"/>
      <c r="P78" s="231"/>
      <c r="Q78" s="231"/>
      <c r="R78" s="231"/>
    </row>
    <row r="79" spans="1:18" x14ac:dyDescent="0.25">
      <c r="A79" s="378"/>
      <c r="B79" s="378"/>
      <c r="C79" s="379"/>
      <c r="D79" s="379"/>
      <c r="E79" s="379"/>
      <c r="F79" s="379"/>
      <c r="G79" s="379"/>
      <c r="H79" s="379"/>
      <c r="I79" s="378"/>
      <c r="J79" s="378"/>
      <c r="K79" s="231"/>
      <c r="L79" s="231"/>
      <c r="M79" s="231"/>
      <c r="N79" s="231"/>
      <c r="O79" s="231"/>
      <c r="P79" s="231"/>
      <c r="Q79" s="231"/>
      <c r="R79" s="231"/>
    </row>
    <row r="80" spans="1:18" x14ac:dyDescent="0.25">
      <c r="A80" s="378"/>
      <c r="B80" s="378"/>
      <c r="C80" s="379"/>
      <c r="D80" s="379"/>
      <c r="E80" s="379"/>
      <c r="F80" s="379"/>
      <c r="G80" s="379"/>
      <c r="H80" s="379"/>
      <c r="I80" s="378"/>
      <c r="J80" s="378"/>
      <c r="K80" s="231"/>
      <c r="L80" s="231"/>
      <c r="M80" s="231"/>
      <c r="N80" s="231"/>
      <c r="O80" s="231"/>
      <c r="P80" s="231"/>
      <c r="Q80" s="231"/>
      <c r="R80" s="231"/>
    </row>
    <row r="81" spans="1:18" x14ac:dyDescent="0.25">
      <c r="A81" s="378"/>
      <c r="B81" s="378"/>
      <c r="C81" s="378"/>
      <c r="D81" s="378"/>
      <c r="E81" s="379"/>
      <c r="F81" s="379"/>
      <c r="G81" s="379"/>
      <c r="H81" s="379"/>
      <c r="I81" s="378"/>
      <c r="J81" s="378"/>
      <c r="K81" s="231"/>
      <c r="L81" s="231"/>
      <c r="M81" s="231"/>
      <c r="N81" s="231"/>
      <c r="O81" s="231"/>
      <c r="P81" s="231"/>
      <c r="Q81" s="231"/>
      <c r="R81" s="231"/>
    </row>
    <row r="82" spans="1:18" x14ac:dyDescent="0.25">
      <c r="A82" s="378"/>
      <c r="B82" s="378"/>
      <c r="C82" s="378"/>
      <c r="D82" s="378"/>
      <c r="E82" s="378"/>
      <c r="F82" s="378"/>
      <c r="G82" s="378"/>
      <c r="H82" s="378"/>
      <c r="I82" s="378"/>
      <c r="J82" s="378"/>
      <c r="K82" s="231"/>
      <c r="L82" s="231"/>
      <c r="M82" s="231"/>
      <c r="N82" s="231"/>
      <c r="O82" s="231"/>
      <c r="P82" s="231"/>
      <c r="Q82" s="231"/>
      <c r="R82" s="231"/>
    </row>
    <row r="83" spans="1:18" x14ac:dyDescent="0.25">
      <c r="A83" s="378"/>
      <c r="B83" s="378"/>
      <c r="C83" s="378"/>
      <c r="D83" s="378"/>
      <c r="E83" s="378"/>
      <c r="F83" s="378"/>
      <c r="G83" s="378"/>
      <c r="H83" s="378"/>
      <c r="I83" s="378"/>
      <c r="J83" s="378"/>
      <c r="K83" s="231"/>
      <c r="L83" s="231"/>
      <c r="M83" s="231"/>
      <c r="N83" s="231"/>
      <c r="O83" s="231"/>
      <c r="P83" s="231"/>
      <c r="Q83" s="231"/>
      <c r="R83" s="231"/>
    </row>
    <row r="84" spans="1:18" ht="23.25" customHeight="1" x14ac:dyDescent="0.25">
      <c r="A84" s="378"/>
      <c r="B84" s="378"/>
      <c r="C84" s="378"/>
      <c r="D84" s="378"/>
      <c r="E84" s="378"/>
      <c r="F84" s="378"/>
      <c r="G84" s="378"/>
      <c r="H84" s="378"/>
      <c r="I84" s="378"/>
      <c r="J84" s="378"/>
      <c r="K84" s="231"/>
      <c r="L84" s="231"/>
      <c r="M84" s="231"/>
      <c r="N84" s="231"/>
      <c r="O84" s="231"/>
      <c r="P84" s="231"/>
      <c r="Q84" s="231"/>
      <c r="R84" s="231"/>
    </row>
    <row r="85" spans="1:18" x14ac:dyDescent="0.25">
      <c r="A85" s="378"/>
      <c r="B85" s="378"/>
      <c r="C85" s="378"/>
      <c r="D85" s="378"/>
      <c r="E85" s="378"/>
      <c r="F85" s="378"/>
      <c r="G85" s="378"/>
      <c r="H85" s="378"/>
      <c r="I85" s="378"/>
      <c r="J85" s="378"/>
      <c r="K85" s="231"/>
      <c r="L85" s="231"/>
      <c r="M85" s="231"/>
      <c r="N85" s="231"/>
      <c r="O85" s="231"/>
      <c r="P85" s="231"/>
      <c r="Q85" s="231"/>
      <c r="R85" s="231"/>
    </row>
    <row r="86" spans="1:18" x14ac:dyDescent="0.25">
      <c r="A86" s="378"/>
      <c r="B86" s="378"/>
      <c r="C86" s="378"/>
      <c r="D86" s="378"/>
      <c r="E86" s="378"/>
      <c r="F86" s="378"/>
      <c r="G86" s="378"/>
      <c r="H86" s="378"/>
      <c r="I86" s="378"/>
      <c r="J86" s="378"/>
      <c r="K86" s="231"/>
      <c r="L86" s="231"/>
      <c r="M86" s="231"/>
      <c r="N86" s="231"/>
      <c r="O86" s="231"/>
      <c r="P86" s="231"/>
      <c r="Q86" s="231"/>
      <c r="R86" s="231"/>
    </row>
    <row r="87" spans="1:18" x14ac:dyDescent="0.25">
      <c r="A87" s="378"/>
      <c r="B87" s="378"/>
      <c r="C87" s="378"/>
      <c r="D87" s="378"/>
      <c r="E87" s="378"/>
      <c r="F87" s="378"/>
      <c r="G87" s="378"/>
      <c r="H87" s="378"/>
      <c r="I87" s="378"/>
      <c r="J87" s="378"/>
      <c r="K87" s="231"/>
      <c r="L87" s="231"/>
      <c r="M87" s="231"/>
      <c r="N87" s="231"/>
      <c r="O87" s="231"/>
      <c r="P87" s="231"/>
      <c r="Q87" s="231"/>
      <c r="R87" s="231"/>
    </row>
    <row r="88" spans="1:18" x14ac:dyDescent="0.25">
      <c r="A88" s="378"/>
      <c r="B88" s="378"/>
      <c r="C88" s="378"/>
      <c r="D88" s="378"/>
      <c r="E88" s="378"/>
      <c r="F88" s="378"/>
      <c r="G88" s="378"/>
      <c r="H88" s="378"/>
      <c r="I88" s="378"/>
      <c r="J88" s="378"/>
      <c r="K88" s="231"/>
      <c r="L88" s="231"/>
      <c r="M88" s="231"/>
      <c r="N88" s="231"/>
      <c r="O88" s="231"/>
      <c r="P88" s="231"/>
      <c r="Q88" s="231"/>
      <c r="R88" s="231"/>
    </row>
    <row r="89" spans="1:18" x14ac:dyDescent="0.25">
      <c r="A89" s="231"/>
      <c r="B89" s="231"/>
      <c r="C89" s="231"/>
      <c r="D89" s="231"/>
      <c r="E89" s="231"/>
      <c r="F89" s="231"/>
      <c r="G89" s="231"/>
      <c r="H89" s="231"/>
      <c r="I89" s="231"/>
      <c r="J89" s="231"/>
      <c r="K89" s="231"/>
      <c r="L89" s="231"/>
      <c r="M89" s="231"/>
      <c r="N89" s="231"/>
      <c r="O89" s="231"/>
      <c r="P89" s="231"/>
      <c r="Q89" s="231"/>
      <c r="R89" s="231"/>
    </row>
    <row r="90" spans="1:18" x14ac:dyDescent="0.25">
      <c r="A90" s="231"/>
      <c r="B90" s="231"/>
      <c r="C90" s="231"/>
      <c r="D90" s="231"/>
      <c r="E90" s="231"/>
      <c r="F90" s="231"/>
      <c r="G90" s="231"/>
      <c r="H90" s="231"/>
      <c r="I90" s="231"/>
      <c r="J90" s="231"/>
      <c r="K90" s="231"/>
      <c r="L90" s="231"/>
      <c r="M90" s="231"/>
      <c r="N90" s="231"/>
      <c r="O90" s="231"/>
      <c r="P90" s="231"/>
      <c r="Q90" s="231"/>
      <c r="R90" s="231"/>
    </row>
    <row r="91" spans="1:18" x14ac:dyDescent="0.25">
      <c r="A91" s="231"/>
      <c r="B91" s="231"/>
      <c r="C91" s="231"/>
      <c r="D91" s="231"/>
      <c r="E91" s="231"/>
      <c r="F91" s="231"/>
      <c r="G91" s="231"/>
      <c r="H91" s="231"/>
      <c r="I91" s="231"/>
      <c r="J91" s="231"/>
      <c r="K91" s="231"/>
      <c r="L91" s="231"/>
      <c r="M91" s="231"/>
      <c r="N91" s="231"/>
      <c r="O91" s="231"/>
      <c r="P91" s="231"/>
      <c r="Q91" s="231"/>
      <c r="R91" s="231"/>
    </row>
    <row r="92" spans="1:18" x14ac:dyDescent="0.25">
      <c r="A92" s="231"/>
      <c r="B92" s="231"/>
      <c r="C92" s="231"/>
      <c r="D92" s="231"/>
      <c r="E92" s="231"/>
      <c r="F92" s="231"/>
      <c r="G92" s="231"/>
      <c r="H92" s="231"/>
      <c r="I92" s="231"/>
      <c r="J92" s="231"/>
      <c r="K92" s="231"/>
      <c r="L92" s="231"/>
      <c r="M92" s="231"/>
      <c r="N92" s="231"/>
      <c r="O92" s="231"/>
      <c r="P92" s="231"/>
      <c r="Q92" s="231"/>
      <c r="R92" s="231"/>
    </row>
    <row r="94" spans="1:18" ht="23.25" customHeight="1" x14ac:dyDescent="0.25"/>
  </sheetData>
  <sheetProtection formatCells="0"/>
  <protectedRanges>
    <protectedRange sqref="B9" name="Range1"/>
  </protectedRanges>
  <mergeCells count="2">
    <mergeCell ref="A1:B1"/>
    <mergeCell ref="I13:I16"/>
  </mergeCells>
  <conditionalFormatting sqref="E13:E16">
    <cfRule type="iconSet" priority="1">
      <iconSet iconSet="3Arrows" showValue="0">
        <cfvo type="percent" val="0"/>
        <cfvo type="num" val="0"/>
        <cfvo type="num" val="0" gte="0"/>
      </iconSet>
    </cfRule>
  </conditionalFormatting>
  <dataValidations count="1">
    <dataValidation type="list" allowBlank="1" showInputMessage="1" showErrorMessage="1" sqref="B9">
      <formula1>hospital_activity</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79201" r:id="rId4" name="Check Box 1">
              <controlPr defaultSize="0" autoFill="0" autoLine="0" autoPict="0">
                <anchor moveWithCells="1">
                  <from>
                    <xdr:col>0</xdr:col>
                    <xdr:colOff>590550</xdr:colOff>
                    <xdr:row>17</xdr:row>
                    <xdr:rowOff>0</xdr:rowOff>
                  </from>
                  <to>
                    <xdr:col>2</xdr:col>
                    <xdr:colOff>171450</xdr:colOff>
                    <xdr:row>17</xdr:row>
                    <xdr:rowOff>304800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V80"/>
  <sheetViews>
    <sheetView showGridLines="0" showRowColHeaders="0" topLeftCell="A16" zoomScale="70" zoomScaleNormal="70" workbookViewId="0">
      <selection activeCell="F35" sqref="F35:K41"/>
    </sheetView>
  </sheetViews>
  <sheetFormatPr defaultRowHeight="15" x14ac:dyDescent="0.25"/>
  <cols>
    <col min="1" max="1" width="9.140625" style="233"/>
    <col min="2" max="2" width="36.28515625" style="233" customWidth="1"/>
    <col min="3" max="4" width="9.7109375" style="233" customWidth="1"/>
    <col min="5" max="5" width="8.140625" style="233" customWidth="1"/>
    <col min="6" max="6" width="12" style="233" customWidth="1"/>
    <col min="7" max="7" width="19.28515625" style="233" customWidth="1"/>
    <col min="8" max="8" width="20.28515625" style="233" customWidth="1"/>
    <col min="9" max="9" width="19" style="233" customWidth="1"/>
    <col min="10" max="10" width="14.7109375" style="233" customWidth="1"/>
    <col min="11" max="11" width="9.7109375" style="233" customWidth="1"/>
    <col min="12" max="12" width="6.7109375" style="233" customWidth="1"/>
    <col min="13" max="13" width="27.7109375" style="233" customWidth="1"/>
    <col min="14" max="14" width="7.7109375" style="233" customWidth="1"/>
    <col min="15" max="15" width="16.28515625" style="233" bestFit="1" customWidth="1"/>
    <col min="16" max="16" width="22.5703125" style="233" bestFit="1" customWidth="1"/>
    <col min="17" max="17" width="21.28515625" style="233" bestFit="1" customWidth="1"/>
    <col min="18" max="18" width="22.28515625" style="233" bestFit="1" customWidth="1"/>
    <col min="19" max="16384" width="9.140625" style="233"/>
  </cols>
  <sheetData>
    <row r="1" spans="2:22" x14ac:dyDescent="0.25">
      <c r="B1" s="658"/>
    </row>
    <row r="3" spans="2:22" x14ac:dyDescent="0.25">
      <c r="G3" s="233" t="s">
        <v>705</v>
      </c>
    </row>
    <row r="4" spans="2:22" ht="31.5" x14ac:dyDescent="0.5">
      <c r="B4" s="626" t="s">
        <v>218</v>
      </c>
      <c r="G4" s="233" t="s">
        <v>706</v>
      </c>
    </row>
    <row r="5" spans="2:22" x14ac:dyDescent="0.25">
      <c r="B5" s="276"/>
      <c r="C5" s="276"/>
      <c r="D5" s="276"/>
      <c r="E5" s="276"/>
      <c r="F5" s="276"/>
      <c r="G5" s="276" t="s">
        <v>136</v>
      </c>
      <c r="H5" s="276"/>
    </row>
    <row r="6" spans="2:22" ht="23.25" customHeight="1" x14ac:dyDescent="0.25">
      <c r="B6" s="627" t="s">
        <v>412</v>
      </c>
    </row>
    <row r="7" spans="2:22" x14ac:dyDescent="0.25">
      <c r="B7" s="276"/>
    </row>
    <row r="8" spans="2:22" x14ac:dyDescent="0.25">
      <c r="B8" s="627" t="s">
        <v>653</v>
      </c>
    </row>
    <row r="9" spans="2:22" x14ac:dyDescent="0.25">
      <c r="B9" s="276" t="s">
        <v>225</v>
      </c>
    </row>
    <row r="10" spans="2:22" x14ac:dyDescent="0.25">
      <c r="B10" s="692" t="s">
        <v>470</v>
      </c>
    </row>
    <row r="12" spans="2:22" ht="26.25" x14ac:dyDescent="0.25">
      <c r="B12" s="1577" t="s">
        <v>702</v>
      </c>
      <c r="C12" s="705" t="s">
        <v>704</v>
      </c>
      <c r="D12" s="706" t="s">
        <v>506</v>
      </c>
      <c r="E12" s="706" t="s">
        <v>507</v>
      </c>
      <c r="F12" s="1456" t="s">
        <v>635</v>
      </c>
      <c r="G12" s="1486" t="s">
        <v>503</v>
      </c>
      <c r="H12" s="1455" t="s">
        <v>645</v>
      </c>
      <c r="I12" s="1577" t="s">
        <v>702</v>
      </c>
      <c r="J12" s="705" t="s">
        <v>645</v>
      </c>
      <c r="K12" s="706" t="s">
        <v>506</v>
      </c>
      <c r="L12" s="706" t="s">
        <v>507</v>
      </c>
      <c r="M12" s="1456" t="s">
        <v>635</v>
      </c>
      <c r="N12" s="1486" t="s">
        <v>503</v>
      </c>
      <c r="O12" s="1455" t="s">
        <v>645</v>
      </c>
      <c r="P12" s="1462"/>
      <c r="Q12" s="1462"/>
      <c r="R12" s="1460"/>
      <c r="S12" s="1461"/>
      <c r="T12" s="1459"/>
      <c r="U12" s="1461"/>
    </row>
    <row r="13" spans="2:22" ht="21.95" customHeight="1" x14ac:dyDescent="0.25">
      <c r="B13" s="664" t="s">
        <v>694</v>
      </c>
      <c r="I13" s="676" t="s">
        <v>348</v>
      </c>
      <c r="J13" s="886">
        <f>IF($B$10="Activity",'Primary care (2)'!C27,'Primary care (2)'!C18)</f>
        <v>69</v>
      </c>
      <c r="K13" s="886">
        <f>IF($B$10="Activity",'Primary care (2)'!D27,'Primary care (2)'!D18)</f>
        <v>69</v>
      </c>
      <c r="L13" s="886">
        <f>IF($B$10="Activity",'Primary care (2)'!E27,'Primary care (2)'!E18)</f>
        <v>55</v>
      </c>
      <c r="M13" s="886">
        <f>IF($B$10="Activity",'Primary care (2)'!F27,'Primary care (2)'!F18)</f>
        <v>58</v>
      </c>
      <c r="N13" s="886">
        <f>IF($B$10="Activity",'Primary care (2)'!G27,'Primary care (2)'!G18)</f>
        <v>117</v>
      </c>
      <c r="O13" s="886">
        <f>IF($B$10="Activity",'Primary care (2)'!H27,'Primary care (2)'!H18)</f>
        <v>120</v>
      </c>
      <c r="P13" s="886"/>
      <c r="Q13" s="886"/>
      <c r="R13" s="693"/>
      <c r="S13" s="1463"/>
      <c r="T13" s="1921"/>
      <c r="U13" s="1464"/>
      <c r="V13" s="671"/>
    </row>
    <row r="14" spans="2:22" ht="21.95" customHeight="1" x14ac:dyDescent="0.25">
      <c r="B14" s="664" t="s">
        <v>695</v>
      </c>
      <c r="I14" s="676" t="s">
        <v>349</v>
      </c>
      <c r="J14" s="886">
        <f>IF($B$10="Activity",'Primary care (2)'!C28,'Primary care (2)'!C19)</f>
        <v>30</v>
      </c>
      <c r="K14" s="886">
        <f>IF($B$10="Activity",'Primary care (2)'!D28,'Primary care (2)'!D19)</f>
        <v>27</v>
      </c>
      <c r="L14" s="886">
        <f>IF($B$10="Activity",'Primary care (2)'!E28,'Primary care (2)'!E19)</f>
        <v>21</v>
      </c>
      <c r="M14" s="886">
        <f>IF($B$10="Activity",'Primary care (2)'!F28,'Primary care (2)'!F19)</f>
        <v>22</v>
      </c>
      <c r="N14" s="886">
        <f>IF($B$10="Activity",'Primary care (2)'!G28,'Primary care (2)'!G19)</f>
        <v>21</v>
      </c>
      <c r="O14" s="886">
        <f>IF($B$10="Activity",'Primary care (2)'!H28,'Primary care (2)'!H19)</f>
        <v>22</v>
      </c>
      <c r="P14" s="886"/>
      <c r="Q14" s="886"/>
      <c r="R14" s="693"/>
      <c r="S14" s="1463"/>
      <c r="T14" s="1921"/>
      <c r="U14" s="1464"/>
      <c r="V14" s="671"/>
    </row>
    <row r="15" spans="2:22" ht="21.95" customHeight="1" x14ac:dyDescent="0.25">
      <c r="B15" s="664" t="s">
        <v>696</v>
      </c>
      <c r="I15" s="676" t="s">
        <v>350</v>
      </c>
      <c r="J15" s="886">
        <f>IF($B$10="Activity",'Primary care (2)'!C29,'Primary care (2)'!C20)</f>
        <v>24</v>
      </c>
      <c r="K15" s="886">
        <f>IF($B$10="Activity",'Primary care (2)'!D29,'Primary care (2)'!D20)</f>
        <v>25</v>
      </c>
      <c r="L15" s="886">
        <f>IF($B$10="Activity",'Primary care (2)'!E29,'Primary care (2)'!E20)</f>
        <v>34</v>
      </c>
      <c r="M15" s="886">
        <f>IF($B$10="Activity",'Primary care (2)'!F29,'Primary care (2)'!F20)</f>
        <v>36</v>
      </c>
      <c r="N15" s="886">
        <f>IF($B$10="Activity",'Primary care (2)'!G29,'Primary care (2)'!G20)</f>
        <v>35</v>
      </c>
      <c r="O15" s="886">
        <f>IF($B$10="Activity",'Primary care (2)'!H29,'Primary care (2)'!H20)</f>
        <v>36</v>
      </c>
      <c r="P15" s="886"/>
      <c r="Q15" s="886"/>
      <c r="R15" s="693"/>
      <c r="S15" s="1463"/>
      <c r="T15" s="1921"/>
      <c r="U15" s="1464"/>
      <c r="V15" s="671"/>
    </row>
    <row r="16" spans="2:22" ht="21.95" customHeight="1" x14ac:dyDescent="0.25">
      <c r="B16" s="664" t="s">
        <v>697</v>
      </c>
      <c r="I16" s="676" t="s">
        <v>351</v>
      </c>
      <c r="J16" s="886">
        <f>IF($B$10="Activity",'Primary care (2)'!C30,'Primary care (2)'!C21)</f>
        <v>24</v>
      </c>
      <c r="K16" s="886">
        <f>IF($B$10="Activity",'Primary care (2)'!D30,'Primary care (2)'!D21)</f>
        <v>25</v>
      </c>
      <c r="L16" s="886">
        <f>IF($B$10="Activity",'Primary care (2)'!E30,'Primary care (2)'!E21)</f>
        <v>34</v>
      </c>
      <c r="M16" s="886">
        <f>IF($B$10="Activity",'Primary care (2)'!F30,'Primary care (2)'!F21)</f>
        <v>36</v>
      </c>
      <c r="N16" s="886">
        <f>IF($B$10="Activity",'Primary care (2)'!G30,'Primary care (2)'!G21)</f>
        <v>35</v>
      </c>
      <c r="O16" s="886">
        <f>IF($B$10="Activity",'Primary care (2)'!H30,'Primary care (2)'!H21)</f>
        <v>36</v>
      </c>
      <c r="P16" s="886"/>
      <c r="Q16" s="886"/>
      <c r="R16" s="693"/>
      <c r="S16" s="1463"/>
      <c r="T16" s="1921"/>
      <c r="U16" s="1464"/>
      <c r="V16" s="671"/>
    </row>
    <row r="17" spans="1:22" ht="21.95" customHeight="1" x14ac:dyDescent="0.25">
      <c r="B17" s="694" t="s">
        <v>703</v>
      </c>
      <c r="I17" s="676" t="s">
        <v>352</v>
      </c>
      <c r="J17" s="886">
        <f>IF($B$10="Activity",'Primary care (2)'!C31,'Primary care (2)'!C22)</f>
        <v>10</v>
      </c>
      <c r="K17" s="886">
        <f>IF($B$10="Activity",'Primary care (2)'!D31,'Primary care (2)'!D22)</f>
        <v>10</v>
      </c>
      <c r="L17" s="886">
        <f>IF($B$10="Activity",'Primary care (2)'!E31,'Primary care (2)'!E22)</f>
        <v>9</v>
      </c>
      <c r="M17" s="886">
        <f>IF($B$10="Activity",'Primary care (2)'!F31,'Primary care (2)'!F22)</f>
        <v>11</v>
      </c>
      <c r="N17" s="886">
        <f>IF($B$10="Activity",'Primary care (2)'!G31,'Primary care (2)'!G22)</f>
        <v>11</v>
      </c>
      <c r="O17" s="886">
        <f>IF($B$10="Activity",'Primary care (2)'!H31,'Primary care (2)'!H22)</f>
        <v>12</v>
      </c>
      <c r="P17" s="886"/>
      <c r="Q17" s="886"/>
      <c r="R17" s="693"/>
      <c r="S17" s="1463"/>
      <c r="T17" s="1921"/>
      <c r="U17" s="1464"/>
      <c r="V17" s="671"/>
    </row>
    <row r="18" spans="1:22" ht="21.95" customHeight="1" x14ac:dyDescent="0.25">
      <c r="I18" s="676" t="s">
        <v>353</v>
      </c>
      <c r="J18" s="886">
        <f>IF($B$10="Activity",'Primary care (2)'!C32,'Primary care (2)'!C23)</f>
        <v>15</v>
      </c>
      <c r="K18" s="886">
        <f>IF($B$10="Activity",'Primary care (2)'!D32,'Primary care (2)'!D23)</f>
        <v>15</v>
      </c>
      <c r="L18" s="886">
        <f>IF($B$10="Activity",'Primary care (2)'!E32,'Primary care (2)'!E23)</f>
        <v>14</v>
      </c>
      <c r="M18" s="886">
        <f>IF($B$10="Activity",'Primary care (2)'!F32,'Primary care (2)'!F23)</f>
        <v>14</v>
      </c>
      <c r="N18" s="886">
        <f>IF($B$10="Activity",'Primary care (2)'!G32,'Primary care (2)'!G23)</f>
        <v>14</v>
      </c>
      <c r="O18" s="886">
        <f>IF($B$10="Activity",'Primary care (2)'!H32,'Primary care (2)'!H23)</f>
        <v>17</v>
      </c>
      <c r="P18" s="886"/>
      <c r="Q18" s="886"/>
      <c r="R18" s="693"/>
      <c r="S18" s="1463"/>
      <c r="T18" s="1921"/>
      <c r="U18" s="1464"/>
      <c r="V18" s="671"/>
    </row>
    <row r="19" spans="1:22" ht="21.95" customHeight="1" x14ac:dyDescent="0.25">
      <c r="B19" s="694" t="s">
        <v>48</v>
      </c>
      <c r="I19" s="887" t="str">
        <f>IF($B$10="Activity","Total", "Average")</f>
        <v>Average</v>
      </c>
      <c r="J19" s="887">
        <f>IF($B$10="Activity",'Primary care (2)'!C33,'Primary care (2)'!C24)</f>
        <v>20.460090361445783</v>
      </c>
      <c r="K19" s="887">
        <f>IF($B$10="Activity",'Primary care (2)'!D33,'Primary care (2)'!D24)</f>
        <v>20.128223242670433</v>
      </c>
      <c r="L19" s="887">
        <f>IF($B$10="Activity",'Primary care (2)'!E33,'Primary care (2)'!E24)</f>
        <v>24.52764505119454</v>
      </c>
      <c r="M19" s="887">
        <f>IF($B$10="Activity",'Primary care (2)'!F33,'Primary care (2)'!F24)</f>
        <v>26.4382905982906</v>
      </c>
      <c r="N19" s="887">
        <f>IF($B$10="Activity",'Primary care (2)'!G33,'Primary care (2)'!G24)</f>
        <v>26.974034620505993</v>
      </c>
      <c r="O19" s="887">
        <f>IF($B$10="Activity",'Primary care (2)'!H33,'Primary care (2)'!H24)</f>
        <v>28.085885486018643</v>
      </c>
      <c r="P19" s="887"/>
      <c r="Q19" s="887"/>
      <c r="R19" s="693"/>
      <c r="S19" s="1463"/>
      <c r="T19" s="1921"/>
      <c r="U19" s="1464"/>
    </row>
    <row r="20" spans="1:22" ht="21.95" customHeight="1" x14ac:dyDescent="0.25">
      <c r="B20" s="664"/>
      <c r="C20" s="664"/>
      <c r="D20" s="664"/>
      <c r="E20" s="664"/>
      <c r="F20" s="664"/>
      <c r="G20" s="664"/>
      <c r="H20" s="664"/>
      <c r="I20" s="664"/>
      <c r="J20" s="664"/>
      <c r="K20" s="664"/>
      <c r="L20" s="664"/>
      <c r="N20" s="671"/>
      <c r="Q20" s="658"/>
    </row>
    <row r="21" spans="1:22" x14ac:dyDescent="0.25">
      <c r="B21" s="664"/>
      <c r="C21" s="664"/>
      <c r="D21" s="664"/>
      <c r="E21" s="664"/>
      <c r="F21" s="664"/>
      <c r="G21" s="664"/>
      <c r="H21" s="664"/>
      <c r="I21" s="664"/>
      <c r="J21" s="694"/>
      <c r="K21" s="694"/>
      <c r="L21" s="694"/>
      <c r="M21" s="657"/>
      <c r="N21" s="657"/>
    </row>
    <row r="22" spans="1:22" x14ac:dyDescent="0.25">
      <c r="B22" s="664"/>
      <c r="C22" s="664"/>
      <c r="D22" s="664"/>
      <c r="E22" s="664"/>
      <c r="F22" s="664"/>
      <c r="G22" s="664"/>
      <c r="H22" s="664"/>
      <c r="I22" s="664"/>
      <c r="J22" s="694"/>
      <c r="K22" s="694"/>
      <c r="L22" s="695"/>
      <c r="M22" s="695"/>
      <c r="N22" s="695"/>
    </row>
    <row r="23" spans="1:22" x14ac:dyDescent="0.25">
      <c r="B23" s="664"/>
      <c r="C23" s="664"/>
      <c r="D23" s="664"/>
      <c r="E23" s="664"/>
      <c r="F23" s="664"/>
      <c r="G23" s="664"/>
      <c r="H23" s="664"/>
      <c r="I23" s="664"/>
      <c r="J23" s="694"/>
      <c r="K23" s="694"/>
      <c r="L23" s="696"/>
      <c r="M23" s="696"/>
      <c r="N23" s="696"/>
    </row>
    <row r="24" spans="1:22" x14ac:dyDescent="0.25">
      <c r="B24" s="664"/>
      <c r="C24" s="664"/>
      <c r="D24" s="664"/>
      <c r="E24" s="664"/>
      <c r="F24" s="664"/>
      <c r="G24" s="664"/>
      <c r="H24" s="664"/>
      <c r="I24" s="664"/>
      <c r="J24" s="694"/>
      <c r="K24" s="694"/>
      <c r="L24" s="696"/>
      <c r="M24" s="696"/>
      <c r="N24" s="696"/>
    </row>
    <row r="25" spans="1:22" x14ac:dyDescent="0.25">
      <c r="B25" s="664"/>
      <c r="C25" s="664"/>
      <c r="D25" s="664"/>
      <c r="E25" s="664"/>
      <c r="F25" s="664"/>
      <c r="G25" s="664"/>
      <c r="H25" s="664"/>
      <c r="I25" s="664"/>
      <c r="J25" s="694"/>
      <c r="K25" s="694"/>
      <c r="L25" s="696"/>
      <c r="M25" s="696"/>
      <c r="N25" s="696"/>
    </row>
    <row r="26" spans="1:22" x14ac:dyDescent="0.25">
      <c r="B26" s="664"/>
      <c r="C26" s="664"/>
      <c r="D26" s="664"/>
      <c r="E26" s="664"/>
      <c r="F26" s="664"/>
      <c r="G26" s="664"/>
      <c r="H26" s="664"/>
      <c r="I26" s="664"/>
      <c r="J26" s="694"/>
      <c r="K26" s="694"/>
      <c r="L26" s="696"/>
      <c r="M26" s="696"/>
      <c r="N26" s="696"/>
    </row>
    <row r="27" spans="1:22" ht="15.75" thickBot="1" x14ac:dyDescent="0.3">
      <c r="B27" s="664"/>
      <c r="C27" s="664"/>
      <c r="D27" s="664"/>
      <c r="E27" s="664" t="s">
        <v>354</v>
      </c>
      <c r="F27" s="664" t="s">
        <v>694</v>
      </c>
      <c r="G27" s="664" t="s">
        <v>695</v>
      </c>
      <c r="H27" s="664" t="s">
        <v>696</v>
      </c>
      <c r="I27" s="664" t="s">
        <v>697</v>
      </c>
      <c r="J27" s="694" t="s">
        <v>698</v>
      </c>
      <c r="K27" s="694"/>
      <c r="L27" s="696"/>
      <c r="M27" s="320" t="s">
        <v>74</v>
      </c>
      <c r="N27" s="320" t="s">
        <v>75</v>
      </c>
      <c r="O27" s="318" t="s">
        <v>76</v>
      </c>
      <c r="P27" s="318" t="s">
        <v>4</v>
      </c>
      <c r="Q27" s="318" t="s">
        <v>5</v>
      </c>
      <c r="R27" s="318" t="s">
        <v>6</v>
      </c>
      <c r="S27" s="318" t="s">
        <v>344</v>
      </c>
      <c r="T27" s="318" t="s">
        <v>345</v>
      </c>
      <c r="U27" s="8"/>
    </row>
    <row r="28" spans="1:22" x14ac:dyDescent="0.25">
      <c r="B28" s="664"/>
      <c r="C28" s="664"/>
      <c r="D28" s="664"/>
      <c r="E28" s="664" t="s">
        <v>68</v>
      </c>
      <c r="F28" s="885">
        <v>11067000</v>
      </c>
      <c r="G28" s="885">
        <v>19964000</v>
      </c>
      <c r="H28" s="885">
        <v>154504000</v>
      </c>
      <c r="I28" s="885">
        <v>31465000</v>
      </c>
      <c r="J28" s="694" t="s">
        <v>701</v>
      </c>
      <c r="K28" s="694"/>
      <c r="L28" s="696"/>
      <c r="M28" s="319">
        <v>69</v>
      </c>
      <c r="N28" s="319">
        <v>69</v>
      </c>
      <c r="O28" s="319">
        <v>55</v>
      </c>
      <c r="P28" s="319">
        <v>58</v>
      </c>
      <c r="Q28" s="319">
        <v>117</v>
      </c>
      <c r="R28" s="319">
        <v>120</v>
      </c>
      <c r="S28" s="319">
        <v>120</v>
      </c>
      <c r="T28" s="319">
        <v>121</v>
      </c>
      <c r="U28" s="511">
        <v>110</v>
      </c>
    </row>
    <row r="29" spans="1:22" x14ac:dyDescent="0.25">
      <c r="A29" s="658"/>
      <c r="B29" s="668"/>
      <c r="C29" s="668"/>
      <c r="D29" s="668"/>
      <c r="E29" s="668" t="s">
        <v>69</v>
      </c>
      <c r="F29" s="698">
        <v>11143500</v>
      </c>
      <c r="G29" s="698">
        <v>20102000</v>
      </c>
      <c r="H29" s="698">
        <v>155572000</v>
      </c>
      <c r="I29" s="698">
        <v>31682500</v>
      </c>
      <c r="J29" s="694" t="s">
        <v>701</v>
      </c>
      <c r="K29" s="694"/>
      <c r="L29" s="696"/>
      <c r="M29" s="319">
        <v>30</v>
      </c>
      <c r="N29" s="319">
        <v>27</v>
      </c>
      <c r="O29" s="319">
        <v>21</v>
      </c>
      <c r="P29" s="319">
        <v>22</v>
      </c>
      <c r="Q29" s="319">
        <v>21</v>
      </c>
      <c r="R29" s="319">
        <v>22</v>
      </c>
      <c r="S29" s="319">
        <v>22</v>
      </c>
      <c r="T29" s="319">
        <v>22</v>
      </c>
      <c r="U29" s="512">
        <v>26</v>
      </c>
    </row>
    <row r="30" spans="1:22" x14ac:dyDescent="0.25">
      <c r="A30" s="658"/>
      <c r="B30" s="668"/>
      <c r="C30" s="668"/>
      <c r="D30" s="668"/>
      <c r="E30" s="668" t="s">
        <v>70</v>
      </c>
      <c r="F30" s="698">
        <v>8580000</v>
      </c>
      <c r="G30" s="698">
        <v>17600000</v>
      </c>
      <c r="H30" s="698">
        <v>157740000</v>
      </c>
      <c r="I30" s="698">
        <v>36080000</v>
      </c>
      <c r="J30" s="694" t="s">
        <v>701</v>
      </c>
      <c r="K30" s="694"/>
      <c r="L30" s="696"/>
      <c r="M30" s="319">
        <v>24</v>
      </c>
      <c r="N30" s="319">
        <v>25</v>
      </c>
      <c r="O30" s="319">
        <v>34</v>
      </c>
      <c r="P30" s="319">
        <v>36</v>
      </c>
      <c r="Q30" s="319">
        <v>35</v>
      </c>
      <c r="R30" s="319">
        <v>36</v>
      </c>
      <c r="S30" s="319">
        <v>36</v>
      </c>
      <c r="T30" s="319">
        <v>36</v>
      </c>
      <c r="U30" s="512">
        <v>43</v>
      </c>
    </row>
    <row r="31" spans="1:22" x14ac:dyDescent="0.25">
      <c r="A31" s="658"/>
      <c r="B31" s="668"/>
      <c r="C31" s="668"/>
      <c r="D31" s="668"/>
      <c r="E31" s="668" t="s">
        <v>699</v>
      </c>
      <c r="F31" s="698">
        <v>9982000</v>
      </c>
      <c r="G31" s="698">
        <v>22568000</v>
      </c>
      <c r="H31" s="698">
        <v>169476992</v>
      </c>
      <c r="I31" s="698">
        <v>14973000</v>
      </c>
      <c r="J31" s="1204">
        <v>81000000</v>
      </c>
      <c r="K31" s="657"/>
      <c r="L31" s="657"/>
      <c r="M31" s="319">
        <v>24</v>
      </c>
      <c r="N31" s="319">
        <v>25</v>
      </c>
      <c r="O31" s="319">
        <v>34</v>
      </c>
      <c r="P31" s="319">
        <v>36</v>
      </c>
      <c r="Q31" s="319">
        <v>35</v>
      </c>
      <c r="R31" s="319">
        <v>36</v>
      </c>
      <c r="S31" s="319">
        <v>36</v>
      </c>
      <c r="T31" s="319">
        <v>36</v>
      </c>
      <c r="U31" s="512">
        <v>43</v>
      </c>
    </row>
    <row r="32" spans="1:22" x14ac:dyDescent="0.25">
      <c r="A32" s="658"/>
      <c r="B32" s="668"/>
      <c r="C32" s="668"/>
      <c r="D32" s="668"/>
      <c r="E32" s="668" t="s">
        <v>72</v>
      </c>
      <c r="F32" s="698">
        <v>12050000</v>
      </c>
      <c r="G32" s="698">
        <v>21690000</v>
      </c>
      <c r="H32" s="698">
        <v>192800000</v>
      </c>
      <c r="I32" s="698">
        <v>14460000</v>
      </c>
      <c r="J32" s="1204">
        <v>84000000</v>
      </c>
      <c r="K32" s="657"/>
      <c r="L32" s="657"/>
      <c r="M32" s="319">
        <v>10</v>
      </c>
      <c r="N32" s="319">
        <v>10</v>
      </c>
      <c r="O32" s="319">
        <v>9</v>
      </c>
      <c r="P32" s="319">
        <v>11</v>
      </c>
      <c r="Q32" s="319">
        <v>11</v>
      </c>
      <c r="R32" s="319">
        <v>12</v>
      </c>
      <c r="S32" s="319">
        <v>12</v>
      </c>
      <c r="T32" s="319">
        <v>13</v>
      </c>
      <c r="U32" s="512">
        <v>13.69</v>
      </c>
    </row>
    <row r="33" spans="1:21" ht="15.75" thickBot="1" x14ac:dyDescent="0.3">
      <c r="A33" s="658"/>
      <c r="B33" s="668"/>
      <c r="C33" s="668"/>
      <c r="D33" s="668"/>
      <c r="E33" s="668" t="s">
        <v>73</v>
      </c>
      <c r="F33" s="698">
        <v>12309101</v>
      </c>
      <c r="G33" s="698">
        <v>22144330</v>
      </c>
      <c r="H33" s="698">
        <v>203774040</v>
      </c>
      <c r="I33" s="698">
        <v>11905659</v>
      </c>
      <c r="J33" s="671">
        <v>96994845</v>
      </c>
      <c r="K33" s="233">
        <f>SUM(F33:J33)/2</f>
        <v>173563987.5</v>
      </c>
      <c r="M33" s="319">
        <v>15</v>
      </c>
      <c r="N33" s="319">
        <v>15</v>
      </c>
      <c r="O33" s="319">
        <v>14</v>
      </c>
      <c r="P33" s="319">
        <v>14</v>
      </c>
      <c r="Q33" s="319">
        <v>14</v>
      </c>
      <c r="R33" s="319">
        <v>17</v>
      </c>
      <c r="S33" s="319">
        <v>17</v>
      </c>
      <c r="T33" s="319">
        <v>25</v>
      </c>
      <c r="U33" s="513">
        <v>25</v>
      </c>
    </row>
    <row r="34" spans="1:21" ht="15.75" thickBot="1" x14ac:dyDescent="0.3">
      <c r="A34" s="658"/>
      <c r="B34" s="668"/>
      <c r="C34" s="668"/>
      <c r="D34" s="668"/>
      <c r="E34" s="668"/>
      <c r="F34" s="668"/>
      <c r="G34" s="668"/>
      <c r="H34" s="668"/>
      <c r="I34" s="668"/>
      <c r="M34" s="319">
        <v>20.460090361445783</v>
      </c>
      <c r="N34" s="319">
        <v>20.128223242670433</v>
      </c>
      <c r="O34" s="319">
        <v>24.52764505119454</v>
      </c>
      <c r="P34" s="319">
        <v>26.4382905982906</v>
      </c>
      <c r="Q34" s="319">
        <v>26.974034620505993</v>
      </c>
      <c r="R34" s="319">
        <v>28.085885486018643</v>
      </c>
      <c r="S34" s="319">
        <v>28.08588548601864</v>
      </c>
      <c r="T34" s="319">
        <v>29.087882822902792</v>
      </c>
      <c r="U34" s="314">
        <v>32.817290279627166</v>
      </c>
    </row>
    <row r="35" spans="1:21" x14ac:dyDescent="0.25">
      <c r="A35" s="658"/>
      <c r="B35" s="668"/>
      <c r="C35" s="668"/>
      <c r="D35" s="668"/>
      <c r="E35" s="668" t="s">
        <v>700</v>
      </c>
      <c r="F35" s="668" t="s">
        <v>694</v>
      </c>
      <c r="G35" s="668" t="s">
        <v>695</v>
      </c>
      <c r="H35" s="668" t="s">
        <v>696</v>
      </c>
      <c r="I35" s="668" t="s">
        <v>697</v>
      </c>
      <c r="J35" s="233" t="s">
        <v>698</v>
      </c>
      <c r="M35" s="319"/>
      <c r="N35" s="319"/>
      <c r="O35" s="319"/>
      <c r="P35" s="319"/>
      <c r="Q35" s="319"/>
      <c r="R35" s="319"/>
      <c r="S35" s="319"/>
      <c r="T35" s="319"/>
      <c r="U35" s="1576"/>
    </row>
    <row r="36" spans="1:21" x14ac:dyDescent="0.25">
      <c r="A36" s="658"/>
      <c r="B36" s="697"/>
      <c r="C36" s="698"/>
      <c r="D36" s="698"/>
      <c r="E36" s="698">
        <v>20.181818181818183</v>
      </c>
      <c r="F36" s="698">
        <v>47</v>
      </c>
      <c r="G36" s="698">
        <v>17</v>
      </c>
      <c r="H36" s="698">
        <v>15</v>
      </c>
      <c r="I36" s="698">
        <v>20</v>
      </c>
      <c r="J36" s="698" t="s">
        <v>701</v>
      </c>
      <c r="K36" s="698"/>
      <c r="L36" s="668"/>
      <c r="M36" s="320" t="s">
        <v>74</v>
      </c>
      <c r="N36" s="320" t="s">
        <v>75</v>
      </c>
      <c r="O36" s="318" t="s">
        <v>76</v>
      </c>
      <c r="P36" s="318" t="s">
        <v>4</v>
      </c>
      <c r="Q36" s="318" t="s">
        <v>5</v>
      </c>
      <c r="R36" s="318" t="s">
        <v>6</v>
      </c>
      <c r="S36" s="318" t="s">
        <v>344</v>
      </c>
      <c r="T36" s="318" t="s">
        <v>345</v>
      </c>
      <c r="U36" s="316"/>
    </row>
    <row r="37" spans="1:21" x14ac:dyDescent="0.25">
      <c r="A37" s="699"/>
      <c r="B37" s="697"/>
      <c r="C37" s="698"/>
      <c r="D37" s="698"/>
      <c r="E37" s="698" t="s">
        <v>69</v>
      </c>
      <c r="F37" s="698">
        <v>47</v>
      </c>
      <c r="G37" s="698">
        <v>17</v>
      </c>
      <c r="H37" s="698">
        <v>15</v>
      </c>
      <c r="I37" s="698">
        <v>20</v>
      </c>
      <c r="J37" s="698" t="s">
        <v>701</v>
      </c>
      <c r="K37" s="698"/>
      <c r="L37" s="668"/>
      <c r="M37" s="1576">
        <v>5800</v>
      </c>
      <c r="N37" s="316">
        <v>6000</v>
      </c>
      <c r="O37" s="316">
        <v>5900</v>
      </c>
      <c r="P37" s="316">
        <v>5900</v>
      </c>
      <c r="Q37" s="316">
        <v>6000</v>
      </c>
      <c r="R37" s="316">
        <v>6000</v>
      </c>
      <c r="S37" s="316">
        <v>5452.0059422045697</v>
      </c>
      <c r="T37" s="316">
        <v>5843.554644558063</v>
      </c>
      <c r="U37" s="1576">
        <v>6068.3067462718363</v>
      </c>
    </row>
    <row r="38" spans="1:21" x14ac:dyDescent="0.25">
      <c r="A38" s="699"/>
      <c r="B38" s="697"/>
      <c r="C38" s="698"/>
      <c r="D38" s="698"/>
      <c r="E38" s="698">
        <v>2000</v>
      </c>
      <c r="F38" s="698">
        <v>47</v>
      </c>
      <c r="G38" s="698">
        <v>17</v>
      </c>
      <c r="H38" s="698">
        <v>15</v>
      </c>
      <c r="I38" s="698">
        <v>20</v>
      </c>
      <c r="J38" s="698" t="s">
        <v>701</v>
      </c>
      <c r="K38" s="698"/>
      <c r="L38" s="668"/>
      <c r="M38" s="1576">
        <v>12500</v>
      </c>
      <c r="N38" s="316">
        <v>14000</v>
      </c>
      <c r="O38" s="316">
        <v>15100</v>
      </c>
      <c r="P38" s="316">
        <v>16200</v>
      </c>
      <c r="Q38" s="316">
        <v>18700</v>
      </c>
      <c r="R38" s="316">
        <v>18700</v>
      </c>
      <c r="S38" s="316">
        <v>16992.085186537577</v>
      </c>
      <c r="T38" s="316">
        <v>18212.411975539297</v>
      </c>
      <c r="U38" s="1576">
        <v>18912.889359213888</v>
      </c>
    </row>
    <row r="39" spans="1:21" x14ac:dyDescent="0.25">
      <c r="A39" s="699"/>
      <c r="B39" s="697"/>
      <c r="C39" s="698"/>
      <c r="D39" s="698"/>
      <c r="E39" s="698">
        <v>1000.5</v>
      </c>
      <c r="F39" s="698">
        <v>47</v>
      </c>
      <c r="G39" s="698">
        <v>17</v>
      </c>
      <c r="H39" s="698">
        <v>15</v>
      </c>
      <c r="I39" s="698">
        <v>20</v>
      </c>
      <c r="J39" s="698">
        <v>8</v>
      </c>
      <c r="K39" s="698"/>
      <c r="L39" s="668"/>
      <c r="M39" s="1576">
        <v>148300</v>
      </c>
      <c r="N39" s="316">
        <v>153900</v>
      </c>
      <c r="O39" s="316">
        <v>156600</v>
      </c>
      <c r="P39" s="316">
        <v>155800</v>
      </c>
      <c r="Q39" s="316">
        <v>158800</v>
      </c>
      <c r="R39" s="316">
        <v>158800</v>
      </c>
      <c r="S39" s="316">
        <v>144296.42393701427</v>
      </c>
      <c r="T39" s="316">
        <v>154659.41292597007</v>
      </c>
      <c r="U39" s="1576">
        <v>160607.85188466127</v>
      </c>
    </row>
    <row r="40" spans="1:21" x14ac:dyDescent="0.25">
      <c r="A40" s="669"/>
      <c r="B40" s="697"/>
      <c r="C40" s="698"/>
      <c r="D40" s="698"/>
      <c r="E40" s="698">
        <v>667.33333333333337</v>
      </c>
      <c r="F40" s="698">
        <v>47</v>
      </c>
      <c r="G40" s="698">
        <v>17</v>
      </c>
      <c r="H40" s="698">
        <v>15</v>
      </c>
      <c r="I40" s="698">
        <v>20</v>
      </c>
      <c r="J40" s="698">
        <v>8</v>
      </c>
      <c r="K40" s="698"/>
      <c r="L40" s="668"/>
      <c r="M40" s="1576">
        <v>4200</v>
      </c>
      <c r="N40" s="316">
        <v>4800</v>
      </c>
      <c r="O40" s="316">
        <v>5000</v>
      </c>
      <c r="P40" s="316">
        <v>4800</v>
      </c>
      <c r="Q40" s="316">
        <v>5500</v>
      </c>
      <c r="R40" s="316">
        <v>5500</v>
      </c>
      <c r="S40" s="316">
        <v>4997.6721136875221</v>
      </c>
      <c r="T40" s="316">
        <v>5356.5917575115582</v>
      </c>
      <c r="U40" s="1576">
        <v>5562.6145174158491</v>
      </c>
    </row>
    <row r="41" spans="1:21" x14ac:dyDescent="0.25">
      <c r="A41" s="669"/>
      <c r="B41" s="668"/>
      <c r="E41" s="233" t="s">
        <v>73</v>
      </c>
      <c r="F41" s="233">
        <v>50</v>
      </c>
      <c r="G41" s="233">
        <v>19</v>
      </c>
      <c r="H41" s="233">
        <v>16</v>
      </c>
      <c r="I41" s="233">
        <v>22</v>
      </c>
      <c r="J41" s="233">
        <v>8</v>
      </c>
      <c r="M41" s="1576">
        <v>84600</v>
      </c>
      <c r="N41" s="316">
        <v>93700</v>
      </c>
      <c r="O41" s="316">
        <v>99000</v>
      </c>
      <c r="P41" s="316">
        <v>98500</v>
      </c>
      <c r="Q41" s="316">
        <v>100600</v>
      </c>
      <c r="R41" s="316">
        <v>100600</v>
      </c>
      <c r="S41" s="316">
        <v>91411.966297629959</v>
      </c>
      <c r="T41" s="316">
        <v>97976.932873756858</v>
      </c>
      <c r="U41" s="1576">
        <v>101745.27644582445</v>
      </c>
    </row>
    <row r="42" spans="1:21" x14ac:dyDescent="0.25">
      <c r="A42" s="669"/>
      <c r="B42" s="668"/>
      <c r="M42" s="1576">
        <v>10200</v>
      </c>
      <c r="N42" s="316">
        <v>10700</v>
      </c>
      <c r="O42" s="316">
        <v>11400</v>
      </c>
      <c r="P42" s="316">
        <v>11300</v>
      </c>
      <c r="Q42" s="316">
        <v>10800</v>
      </c>
      <c r="R42" s="316">
        <v>10800</v>
      </c>
      <c r="S42" s="316">
        <v>9813.6106959682256</v>
      </c>
      <c r="T42" s="316">
        <v>10518.398360204514</v>
      </c>
      <c r="U42" s="1576">
        <v>10922.952143289305</v>
      </c>
    </row>
    <row r="43" spans="1:21" x14ac:dyDescent="0.25">
      <c r="A43" s="669"/>
      <c r="B43" s="668"/>
      <c r="M43" s="1576">
        <v>265600</v>
      </c>
      <c r="N43" s="316">
        <v>283100</v>
      </c>
      <c r="O43" s="316">
        <v>293000</v>
      </c>
      <c r="P43" s="316">
        <v>292500</v>
      </c>
      <c r="Q43" s="316">
        <v>300400</v>
      </c>
      <c r="R43" s="316">
        <v>300400</v>
      </c>
      <c r="S43" s="316">
        <v>272963.76417304215</v>
      </c>
      <c r="T43" s="316">
        <v>292567.30253754038</v>
      </c>
      <c r="U43" s="1576">
        <v>303819.89109667658</v>
      </c>
    </row>
    <row r="44" spans="1:21" x14ac:dyDescent="0.25">
      <c r="A44" s="669"/>
      <c r="B44" s="668"/>
      <c r="F44" s="233">
        <f>F28/F36</f>
        <v>235468.08510638299</v>
      </c>
    </row>
    <row r="45" spans="1:21" x14ac:dyDescent="0.25">
      <c r="A45" s="669"/>
      <c r="F45" s="233">
        <f t="shared" ref="F45:F49" si="0">F29/F37</f>
        <v>237095.74468085106</v>
      </c>
    </row>
    <row r="46" spans="1:21" x14ac:dyDescent="0.25">
      <c r="A46" s="267"/>
      <c r="B46" s="276"/>
      <c r="F46" s="233">
        <f t="shared" si="0"/>
        <v>182553.19148936169</v>
      </c>
    </row>
    <row r="47" spans="1:21" x14ac:dyDescent="0.25">
      <c r="A47" s="267"/>
      <c r="B47" s="276"/>
      <c r="F47" s="233">
        <f t="shared" si="0"/>
        <v>212382.97872340426</v>
      </c>
    </row>
    <row r="48" spans="1:21" x14ac:dyDescent="0.25">
      <c r="A48" s="267"/>
      <c r="B48" s="276"/>
      <c r="F48" s="233">
        <f t="shared" si="0"/>
        <v>256382.97872340426</v>
      </c>
    </row>
    <row r="49" spans="1:10" ht="24.75" x14ac:dyDescent="0.4">
      <c r="A49" s="674"/>
      <c r="B49" s="276"/>
      <c r="F49" s="233">
        <f t="shared" si="0"/>
        <v>246182.02</v>
      </c>
    </row>
    <row r="50" spans="1:10" ht="24.75" x14ac:dyDescent="0.4">
      <c r="A50" s="674"/>
      <c r="B50" s="276"/>
    </row>
    <row r="51" spans="1:10" ht="24.75" x14ac:dyDescent="0.4">
      <c r="A51" s="674"/>
      <c r="B51" s="276"/>
    </row>
    <row r="52" spans="1:10" ht="28.5" x14ac:dyDescent="0.4">
      <c r="A52" s="674"/>
      <c r="B52" s="276"/>
      <c r="C52" s="705" t="s">
        <v>704</v>
      </c>
      <c r="D52" s="706" t="s">
        <v>506</v>
      </c>
      <c r="E52" s="706" t="s">
        <v>507</v>
      </c>
      <c r="F52" s="1456" t="s">
        <v>635</v>
      </c>
      <c r="G52" s="1486" t="s">
        <v>503</v>
      </c>
      <c r="H52" s="1455" t="s">
        <v>645</v>
      </c>
    </row>
    <row r="53" spans="1:10" ht="24.75" x14ac:dyDescent="0.4">
      <c r="A53" s="674"/>
      <c r="B53" s="630" t="s">
        <v>543</v>
      </c>
      <c r="C53" s="233">
        <v>973381568</v>
      </c>
      <c r="D53" s="233">
        <v>3.9111768545898817E-2</v>
      </c>
      <c r="E53" s="233">
        <v>3.9111768545898817E-2</v>
      </c>
      <c r="F53" s="233">
        <v>504572701</v>
      </c>
      <c r="G53" s="233">
        <v>973381568</v>
      </c>
      <c r="H53" s="233">
        <v>504.572701</v>
      </c>
      <c r="J53" s="233">
        <v>973.38156800000002</v>
      </c>
    </row>
    <row r="54" spans="1:10" ht="24.75" x14ac:dyDescent="0.4">
      <c r="A54" s="674"/>
      <c r="B54" s="630" t="s">
        <v>544</v>
      </c>
      <c r="C54" s="233">
        <v>84155589191</v>
      </c>
      <c r="D54" s="233">
        <v>4.959735073039484E-3</v>
      </c>
      <c r="E54" s="233">
        <v>4.959735073039484E-3</v>
      </c>
      <c r="F54" s="233">
        <v>49074900472</v>
      </c>
      <c r="G54" s="233">
        <v>84155589191</v>
      </c>
      <c r="H54" s="233">
        <v>49.074900472000003</v>
      </c>
      <c r="J54" s="233">
        <v>84.155589191000004</v>
      </c>
    </row>
    <row r="55" spans="1:10" ht="24.75" x14ac:dyDescent="0.4">
      <c r="A55" s="674"/>
      <c r="B55" s="630" t="s">
        <v>3</v>
      </c>
      <c r="C55" s="233">
        <v>8777964802</v>
      </c>
      <c r="D55" s="233">
        <v>-1.1572300943461178E-2</v>
      </c>
      <c r="E55" s="233">
        <v>-1.1572300943461178E-2</v>
      </c>
      <c r="F55" s="233">
        <v>4464856836</v>
      </c>
      <c r="G55" s="233">
        <v>8880735344</v>
      </c>
      <c r="H55" s="233">
        <v>44.648568359999999</v>
      </c>
      <c r="J55" s="233">
        <v>87.779648019999996</v>
      </c>
    </row>
    <row r="56" spans="1:10" ht="24.75" x14ac:dyDescent="0.4">
      <c r="A56" s="674"/>
      <c r="B56" s="630" t="s">
        <v>512</v>
      </c>
      <c r="C56" s="233">
        <v>9.0180100903657134</v>
      </c>
      <c r="D56" s="233">
        <v>-4.8776340547355801E-2</v>
      </c>
      <c r="E56" s="233">
        <v>-4.8776340547355801E-2</v>
      </c>
      <c r="F56" s="233">
        <v>8.8487879489936976</v>
      </c>
      <c r="G56" s="233">
        <v>11.697648942464921</v>
      </c>
      <c r="H56" s="233">
        <v>8.9</v>
      </c>
      <c r="J56" s="233">
        <v>9</v>
      </c>
    </row>
    <row r="57" spans="1:10" ht="24.75" x14ac:dyDescent="0.4">
      <c r="A57" s="674"/>
      <c r="B57" s="276"/>
    </row>
    <row r="58" spans="1:10" ht="28.5" x14ac:dyDescent="0.4">
      <c r="A58" s="674"/>
      <c r="B58" s="276"/>
      <c r="C58" s="705" t="s">
        <v>704</v>
      </c>
      <c r="D58" s="706" t="s">
        <v>506</v>
      </c>
      <c r="E58" s="706" t="s">
        <v>507</v>
      </c>
      <c r="F58" s="1456" t="s">
        <v>635</v>
      </c>
      <c r="G58" s="1486" t="s">
        <v>503</v>
      </c>
      <c r="H58" s="1455" t="s">
        <v>645</v>
      </c>
    </row>
    <row r="59" spans="1:10" ht="24.75" x14ac:dyDescent="0.4">
      <c r="A59" s="674"/>
      <c r="B59" s="664" t="s">
        <v>694</v>
      </c>
      <c r="C59" s="668">
        <v>50</v>
      </c>
    </row>
    <row r="60" spans="1:10" ht="24.75" x14ac:dyDescent="0.4">
      <c r="A60" s="674"/>
      <c r="B60" s="664" t="s">
        <v>695</v>
      </c>
      <c r="C60" s="668">
        <v>19</v>
      </c>
    </row>
    <row r="61" spans="1:10" ht="24.75" x14ac:dyDescent="0.4">
      <c r="A61" s="674"/>
      <c r="B61" s="664" t="s">
        <v>696</v>
      </c>
      <c r="C61" s="668">
        <v>16</v>
      </c>
    </row>
    <row r="62" spans="1:10" ht="24.75" x14ac:dyDescent="0.4">
      <c r="A62" s="674"/>
      <c r="B62" s="664" t="s">
        <v>697</v>
      </c>
      <c r="C62" s="233">
        <v>22</v>
      </c>
    </row>
    <row r="63" spans="1:10" ht="24.75" x14ac:dyDescent="0.4">
      <c r="A63" s="674"/>
      <c r="B63" s="694" t="s">
        <v>703</v>
      </c>
      <c r="C63" s="276">
        <v>8</v>
      </c>
    </row>
    <row r="64" spans="1:10" ht="24.75" x14ac:dyDescent="0.4">
      <c r="A64" s="674"/>
      <c r="C64" s="276"/>
    </row>
    <row r="65" spans="2:8" x14ac:dyDescent="0.25">
      <c r="B65" s="694" t="s">
        <v>707</v>
      </c>
    </row>
    <row r="66" spans="2:8" x14ac:dyDescent="0.25">
      <c r="B66" s="276"/>
    </row>
    <row r="67" spans="2:8" x14ac:dyDescent="0.25">
      <c r="B67" s="276"/>
    </row>
    <row r="68" spans="2:8" x14ac:dyDescent="0.25">
      <c r="B68" s="276"/>
    </row>
    <row r="69" spans="2:8" x14ac:dyDescent="0.25">
      <c r="B69" s="276"/>
    </row>
    <row r="70" spans="2:8" x14ac:dyDescent="0.25">
      <c r="B70" s="276"/>
    </row>
    <row r="71" spans="2:8" x14ac:dyDescent="0.25">
      <c r="B71" s="276"/>
    </row>
    <row r="72" spans="2:8" x14ac:dyDescent="0.25">
      <c r="B72" s="276"/>
    </row>
    <row r="73" spans="2:8" x14ac:dyDescent="0.25">
      <c r="B73" s="276"/>
      <c r="C73" s="276"/>
      <c r="D73" s="276"/>
      <c r="E73" s="276"/>
      <c r="F73" s="276"/>
      <c r="G73" s="276"/>
      <c r="H73" s="276"/>
    </row>
    <row r="74" spans="2:8" x14ac:dyDescent="0.25">
      <c r="B74" s="276"/>
      <c r="C74" s="276"/>
      <c r="D74" s="276"/>
      <c r="E74" s="276"/>
      <c r="F74" s="276"/>
      <c r="G74" s="276"/>
      <c r="H74" s="276"/>
    </row>
    <row r="75" spans="2:8" x14ac:dyDescent="0.25">
      <c r="B75" s="276"/>
      <c r="C75" s="276"/>
      <c r="D75" s="276"/>
      <c r="E75" s="276"/>
      <c r="F75" s="276"/>
      <c r="G75" s="276"/>
      <c r="H75" s="276"/>
    </row>
    <row r="76" spans="2:8" x14ac:dyDescent="0.25">
      <c r="B76" s="276"/>
      <c r="C76" s="276"/>
      <c r="D76" s="276"/>
      <c r="E76" s="276"/>
      <c r="F76" s="276"/>
      <c r="G76" s="276"/>
      <c r="H76" s="276"/>
    </row>
    <row r="77" spans="2:8" x14ac:dyDescent="0.25">
      <c r="B77" s="276"/>
      <c r="C77" s="276"/>
      <c r="D77" s="276"/>
      <c r="E77" s="276"/>
      <c r="F77" s="276"/>
      <c r="G77" s="276"/>
      <c r="H77" s="276"/>
    </row>
    <row r="78" spans="2:8" x14ac:dyDescent="0.25">
      <c r="B78" s="276"/>
      <c r="C78" s="276"/>
      <c r="D78" s="276"/>
      <c r="E78" s="276"/>
      <c r="F78" s="276"/>
      <c r="G78" s="276"/>
      <c r="H78" s="276"/>
    </row>
    <row r="79" spans="2:8" x14ac:dyDescent="0.25">
      <c r="B79" s="276"/>
      <c r="C79" s="276"/>
      <c r="D79" s="276"/>
      <c r="E79" s="276"/>
      <c r="F79" s="276"/>
      <c r="G79" s="276"/>
      <c r="H79" s="276"/>
    </row>
    <row r="80" spans="2:8" ht="23.25" customHeight="1" x14ac:dyDescent="0.25">
      <c r="B80" s="276"/>
      <c r="C80" s="276"/>
      <c r="D80" s="276"/>
      <c r="E80" s="276"/>
      <c r="F80" s="276"/>
      <c r="G80" s="276"/>
      <c r="H80" s="276"/>
    </row>
  </sheetData>
  <mergeCells count="1">
    <mergeCell ref="T13:T19"/>
  </mergeCells>
  <conditionalFormatting sqref="T13:T19">
    <cfRule type="dataBar" priority="3">
      <dataBar>
        <cfvo type="min"/>
        <cfvo type="max"/>
        <color rgb="FF638EC6"/>
      </dataBar>
      <extLst>
        <ext xmlns:x14="http://schemas.microsoft.com/office/spreadsheetml/2009/9/main" uri="{B025F937-C7B1-47D3-B67F-A62EFF666E3E}">
          <x14:id>{4173B82B-67F1-4997-A491-86E5D96D8042}</x14:id>
        </ext>
      </extLst>
    </cfRule>
    <cfRule type="colorScale" priority="4">
      <colorScale>
        <cfvo type="min"/>
        <cfvo type="percentile" val="50"/>
        <cfvo type="max"/>
        <color rgb="FFF8696B"/>
        <color rgb="FFFCFCFF"/>
        <color rgb="FF63BE7B"/>
      </colorScale>
    </cfRule>
  </conditionalFormatting>
  <conditionalFormatting sqref="R13:R19">
    <cfRule type="iconSet" priority="2">
      <iconSet iconSet="3Arrows">
        <cfvo type="percent" val="0"/>
        <cfvo type="num" val="0"/>
        <cfvo type="num" val="0" gte="0"/>
      </iconSet>
    </cfRule>
  </conditionalFormatting>
  <conditionalFormatting sqref="J13:Q19">
    <cfRule type="dataBar" priority="1">
      <dataBar>
        <cfvo type="min"/>
        <cfvo type="max"/>
        <color theme="0"/>
      </dataBar>
    </cfRule>
  </conditionalFormatting>
  <dataValidations count="3">
    <dataValidation allowBlank="1" showInputMessage="1" showErrorMessage="1" promptTitle="Source" prompt="General Practice Trends in _x000a_the UK Produced by the  Technical Steering Committee,March 2011_x000a_" sqref="L22:N22"/>
    <dataValidation allowBlank="1" showErrorMessage="1" promptTitle="Propgen data" prompt="Propgen data set consist of more than billion different hits; it is provided ever yyear by the Health drugs authority._x000a_" sqref="E10"/>
    <dataValidation type="list" allowBlank="1" showInputMessage="1" showErrorMessage="1" sqref="B10">
      <formula1>GPview</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4173B82B-67F1-4997-A491-86E5D96D8042}">
            <x14:dataBar minLength="0" maxLength="100" gradient="0">
              <x14:cfvo type="autoMin"/>
              <x14:cfvo type="autoMax"/>
              <x14:negativeFillColor rgb="FFFF0000"/>
              <x14:axisColor rgb="FF000000"/>
            </x14:dataBar>
          </x14:cfRule>
          <xm:sqref>T13:T19</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4:T66"/>
  <sheetViews>
    <sheetView showGridLines="0" showRowColHeaders="0" topLeftCell="A4" zoomScaleNormal="100" workbookViewId="0">
      <selection activeCell="C17" sqref="C17:K24"/>
    </sheetView>
  </sheetViews>
  <sheetFormatPr defaultRowHeight="15" x14ac:dyDescent="0.25"/>
  <cols>
    <col min="2" max="2" width="12.85546875" customWidth="1"/>
    <col min="3" max="8" width="6.7109375" customWidth="1"/>
    <col min="9" max="10" width="7.42578125" customWidth="1"/>
    <col min="11" max="11" width="5.5703125" customWidth="1"/>
    <col min="12" max="12" width="9.5703125" customWidth="1"/>
    <col min="13" max="13" width="5.7109375" customWidth="1"/>
    <col min="14" max="14" width="9.5703125" customWidth="1"/>
    <col min="15" max="15" width="5.7109375" customWidth="1"/>
    <col min="16" max="16" width="8.85546875" customWidth="1"/>
    <col min="17" max="17" width="4.5703125" customWidth="1"/>
    <col min="18" max="18" width="8.85546875" customWidth="1"/>
    <col min="19" max="19" width="4.5703125" customWidth="1"/>
  </cols>
  <sheetData>
    <row r="4" spans="2:18" ht="30" x14ac:dyDescent="0.4">
      <c r="B4" s="2" t="s">
        <v>218</v>
      </c>
    </row>
    <row r="5" spans="2:18" x14ac:dyDescent="0.25">
      <c r="B5" s="274"/>
      <c r="C5" s="276"/>
      <c r="D5" s="276"/>
      <c r="E5" s="276"/>
      <c r="F5" s="276"/>
      <c r="G5" s="276"/>
      <c r="H5" s="276"/>
    </row>
    <row r="6" spans="2:18" ht="23.25" customHeight="1" x14ac:dyDescent="0.25">
      <c r="B6" s="274"/>
    </row>
    <row r="7" spans="2:18" x14ac:dyDescent="0.25">
      <c r="C7" s="1922" t="s">
        <v>74</v>
      </c>
      <c r="D7" s="1922"/>
      <c r="E7" s="1922" t="s">
        <v>75</v>
      </c>
      <c r="F7" s="1922"/>
      <c r="G7" s="1922" t="s">
        <v>76</v>
      </c>
      <c r="H7" s="1922"/>
      <c r="I7" s="1922" t="s">
        <v>4</v>
      </c>
      <c r="J7" s="1922"/>
      <c r="K7" s="1922" t="s">
        <v>5</v>
      </c>
      <c r="L7" s="1922"/>
      <c r="M7" s="1922" t="s">
        <v>6</v>
      </c>
      <c r="N7" s="1922"/>
      <c r="O7" s="1922" t="s">
        <v>344</v>
      </c>
      <c r="P7" s="1922"/>
      <c r="Q7" s="1922" t="s">
        <v>345</v>
      </c>
      <c r="R7" s="1922"/>
    </row>
    <row r="8" spans="2:18" ht="30.75" thickBot="1" x14ac:dyDescent="0.3">
      <c r="C8" s="297" t="s">
        <v>346</v>
      </c>
      <c r="D8" s="297" t="s">
        <v>347</v>
      </c>
      <c r="E8" s="297" t="s">
        <v>346</v>
      </c>
      <c r="F8" s="297" t="s">
        <v>347</v>
      </c>
      <c r="G8" s="297" t="s">
        <v>346</v>
      </c>
      <c r="H8" s="297" t="s">
        <v>347</v>
      </c>
      <c r="I8" s="297" t="s">
        <v>346</v>
      </c>
      <c r="J8" s="297" t="s">
        <v>347</v>
      </c>
      <c r="K8" s="297" t="s">
        <v>346</v>
      </c>
      <c r="L8" s="297" t="s">
        <v>347</v>
      </c>
      <c r="M8" s="297" t="s">
        <v>346</v>
      </c>
      <c r="N8" s="297" t="s">
        <v>347</v>
      </c>
      <c r="O8" s="297" t="s">
        <v>346</v>
      </c>
      <c r="P8" s="297" t="s">
        <v>347</v>
      </c>
    </row>
    <row r="9" spans="2:18" x14ac:dyDescent="0.25">
      <c r="B9" s="298" t="s">
        <v>348</v>
      </c>
      <c r="C9" s="299">
        <v>5800</v>
      </c>
      <c r="D9" s="300">
        <v>6000</v>
      </c>
      <c r="E9" s="300">
        <v>5900</v>
      </c>
      <c r="F9" s="301">
        <v>5900</v>
      </c>
      <c r="G9" s="302">
        <v>6000</v>
      </c>
      <c r="H9" s="300">
        <v>6000</v>
      </c>
      <c r="I9" s="300">
        <v>6000</v>
      </c>
      <c r="J9" s="300">
        <v>120</v>
      </c>
      <c r="K9" s="300" t="e">
        <f>I9/#REF!*$J$11</f>
        <v>#REF!</v>
      </c>
      <c r="L9" s="300">
        <v>120</v>
      </c>
      <c r="M9" s="300" t="e">
        <f>I9/#REF!*$L$11</f>
        <v>#REF!</v>
      </c>
      <c r="N9" s="303">
        <v>121</v>
      </c>
    </row>
    <row r="10" spans="2:18" x14ac:dyDescent="0.25">
      <c r="B10" s="304" t="s">
        <v>349</v>
      </c>
      <c r="C10" s="305">
        <v>12500</v>
      </c>
      <c r="D10" s="306">
        <v>14000</v>
      </c>
      <c r="E10" s="306">
        <v>15100</v>
      </c>
      <c r="F10" s="307">
        <v>16200</v>
      </c>
      <c r="G10" s="308">
        <v>18700</v>
      </c>
      <c r="H10" s="306">
        <v>18700</v>
      </c>
      <c r="I10" s="306">
        <v>18700</v>
      </c>
      <c r="J10" s="306">
        <v>22</v>
      </c>
      <c r="K10" s="306" t="e">
        <f>I10/#REF!*$J$11</f>
        <v>#REF!</v>
      </c>
      <c r="L10" s="306">
        <v>22</v>
      </c>
      <c r="M10" s="306" t="e">
        <f>I10/#REF!*$L$11</f>
        <v>#REF!</v>
      </c>
      <c r="N10" s="309">
        <v>22</v>
      </c>
    </row>
    <row r="11" spans="2:18" x14ac:dyDescent="0.25">
      <c r="B11" s="304" t="s">
        <v>350</v>
      </c>
      <c r="C11" s="305">
        <v>148300</v>
      </c>
      <c r="D11" s="306">
        <v>153900</v>
      </c>
      <c r="E11" s="306">
        <v>156600</v>
      </c>
      <c r="F11" s="307">
        <v>155800</v>
      </c>
      <c r="G11" s="308">
        <v>158800</v>
      </c>
      <c r="H11" s="306">
        <v>158800</v>
      </c>
      <c r="I11" s="306">
        <v>158800</v>
      </c>
      <c r="J11" s="306">
        <v>36</v>
      </c>
      <c r="K11" s="306" t="e">
        <f>I11/#REF!*$J$11</f>
        <v>#REF!</v>
      </c>
      <c r="L11" s="306">
        <v>36</v>
      </c>
      <c r="M11" s="306" t="e">
        <f>I11/#REF!*$L$11</f>
        <v>#REF!</v>
      </c>
      <c r="N11" s="309">
        <v>36</v>
      </c>
    </row>
    <row r="12" spans="2:18" x14ac:dyDescent="0.25">
      <c r="B12" s="304" t="s">
        <v>351</v>
      </c>
      <c r="C12" s="305">
        <v>4200</v>
      </c>
      <c r="D12" s="306">
        <v>4800</v>
      </c>
      <c r="E12" s="306">
        <v>5000</v>
      </c>
      <c r="F12" s="307">
        <v>4800</v>
      </c>
      <c r="G12" s="308">
        <v>5500</v>
      </c>
      <c r="H12" s="306">
        <v>5500</v>
      </c>
      <c r="I12" s="306">
        <v>5500</v>
      </c>
      <c r="J12" s="306">
        <v>36</v>
      </c>
      <c r="K12" s="306" t="e">
        <f>I12/#REF!*$J$11</f>
        <v>#REF!</v>
      </c>
      <c r="L12" s="306">
        <v>36</v>
      </c>
      <c r="M12" s="306" t="e">
        <f>I12/#REF!*$L$11</f>
        <v>#REF!</v>
      </c>
      <c r="N12" s="309">
        <v>36</v>
      </c>
    </row>
    <row r="13" spans="2:18" x14ac:dyDescent="0.25">
      <c r="B13" s="304" t="s">
        <v>352</v>
      </c>
      <c r="C13" s="305">
        <v>84600</v>
      </c>
      <c r="D13" s="306">
        <v>93700</v>
      </c>
      <c r="E13" s="306">
        <v>99000</v>
      </c>
      <c r="F13" s="307">
        <v>98500</v>
      </c>
      <c r="G13" s="308">
        <v>100600</v>
      </c>
      <c r="H13" s="306">
        <v>100600</v>
      </c>
      <c r="I13" s="306">
        <v>100600</v>
      </c>
      <c r="J13" s="306">
        <v>12</v>
      </c>
      <c r="K13" s="306" t="e">
        <f>I13/#REF!*$J$11</f>
        <v>#REF!</v>
      </c>
      <c r="L13" s="306">
        <v>12</v>
      </c>
      <c r="M13" s="306" t="e">
        <f>I13/#REF!*$L$11</f>
        <v>#REF!</v>
      </c>
      <c r="N13" s="309">
        <v>13</v>
      </c>
    </row>
    <row r="14" spans="2:18" ht="15.75" thickBot="1" x14ac:dyDescent="0.3">
      <c r="B14" s="304" t="s">
        <v>353</v>
      </c>
      <c r="C14" s="305">
        <v>10200</v>
      </c>
      <c r="D14" s="306">
        <v>10700</v>
      </c>
      <c r="E14" s="306">
        <v>11400</v>
      </c>
      <c r="F14" s="307">
        <v>11300</v>
      </c>
      <c r="G14" s="308">
        <v>10800</v>
      </c>
      <c r="H14" s="306">
        <v>10800</v>
      </c>
      <c r="I14" s="306">
        <v>10800</v>
      </c>
      <c r="J14" s="306">
        <v>17</v>
      </c>
      <c r="K14" s="306" t="e">
        <f>I14/#REF!*$J$11</f>
        <v>#REF!</v>
      </c>
      <c r="L14" s="306">
        <v>17</v>
      </c>
      <c r="M14" s="306" t="e">
        <f>I14/#REF!*$L$11</f>
        <v>#REF!</v>
      </c>
      <c r="N14" s="309">
        <v>35</v>
      </c>
    </row>
    <row r="15" spans="2:18" ht="15.75" thickBot="1" x14ac:dyDescent="0.3">
      <c r="B15" s="310" t="s">
        <v>48</v>
      </c>
      <c r="C15" s="311">
        <f>SUM(C9:C14)</f>
        <v>265600</v>
      </c>
      <c r="D15" s="313">
        <f>SUM(D9:D14)</f>
        <v>283100</v>
      </c>
      <c r="E15" s="313">
        <f>SUM(E9:E14)</f>
        <v>293000</v>
      </c>
      <c r="F15" s="312"/>
      <c r="G15" s="313"/>
      <c r="H15" s="312" t="e">
        <f>SUMPRODUCT(#REF!,F9:F14)/G15</f>
        <v>#REF!</v>
      </c>
      <c r="I15" s="313" t="e">
        <f>SUM(#REF!)</f>
        <v>#REF!</v>
      </c>
      <c r="J15" s="312" t="e">
        <f>SUMPRODUCT(#REF!,#REF!)/I15</f>
        <v>#REF!</v>
      </c>
      <c r="K15" s="313">
        <f>SUM(G9:G14)</f>
        <v>300400</v>
      </c>
      <c r="L15" s="312" t="e">
        <f>SUMPRODUCT(G9:G14,#REF!)/K15</f>
        <v>#REF!</v>
      </c>
      <c r="M15" s="313">
        <f>SUM(I9:I14)</f>
        <v>300400</v>
      </c>
      <c r="N15" s="312">
        <f>SUMPRODUCT(I9:I14,J9:J14)/M15</f>
        <v>28.085885486018643</v>
      </c>
      <c r="O15" s="313">
        <v>272963.76417304215</v>
      </c>
      <c r="P15" s="312" t="e">
        <f>SUMPRODUCT(K9:K14,L9:L14)/O15</f>
        <v>#REF!</v>
      </c>
      <c r="Q15" s="313">
        <v>292567.30253754038</v>
      </c>
      <c r="R15" s="314" t="e">
        <f>SUMPRODUCT(M9:M14,N9:N14)/Q15</f>
        <v>#REF!</v>
      </c>
    </row>
    <row r="16" spans="2:18" x14ac:dyDescent="0.25">
      <c r="B16" s="274"/>
      <c r="L16" s="8"/>
      <c r="M16" s="8"/>
      <c r="N16" s="8"/>
      <c r="O16" s="8"/>
    </row>
    <row r="17" spans="1:20" ht="15.75" thickBot="1" x14ac:dyDescent="0.3">
      <c r="B17" s="274"/>
      <c r="C17" s="320" t="s">
        <v>74</v>
      </c>
      <c r="D17" s="320" t="s">
        <v>75</v>
      </c>
      <c r="E17" s="318" t="s">
        <v>76</v>
      </c>
      <c r="F17" s="318" t="s">
        <v>4</v>
      </c>
      <c r="G17" s="318" t="s">
        <v>5</v>
      </c>
      <c r="H17" s="318" t="s">
        <v>6</v>
      </c>
      <c r="I17" s="318" t="s">
        <v>344</v>
      </c>
      <c r="J17" s="318" t="s">
        <v>345</v>
      </c>
      <c r="K17" s="8"/>
      <c r="L17" s="8"/>
      <c r="M17" s="8"/>
    </row>
    <row r="18" spans="1:20" x14ac:dyDescent="0.25">
      <c r="B18" s="274"/>
      <c r="C18" s="319">
        <v>69</v>
      </c>
      <c r="D18" s="319">
        <v>69</v>
      </c>
      <c r="E18" s="319">
        <v>55</v>
      </c>
      <c r="F18" s="319">
        <v>58</v>
      </c>
      <c r="G18" s="319">
        <v>117</v>
      </c>
      <c r="H18" s="319">
        <v>120</v>
      </c>
      <c r="I18" s="319">
        <v>120</v>
      </c>
      <c r="J18" s="319">
        <v>121</v>
      </c>
      <c r="K18" s="511">
        <v>110</v>
      </c>
      <c r="L18" s="8"/>
      <c r="M18" s="8"/>
      <c r="N18" s="8"/>
      <c r="O18" s="8"/>
      <c r="P18" t="s">
        <v>354</v>
      </c>
    </row>
    <row r="19" spans="1:20" x14ac:dyDescent="0.25">
      <c r="B19" s="274"/>
      <c r="C19" s="319">
        <v>30</v>
      </c>
      <c r="D19" s="319">
        <v>27</v>
      </c>
      <c r="E19" s="319">
        <v>21</v>
      </c>
      <c r="F19" s="319">
        <v>22</v>
      </c>
      <c r="G19" s="319">
        <v>21</v>
      </c>
      <c r="H19" s="319">
        <v>22</v>
      </c>
      <c r="I19" s="319">
        <v>22</v>
      </c>
      <c r="J19" s="319">
        <v>22</v>
      </c>
      <c r="K19" s="512">
        <v>26</v>
      </c>
      <c r="L19" s="8"/>
      <c r="M19" s="8"/>
      <c r="N19" s="8"/>
      <c r="O19" s="8"/>
      <c r="P19" t="s">
        <v>470</v>
      </c>
    </row>
    <row r="20" spans="1:20" x14ac:dyDescent="0.25">
      <c r="B20" s="274"/>
      <c r="C20" s="319">
        <v>24</v>
      </c>
      <c r="D20" s="319">
        <v>25</v>
      </c>
      <c r="E20" s="319">
        <v>34</v>
      </c>
      <c r="F20" s="319">
        <v>36</v>
      </c>
      <c r="G20" s="319">
        <v>35</v>
      </c>
      <c r="H20" s="319">
        <v>36</v>
      </c>
      <c r="I20" s="319">
        <v>36</v>
      </c>
      <c r="J20" s="319">
        <v>36</v>
      </c>
      <c r="K20" s="512">
        <v>43</v>
      </c>
      <c r="L20" s="8"/>
      <c r="M20" s="8"/>
      <c r="N20" s="8"/>
      <c r="O20" s="8"/>
    </row>
    <row r="21" spans="1:20" x14ac:dyDescent="0.25">
      <c r="B21" s="274"/>
      <c r="C21" s="319">
        <v>24</v>
      </c>
      <c r="D21" s="319">
        <v>25</v>
      </c>
      <c r="E21" s="319">
        <v>34</v>
      </c>
      <c r="F21" s="319">
        <v>36</v>
      </c>
      <c r="G21" s="319">
        <v>35</v>
      </c>
      <c r="H21" s="319">
        <v>36</v>
      </c>
      <c r="I21" s="319">
        <v>36</v>
      </c>
      <c r="J21" s="319">
        <v>36</v>
      </c>
      <c r="K21" s="512">
        <v>43</v>
      </c>
      <c r="L21" s="8"/>
      <c r="M21" s="8"/>
      <c r="N21" s="8"/>
      <c r="O21" s="8"/>
    </row>
    <row r="22" spans="1:20" x14ac:dyDescent="0.25">
      <c r="B22" s="274"/>
      <c r="C22" s="319">
        <v>10</v>
      </c>
      <c r="D22" s="319">
        <v>10</v>
      </c>
      <c r="E22" s="319">
        <v>9</v>
      </c>
      <c r="F22" s="319">
        <v>11</v>
      </c>
      <c r="G22" s="319">
        <v>11</v>
      </c>
      <c r="H22" s="319">
        <v>12</v>
      </c>
      <c r="I22" s="319">
        <v>12</v>
      </c>
      <c r="J22" s="319">
        <v>13</v>
      </c>
      <c r="K22" s="512">
        <v>13.69</v>
      </c>
      <c r="L22" s="8"/>
      <c r="M22" s="8"/>
      <c r="N22" s="8"/>
      <c r="O22" s="8"/>
    </row>
    <row r="23" spans="1:20" ht="15.75" thickBot="1" x14ac:dyDescent="0.3">
      <c r="B23" s="276"/>
      <c r="C23" s="319">
        <v>15</v>
      </c>
      <c r="D23" s="319">
        <v>15</v>
      </c>
      <c r="E23" s="319">
        <v>14</v>
      </c>
      <c r="F23" s="319">
        <v>14</v>
      </c>
      <c r="G23" s="319">
        <v>14</v>
      </c>
      <c r="H23" s="319">
        <v>17</v>
      </c>
      <c r="I23" s="319">
        <v>17</v>
      </c>
      <c r="J23" s="319">
        <v>25</v>
      </c>
      <c r="K23" s="513">
        <v>25</v>
      </c>
      <c r="L23" s="8"/>
      <c r="M23" s="8"/>
      <c r="N23" s="8"/>
      <c r="O23" s="8"/>
    </row>
    <row r="24" spans="1:20" ht="15.75" thickBot="1" x14ac:dyDescent="0.3">
      <c r="A24" s="6"/>
      <c r="B24" s="276"/>
      <c r="C24" s="319">
        <v>20.460090361445783</v>
      </c>
      <c r="D24" s="319">
        <v>20.128223242670433</v>
      </c>
      <c r="E24" s="319">
        <v>24.52764505119454</v>
      </c>
      <c r="F24" s="319">
        <v>26.4382905982906</v>
      </c>
      <c r="G24" s="319">
        <v>26.974034620505993</v>
      </c>
      <c r="H24" s="319">
        <v>28.085885486018643</v>
      </c>
      <c r="I24" s="319">
        <v>28.08588548601864</v>
      </c>
      <c r="J24" s="319">
        <v>29.087882822902792</v>
      </c>
      <c r="K24" s="314">
        <v>32.817290279627166</v>
      </c>
      <c r="L24" s="8"/>
      <c r="M24" s="8"/>
      <c r="N24" s="8"/>
      <c r="O24" s="8"/>
    </row>
    <row r="25" spans="1:20" x14ac:dyDescent="0.25">
      <c r="A25" s="6"/>
      <c r="B25" s="276"/>
      <c r="C25" s="319"/>
      <c r="D25" s="319"/>
      <c r="E25" s="319"/>
      <c r="F25" s="319"/>
      <c r="G25" s="319"/>
      <c r="H25" s="319"/>
      <c r="I25" s="319"/>
      <c r="J25" s="319"/>
      <c r="L25" s="8"/>
      <c r="M25" s="8"/>
      <c r="N25" s="8"/>
      <c r="O25" s="8"/>
    </row>
    <row r="26" spans="1:20" ht="23.25" x14ac:dyDescent="0.3">
      <c r="A26" s="232"/>
      <c r="B26" s="276"/>
      <c r="C26" s="320" t="s">
        <v>74</v>
      </c>
      <c r="D26" s="320" t="s">
        <v>75</v>
      </c>
      <c r="E26" s="318" t="s">
        <v>76</v>
      </c>
      <c r="F26" s="318" t="s">
        <v>4</v>
      </c>
      <c r="G26" s="318" t="s">
        <v>5</v>
      </c>
      <c r="H26" s="318" t="s">
        <v>6</v>
      </c>
      <c r="I26" s="318" t="s">
        <v>344</v>
      </c>
      <c r="J26" s="318" t="s">
        <v>345</v>
      </c>
      <c r="K26" s="316"/>
      <c r="L26" s="316"/>
      <c r="M26" s="316"/>
      <c r="N26" s="316"/>
      <c r="O26" s="316"/>
      <c r="P26" s="316"/>
      <c r="Q26" s="316"/>
      <c r="R26" s="316"/>
      <c r="S26" s="316"/>
      <c r="T26" s="316"/>
    </row>
    <row r="27" spans="1:20" ht="23.25" x14ac:dyDescent="0.3">
      <c r="A27" s="232"/>
      <c r="B27" s="276"/>
      <c r="C27">
        <v>5800</v>
      </c>
      <c r="D27" s="316">
        <v>6000</v>
      </c>
      <c r="E27" s="316">
        <v>5900</v>
      </c>
      <c r="F27" s="316">
        <v>5900</v>
      </c>
      <c r="G27" s="316">
        <v>6000</v>
      </c>
      <c r="H27" s="316">
        <v>6000</v>
      </c>
      <c r="I27" s="316">
        <v>5452.0059422045697</v>
      </c>
      <c r="J27" s="316">
        <v>5843.554644558063</v>
      </c>
      <c r="K27">
        <v>6068.3067462718363</v>
      </c>
    </row>
    <row r="28" spans="1:20" ht="15" customHeight="1" x14ac:dyDescent="0.3">
      <c r="A28" s="232"/>
      <c r="B28" s="276"/>
      <c r="C28">
        <v>12500</v>
      </c>
      <c r="D28" s="316">
        <v>14000</v>
      </c>
      <c r="E28" s="316">
        <v>15100</v>
      </c>
      <c r="F28" s="316">
        <v>16200</v>
      </c>
      <c r="G28" s="316">
        <v>18700</v>
      </c>
      <c r="H28" s="316">
        <v>18700</v>
      </c>
      <c r="I28" s="316">
        <v>16992.085186537577</v>
      </c>
      <c r="J28" s="316">
        <v>18212.411975539297</v>
      </c>
      <c r="K28">
        <v>18912.889359213888</v>
      </c>
    </row>
    <row r="29" spans="1:20" ht="23.25" x14ac:dyDescent="0.3">
      <c r="A29" s="232"/>
      <c r="B29" s="276"/>
      <c r="C29">
        <v>148300</v>
      </c>
      <c r="D29" s="316">
        <v>153900</v>
      </c>
      <c r="E29" s="316">
        <v>156600</v>
      </c>
      <c r="F29" s="316">
        <v>155800</v>
      </c>
      <c r="G29" s="316">
        <v>158800</v>
      </c>
      <c r="H29" s="316">
        <v>158800</v>
      </c>
      <c r="I29" s="316">
        <v>144296.42393701427</v>
      </c>
      <c r="J29" s="316">
        <v>154659.41292597007</v>
      </c>
      <c r="K29">
        <v>160607.85188466127</v>
      </c>
    </row>
    <row r="30" spans="1:20" ht="23.25" x14ac:dyDescent="0.3">
      <c r="A30" s="232"/>
      <c r="B30" s="276"/>
      <c r="C30">
        <v>4200</v>
      </c>
      <c r="D30" s="316">
        <v>4800</v>
      </c>
      <c r="E30" s="316">
        <v>5000</v>
      </c>
      <c r="F30" s="316">
        <v>4800</v>
      </c>
      <c r="G30" s="316">
        <v>5500</v>
      </c>
      <c r="H30" s="316">
        <v>5500</v>
      </c>
      <c r="I30" s="316">
        <v>4997.6721136875221</v>
      </c>
      <c r="J30" s="316">
        <v>5356.5917575115582</v>
      </c>
      <c r="K30">
        <v>5562.6145174158491</v>
      </c>
    </row>
    <row r="31" spans="1:20" ht="23.25" x14ac:dyDescent="0.3">
      <c r="A31" s="232"/>
      <c r="B31" s="276"/>
      <c r="C31">
        <v>84600</v>
      </c>
      <c r="D31" s="316">
        <v>93700</v>
      </c>
      <c r="E31" s="316">
        <v>99000</v>
      </c>
      <c r="F31" s="316">
        <v>98500</v>
      </c>
      <c r="G31" s="316">
        <v>100600</v>
      </c>
      <c r="H31" s="316">
        <v>100600</v>
      </c>
      <c r="I31" s="316">
        <v>91411.966297629959</v>
      </c>
      <c r="J31" s="316">
        <v>97976.932873756858</v>
      </c>
      <c r="K31">
        <v>101745.27644582445</v>
      </c>
    </row>
    <row r="32" spans="1:20" ht="23.25" x14ac:dyDescent="0.3">
      <c r="A32" s="232"/>
      <c r="B32" s="276"/>
      <c r="C32">
        <v>10200</v>
      </c>
      <c r="D32" s="316">
        <v>10700</v>
      </c>
      <c r="E32" s="316">
        <v>11400</v>
      </c>
      <c r="F32" s="316">
        <v>11300</v>
      </c>
      <c r="G32" s="316">
        <v>10800</v>
      </c>
      <c r="H32" s="316">
        <v>10800</v>
      </c>
      <c r="I32" s="316">
        <v>9813.6106959682256</v>
      </c>
      <c r="J32" s="316">
        <v>10518.398360204514</v>
      </c>
      <c r="K32">
        <v>10922.952143289305</v>
      </c>
    </row>
    <row r="33" spans="1:11" ht="23.25" x14ac:dyDescent="0.3">
      <c r="A33" s="232"/>
      <c r="B33" s="276"/>
      <c r="C33">
        <v>265600</v>
      </c>
      <c r="D33" s="316">
        <v>283100</v>
      </c>
      <c r="E33" s="316">
        <v>293000</v>
      </c>
      <c r="F33" s="316">
        <v>292500</v>
      </c>
      <c r="G33" s="316">
        <v>300400</v>
      </c>
      <c r="H33" s="316">
        <v>300400</v>
      </c>
      <c r="I33" s="316">
        <v>272963.76417304215</v>
      </c>
      <c r="J33" s="316">
        <v>292567.30253754038</v>
      </c>
      <c r="K33">
        <v>303819.89109667658</v>
      </c>
    </row>
    <row r="34" spans="1:11" ht="23.25" x14ac:dyDescent="0.3">
      <c r="A34" s="232"/>
      <c r="B34" s="276"/>
    </row>
    <row r="35" spans="1:11" ht="23.25" x14ac:dyDescent="0.3">
      <c r="A35" s="232"/>
      <c r="B35" s="276"/>
    </row>
    <row r="36" spans="1:11" ht="23.25" x14ac:dyDescent="0.3">
      <c r="A36" s="232"/>
      <c r="B36" s="276"/>
    </row>
    <row r="37" spans="1:11" ht="23.25" x14ac:dyDescent="0.3">
      <c r="A37" s="232"/>
      <c r="B37" s="276"/>
    </row>
    <row r="38" spans="1:11" ht="23.25" x14ac:dyDescent="0.3">
      <c r="A38" s="232"/>
      <c r="B38" s="276"/>
    </row>
    <row r="39" spans="1:11" x14ac:dyDescent="0.25">
      <c r="B39" s="276"/>
    </row>
    <row r="40" spans="1:11" x14ac:dyDescent="0.25">
      <c r="B40" s="276"/>
    </row>
    <row r="41" spans="1:11" x14ac:dyDescent="0.25">
      <c r="B41" s="276"/>
    </row>
    <row r="42" spans="1:11" x14ac:dyDescent="0.25">
      <c r="B42" s="276"/>
    </row>
    <row r="43" spans="1:11" x14ac:dyDescent="0.25">
      <c r="B43" s="276"/>
    </row>
    <row r="44" spans="1:11" x14ac:dyDescent="0.25">
      <c r="B44" s="276"/>
    </row>
    <row r="45" spans="1:11" x14ac:dyDescent="0.25">
      <c r="B45" s="276"/>
    </row>
    <row r="46" spans="1:11" x14ac:dyDescent="0.25">
      <c r="B46" s="276"/>
    </row>
    <row r="47" spans="1:11" x14ac:dyDescent="0.25">
      <c r="B47" s="276"/>
      <c r="C47" s="276"/>
      <c r="D47" s="276"/>
      <c r="E47" s="276"/>
      <c r="F47" s="276"/>
      <c r="G47" s="276"/>
      <c r="H47" s="276"/>
    </row>
    <row r="48" spans="1:11" x14ac:dyDescent="0.25">
      <c r="B48" s="276"/>
      <c r="C48" s="276"/>
      <c r="D48" s="276"/>
      <c r="E48" s="276"/>
      <c r="F48" s="276"/>
      <c r="G48" s="276"/>
      <c r="H48" s="276"/>
    </row>
    <row r="49" spans="2:8" x14ac:dyDescent="0.25">
      <c r="B49" s="276"/>
      <c r="C49" s="276"/>
      <c r="D49" s="276"/>
      <c r="E49" s="276"/>
      <c r="F49" s="276"/>
      <c r="G49" s="276"/>
      <c r="H49" s="276"/>
    </row>
    <row r="50" spans="2:8" x14ac:dyDescent="0.25">
      <c r="B50" s="276"/>
      <c r="C50" s="276"/>
      <c r="D50" s="276"/>
      <c r="E50" s="276"/>
      <c r="F50" s="276"/>
      <c r="G50" s="276"/>
      <c r="H50" s="276"/>
    </row>
    <row r="51" spans="2:8" x14ac:dyDescent="0.25">
      <c r="B51" s="276"/>
      <c r="C51" s="276"/>
      <c r="D51" s="276"/>
      <c r="E51" s="276"/>
      <c r="F51" s="276"/>
      <c r="G51" s="276"/>
      <c r="H51" s="276"/>
    </row>
    <row r="52" spans="2:8" x14ac:dyDescent="0.25">
      <c r="B52" s="276"/>
      <c r="C52" s="276"/>
      <c r="D52" s="276"/>
      <c r="E52" s="276"/>
      <c r="F52" s="276"/>
      <c r="G52" s="276"/>
      <c r="H52" s="276"/>
    </row>
    <row r="53" spans="2:8" x14ac:dyDescent="0.25">
      <c r="B53" s="276"/>
      <c r="C53" s="276"/>
      <c r="D53" s="276"/>
      <c r="E53" s="276"/>
      <c r="F53" s="276"/>
      <c r="G53" s="276"/>
      <c r="H53" s="276"/>
    </row>
    <row r="54" spans="2:8" x14ac:dyDescent="0.25">
      <c r="B54" s="276"/>
      <c r="C54" s="276"/>
      <c r="D54" s="276"/>
      <c r="E54" s="276"/>
      <c r="F54" s="276"/>
      <c r="G54" s="276"/>
      <c r="H54" s="276"/>
    </row>
    <row r="66" ht="23.25" customHeight="1" x14ac:dyDescent="0.25"/>
  </sheetData>
  <mergeCells count="8">
    <mergeCell ref="O7:P7"/>
    <mergeCell ref="Q7:R7"/>
    <mergeCell ref="C7:D7"/>
    <mergeCell ref="E7:F7"/>
    <mergeCell ref="G7:H7"/>
    <mergeCell ref="I7:J7"/>
    <mergeCell ref="K7:L7"/>
    <mergeCell ref="M7:N7"/>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theme="5" tint="0.39997558519241921"/>
  </sheetPr>
  <dimension ref="A1:Y303"/>
  <sheetViews>
    <sheetView showGridLines="0" showRowColHeaders="0" showZeros="0" topLeftCell="A19" zoomScaleNormal="100" workbookViewId="0">
      <selection activeCell="B32" sqref="B32"/>
    </sheetView>
  </sheetViews>
  <sheetFormatPr defaultRowHeight="15" x14ac:dyDescent="0.25"/>
  <cols>
    <col min="1" max="1" width="8.7109375" style="233" customWidth="1"/>
    <col min="2" max="2" width="34.42578125" style="233" customWidth="1"/>
    <col min="3" max="3" width="15.85546875" style="233" customWidth="1"/>
    <col min="4" max="4" width="19.28515625" style="233" customWidth="1"/>
    <col min="5" max="5" width="20.28515625" style="233" customWidth="1"/>
    <col min="6" max="6" width="19" style="233" customWidth="1"/>
    <col min="7" max="7" width="14.7109375" style="233" customWidth="1"/>
    <col min="8" max="8" width="14" style="233" customWidth="1"/>
    <col min="9" max="9" width="30.7109375" style="233" customWidth="1"/>
    <col min="10" max="10" width="14.7109375" style="233" customWidth="1"/>
    <col min="11" max="11" width="9.7109375" style="233" customWidth="1"/>
    <col min="12" max="12" width="6.7109375" style="233" customWidth="1"/>
    <col min="13" max="13" width="27.7109375" style="233" customWidth="1"/>
    <col min="14" max="14" width="7.7109375" style="233" customWidth="1"/>
    <col min="15" max="15" width="16.28515625" style="233" bestFit="1" customWidth="1"/>
    <col min="16" max="16" width="22.5703125" style="233" bestFit="1" customWidth="1"/>
    <col min="17" max="17" width="21.28515625" style="233" bestFit="1" customWidth="1"/>
    <col min="18" max="18" width="22.28515625" style="233" bestFit="1" customWidth="1"/>
    <col min="19" max="16384" width="9.140625" style="233"/>
  </cols>
  <sheetData>
    <row r="1" spans="2:11" x14ac:dyDescent="0.25">
      <c r="B1" s="658"/>
    </row>
    <row r="4" spans="2:11" ht="31.5" x14ac:dyDescent="0.5">
      <c r="B4" s="626" t="s">
        <v>218</v>
      </c>
    </row>
    <row r="5" spans="2:11" x14ac:dyDescent="0.25">
      <c r="B5" s="276"/>
      <c r="C5" s="276"/>
      <c r="D5" s="276"/>
      <c r="E5" s="276"/>
      <c r="F5" s="276"/>
      <c r="G5" s="276"/>
      <c r="H5" s="276"/>
    </row>
    <row r="6" spans="2:11" ht="23.25" customHeight="1" x14ac:dyDescent="0.25">
      <c r="B6" s="627" t="s">
        <v>412</v>
      </c>
    </row>
    <row r="7" spans="2:11" ht="23.25" customHeight="1" x14ac:dyDescent="0.25">
      <c r="B7" s="627"/>
    </row>
    <row r="8" spans="2:11" ht="23.25" customHeight="1" x14ac:dyDescent="0.25">
      <c r="B8" s="627"/>
    </row>
    <row r="9" spans="2:11" ht="25.5" x14ac:dyDescent="0.25">
      <c r="C9" s="1625" t="s">
        <v>595</v>
      </c>
      <c r="D9" s="708" t="s">
        <v>656</v>
      </c>
      <c r="E9" s="1625"/>
      <c r="F9" s="1522" t="s">
        <v>506</v>
      </c>
      <c r="G9" s="1522" t="s">
        <v>507</v>
      </c>
      <c r="H9" s="1474" t="s">
        <v>704</v>
      </c>
      <c r="I9" s="1522" t="s">
        <v>503</v>
      </c>
      <c r="J9" s="1636" t="s">
        <v>536</v>
      </c>
    </row>
    <row r="10" spans="2:11" x14ac:dyDescent="0.25">
      <c r="B10" s="276" t="s">
        <v>798</v>
      </c>
      <c r="C10" s="1742">
        <v>303819.891</v>
      </c>
      <c r="D10" s="1473">
        <v>3.8462611982896133E-2</v>
      </c>
      <c r="E10" s="1531">
        <v>3.9111768545898817E-2</v>
      </c>
      <c r="F10" s="1742">
        <v>217000</v>
      </c>
      <c r="G10" s="1742">
        <v>347127.97499999998</v>
      </c>
      <c r="H10" s="1743">
        <v>217</v>
      </c>
      <c r="I10" s="276"/>
      <c r="J10" s="1765">
        <v>303.81989109667666</v>
      </c>
      <c r="K10" s="276"/>
    </row>
    <row r="11" spans="2:11" x14ac:dyDescent="0.25">
      <c r="B11" s="276"/>
      <c r="C11" s="276"/>
      <c r="D11" s="276"/>
      <c r="E11" s="1531"/>
      <c r="F11" s="276"/>
      <c r="G11" s="276"/>
      <c r="H11" s="276"/>
      <c r="I11" s="276"/>
      <c r="J11" s="707"/>
      <c r="K11" s="276"/>
    </row>
    <row r="12" spans="2:11" x14ac:dyDescent="0.25">
      <c r="B12" s="276"/>
      <c r="C12" s="276"/>
      <c r="D12" s="1525"/>
      <c r="E12" s="1531"/>
      <c r="F12" s="276"/>
      <c r="G12" s="276"/>
      <c r="H12" s="276"/>
      <c r="I12" s="276"/>
      <c r="J12" s="707"/>
      <c r="K12" s="276"/>
    </row>
    <row r="13" spans="2:11" x14ac:dyDescent="0.25">
      <c r="B13" s="276" t="s">
        <v>793</v>
      </c>
      <c r="C13" s="506">
        <v>973381568</v>
      </c>
      <c r="D13" s="1473">
        <v>3.9111768545898817E-2</v>
      </c>
      <c r="E13" s="1531">
        <v>3.9111768545898817E-2</v>
      </c>
      <c r="F13" s="1742">
        <v>516341468</v>
      </c>
      <c r="G13" s="1742">
        <v>973381568</v>
      </c>
      <c r="H13" s="1743">
        <v>516341468</v>
      </c>
      <c r="I13" s="276"/>
      <c r="J13" s="1765">
        <f>C48</f>
        <v>6000</v>
      </c>
      <c r="K13" s="276"/>
    </row>
    <row r="14" spans="2:11" x14ac:dyDescent="0.25">
      <c r="B14" s="276" t="s">
        <v>864</v>
      </c>
      <c r="C14" s="506">
        <v>8777964802</v>
      </c>
      <c r="D14" s="1473">
        <v>-1.1572300943461178E-2</v>
      </c>
      <c r="E14" s="1531">
        <v>-1.1572300943461178E-2</v>
      </c>
      <c r="F14" s="1742">
        <v>4799456503</v>
      </c>
      <c r="G14" s="1742">
        <v>8880735344</v>
      </c>
      <c r="H14" s="1743">
        <v>4799456503</v>
      </c>
      <c r="I14" s="276"/>
      <c r="J14" s="1765">
        <f>E48</f>
        <v>158800</v>
      </c>
      <c r="K14" s="276"/>
    </row>
    <row r="15" spans="2:11" x14ac:dyDescent="0.25">
      <c r="B15" s="276" t="s">
        <v>799</v>
      </c>
      <c r="C15" s="754">
        <v>9.0180100903657134</v>
      </c>
      <c r="D15" s="1473">
        <v>-4.8776340547355801E-2</v>
      </c>
      <c r="E15" s="1531">
        <v>-4.8776340547355801E-2</v>
      </c>
      <c r="F15" s="1744">
        <v>9.0180100903657134</v>
      </c>
      <c r="G15" s="1744">
        <v>11.697648942464921</v>
      </c>
      <c r="H15" s="1745">
        <v>9.2951211561415796</v>
      </c>
      <c r="I15" s="276"/>
      <c r="J15" s="1766">
        <f>F48</f>
        <v>5500</v>
      </c>
      <c r="K15" s="276"/>
    </row>
    <row r="17" spans="1:15" x14ac:dyDescent="0.25">
      <c r="B17" s="708" t="s">
        <v>794</v>
      </c>
      <c r="C17" s="1522" t="s">
        <v>595</v>
      </c>
      <c r="D17" s="1731" t="s">
        <v>716</v>
      </c>
      <c r="E17" s="1624"/>
      <c r="F17" s="1624"/>
      <c r="G17" s="1624"/>
      <c r="H17" s="1626" t="s">
        <v>635</v>
      </c>
      <c r="I17" s="1624" t="s">
        <v>503</v>
      </c>
      <c r="J17" s="1627" t="s">
        <v>536</v>
      </c>
    </row>
    <row r="18" spans="1:15" x14ac:dyDescent="0.25">
      <c r="B18" s="630" t="s">
        <v>795</v>
      </c>
      <c r="C18" s="632">
        <f>O207</f>
        <v>3.8461538461537215E-2</v>
      </c>
      <c r="D18" s="1351">
        <f>O212</f>
        <v>1.2493193755105059</v>
      </c>
      <c r="E18" s="1732">
        <f>D18</f>
        <v>1.2493193755105059</v>
      </c>
      <c r="F18" s="1733"/>
      <c r="G18" s="1733"/>
      <c r="H18" s="1734">
        <f>I29</f>
        <v>0</v>
      </c>
      <c r="I18" s="1513"/>
      <c r="J18" s="1616">
        <f>I41</f>
        <v>0</v>
      </c>
    </row>
    <row r="19" spans="1:15" ht="26.25" x14ac:dyDescent="0.25">
      <c r="B19" s="630" t="s">
        <v>796</v>
      </c>
      <c r="C19" s="632">
        <f>O208</f>
        <v>3.8876198132661299E-2</v>
      </c>
      <c r="D19" s="1351">
        <f>O213</f>
        <v>1.2599345733557554</v>
      </c>
      <c r="E19" s="1732">
        <f>D19</f>
        <v>1.2599345733557554</v>
      </c>
      <c r="F19" s="1733"/>
      <c r="G19" s="1733"/>
      <c r="H19" s="1734">
        <f>J29</f>
        <v>0</v>
      </c>
      <c r="I19" s="1513"/>
      <c r="J19" s="1616">
        <f>J41</f>
        <v>0</v>
      </c>
    </row>
    <row r="20" spans="1:15" x14ac:dyDescent="0.25">
      <c r="B20" s="630" t="s">
        <v>797</v>
      </c>
      <c r="C20" s="1473">
        <f>O209</f>
        <v>3.1532999999999999E-2</v>
      </c>
      <c r="D20" s="1473">
        <f>O214</f>
        <v>1.7989232721497834</v>
      </c>
      <c r="E20" s="1732">
        <f>D20</f>
        <v>1.7989232721497834</v>
      </c>
      <c r="F20" s="1733"/>
      <c r="G20" s="1733"/>
      <c r="I20" s="1513"/>
    </row>
    <row r="23" spans="1:15" ht="24.95" customHeight="1" x14ac:dyDescent="0.25">
      <c r="B23" s="1369" t="s">
        <v>787</v>
      </c>
      <c r="C23" s="1520" t="s">
        <v>505</v>
      </c>
      <c r="D23" s="1474" t="s">
        <v>556</v>
      </c>
      <c r="E23" s="1479" t="s">
        <v>503</v>
      </c>
      <c r="F23" s="1474" t="s">
        <v>536</v>
      </c>
      <c r="G23" s="1520" t="s">
        <v>505</v>
      </c>
      <c r="H23" s="1474" t="s">
        <v>556</v>
      </c>
      <c r="I23" s="1479" t="s">
        <v>503</v>
      </c>
      <c r="J23" s="1474" t="s">
        <v>536</v>
      </c>
    </row>
    <row r="24" spans="1:15" ht="24.95" customHeight="1" x14ac:dyDescent="0.25">
      <c r="B24" s="1369" t="s">
        <v>361</v>
      </c>
      <c r="C24" s="936">
        <v>3.3777996839000002</v>
      </c>
      <c r="D24" s="934">
        <v>3.57</v>
      </c>
      <c r="E24" s="1518"/>
      <c r="F24" s="935">
        <v>3.3777996839000002</v>
      </c>
      <c r="G24" s="936">
        <v>90.136384149600801</v>
      </c>
      <c r="H24" s="934">
        <v>78.599999999999994</v>
      </c>
      <c r="I24" s="1923"/>
      <c r="J24" s="935">
        <v>90.136384149600801</v>
      </c>
    </row>
    <row r="25" spans="1:15" ht="24.95" customHeight="1" x14ac:dyDescent="0.25">
      <c r="B25" s="1369" t="s">
        <v>362</v>
      </c>
      <c r="C25" s="936">
        <v>1.7366236612999999</v>
      </c>
      <c r="D25" s="934">
        <v>1.63</v>
      </c>
      <c r="E25" s="1518"/>
      <c r="F25" s="935">
        <v>1.7366236612999999</v>
      </c>
      <c r="G25" s="936">
        <v>88.613747794746402</v>
      </c>
      <c r="H25" s="934">
        <v>73.13</v>
      </c>
      <c r="I25" s="1923"/>
      <c r="J25" s="935">
        <v>88.613747794746402</v>
      </c>
    </row>
    <row r="26" spans="1:15" ht="24.95" customHeight="1" x14ac:dyDescent="0.25">
      <c r="B26" s="1369" t="s">
        <v>363</v>
      </c>
      <c r="C26" s="936">
        <v>13.629653725000001</v>
      </c>
      <c r="D26" s="934">
        <v>10.41</v>
      </c>
      <c r="E26" s="1518"/>
      <c r="F26" s="935">
        <v>13.629653725000001</v>
      </c>
      <c r="G26" s="936">
        <v>79.653871572325897</v>
      </c>
      <c r="H26" s="934">
        <v>64.33</v>
      </c>
      <c r="I26" s="1923"/>
      <c r="J26" s="935">
        <v>79.653871572325897</v>
      </c>
    </row>
    <row r="27" spans="1:15" ht="24.95" customHeight="1" x14ac:dyDescent="0.25">
      <c r="B27" s="1369"/>
      <c r="C27" s="936"/>
      <c r="D27" s="934"/>
      <c r="E27" s="1518"/>
      <c r="F27" s="935"/>
      <c r="G27" s="936"/>
      <c r="H27" s="934"/>
      <c r="I27" s="1518"/>
      <c r="J27" s="935"/>
    </row>
    <row r="28" spans="1:15" ht="24.95" customHeight="1" x14ac:dyDescent="0.25">
      <c r="A28" s="376"/>
      <c r="B28" s="1369"/>
      <c r="C28" s="936"/>
      <c r="D28" s="934"/>
      <c r="E28" s="1518"/>
      <c r="F28" s="935"/>
      <c r="G28" s="936"/>
      <c r="H28" s="934"/>
      <c r="I28" s="1518"/>
      <c r="J28" s="935"/>
    </row>
    <row r="29" spans="1:15" x14ac:dyDescent="0.25">
      <c r="A29" s="259"/>
      <c r="B29" s="627" t="s">
        <v>653</v>
      </c>
      <c r="E29" s="1686"/>
      <c r="F29" s="885"/>
      <c r="G29" s="1684"/>
      <c r="H29" s="1684"/>
      <c r="I29" s="1684"/>
      <c r="J29" s="1684"/>
      <c r="K29" s="1684"/>
      <c r="L29" s="1684"/>
      <c r="M29" s="1685"/>
      <c r="N29" s="1685"/>
      <c r="O29" s="1685"/>
    </row>
    <row r="30" spans="1:15" x14ac:dyDescent="0.25">
      <c r="A30" s="259"/>
      <c r="B30" s="276" t="s">
        <v>225</v>
      </c>
      <c r="E30" s="664"/>
      <c r="F30" s="664"/>
      <c r="G30" s="664"/>
      <c r="H30" s="664"/>
      <c r="I30" s="664"/>
      <c r="J30" s="694"/>
      <c r="K30" s="694"/>
      <c r="L30" s="694"/>
      <c r="M30" s="657"/>
      <c r="N30" s="657"/>
    </row>
    <row r="31" spans="1:15" x14ac:dyDescent="0.25">
      <c r="A31" s="396" t="b">
        <v>1</v>
      </c>
      <c r="B31" s="692" t="s">
        <v>706</v>
      </c>
      <c r="E31" s="664"/>
      <c r="F31" s="664"/>
      <c r="G31" s="664"/>
      <c r="H31" s="664"/>
      <c r="I31" s="664"/>
      <c r="J31" s="694"/>
      <c r="K31" s="694"/>
      <c r="L31" s="695"/>
      <c r="M31" s="695"/>
      <c r="N31" s="695"/>
    </row>
    <row r="32" spans="1:15" x14ac:dyDescent="0.25">
      <c r="A32" s="396"/>
      <c r="B32" s="664"/>
      <c r="C32" s="664"/>
      <c r="D32" s="664"/>
      <c r="E32" s="664"/>
      <c r="F32" s="668"/>
      <c r="G32" s="668"/>
      <c r="H32" s="668"/>
      <c r="I32" s="664"/>
      <c r="J32" s="694"/>
      <c r="K32" s="694"/>
      <c r="L32" s="696"/>
      <c r="M32" s="696"/>
      <c r="N32" s="696"/>
    </row>
    <row r="33" spans="1:25" x14ac:dyDescent="0.25">
      <c r="A33" s="396"/>
      <c r="B33" s="664"/>
      <c r="C33" s="664"/>
      <c r="D33" s="664"/>
      <c r="E33" s="664"/>
      <c r="F33" s="668"/>
      <c r="G33" s="668"/>
      <c r="H33" s="668"/>
      <c r="I33" s="1751"/>
      <c r="J33" s="694"/>
      <c r="K33" s="694"/>
      <c r="L33" s="696"/>
      <c r="M33" s="696"/>
      <c r="N33" s="696"/>
    </row>
    <row r="34" spans="1:25" x14ac:dyDescent="0.25">
      <c r="A34" s="1746">
        <v>217000</v>
      </c>
      <c r="B34" s="1749" t="str">
        <f>IF($A$31=TRUE,B59,"")</f>
        <v>Activity</v>
      </c>
      <c r="C34" s="1532" t="str">
        <f t="shared" ref="C34:G34" si="0">IF($A$31=TRUE,C59,"")</f>
        <v>GP Home Visit</v>
      </c>
      <c r="D34" s="1532" t="str">
        <f t="shared" si="0"/>
        <v>GP Phone Consultation</v>
      </c>
      <c r="E34" s="1532" t="str">
        <f t="shared" si="0"/>
        <v>GP Surgery Consultation</v>
      </c>
      <c r="F34" s="1873" t="str">
        <f t="shared" si="0"/>
        <v>GP Clinic Consultation</v>
      </c>
      <c r="G34" s="1873" t="str">
        <f t="shared" si="0"/>
        <v xml:space="preserve">Practice Nurse </v>
      </c>
      <c r="H34" s="1749">
        <f>IF($A$31=TRUE,H59,"")</f>
        <v>0</v>
      </c>
      <c r="I34" s="1750" t="str">
        <f>IF($A$31=TRUE,I59,"")</f>
        <v>Total</v>
      </c>
      <c r="J34" s="1679"/>
      <c r="K34" s="694"/>
      <c r="L34" s="696"/>
      <c r="M34" s="696"/>
      <c r="N34" s="696"/>
    </row>
    <row r="35" spans="1:25" x14ac:dyDescent="0.25">
      <c r="A35" s="1746" t="s">
        <v>804</v>
      </c>
      <c r="B35" s="1749" t="str">
        <f t="shared" ref="B35:I52" si="1">IF($A$31=TRUE,B60,"")</f>
        <v>1998/99</v>
      </c>
      <c r="C35" s="1814">
        <f t="shared" si="1"/>
        <v>11067</v>
      </c>
      <c r="D35" s="1814">
        <f t="shared" si="1"/>
        <v>19964</v>
      </c>
      <c r="E35" s="1814">
        <f t="shared" si="1"/>
        <v>154504</v>
      </c>
      <c r="F35" s="1815">
        <f t="shared" si="1"/>
        <v>31465</v>
      </c>
      <c r="G35" s="1815" t="str">
        <f t="shared" si="1"/>
        <v xml:space="preserve"> - </v>
      </c>
      <c r="H35" s="1885">
        <f t="shared" si="1"/>
        <v>0</v>
      </c>
      <c r="I35" s="1884">
        <f>IF($A$31=TRUE,I60,"")</f>
        <v>217000</v>
      </c>
      <c r="J35" s="1680"/>
      <c r="K35" s="694"/>
      <c r="L35" s="696"/>
      <c r="M35" s="696"/>
      <c r="N35" s="696"/>
    </row>
    <row r="36" spans="1:25" x14ac:dyDescent="0.25">
      <c r="A36" s="1746">
        <v>220000</v>
      </c>
      <c r="B36" s="1749" t="str">
        <f t="shared" si="1"/>
        <v>1999/00</v>
      </c>
      <c r="C36" s="1814">
        <f t="shared" si="1"/>
        <v>11143.5</v>
      </c>
      <c r="D36" s="1814">
        <f t="shared" si="1"/>
        <v>20102</v>
      </c>
      <c r="E36" s="1814">
        <f t="shared" si="1"/>
        <v>155572</v>
      </c>
      <c r="F36" s="1815">
        <f t="shared" si="1"/>
        <v>31682.5</v>
      </c>
      <c r="G36" s="1815" t="str">
        <f t="shared" si="1"/>
        <v xml:space="preserve"> - </v>
      </c>
      <c r="H36" s="1885">
        <f t="shared" si="1"/>
        <v>0</v>
      </c>
      <c r="I36" s="1884">
        <f t="shared" si="1"/>
        <v>218500</v>
      </c>
      <c r="J36" s="1679"/>
      <c r="K36" s="694"/>
      <c r="L36" s="696"/>
      <c r="M36" s="696"/>
      <c r="N36" s="696"/>
    </row>
    <row r="37" spans="1:25" x14ac:dyDescent="0.25">
      <c r="A37" s="1746">
        <v>297999.99200000003</v>
      </c>
      <c r="B37" s="1749" t="str">
        <f t="shared" si="1"/>
        <v>2000/01</v>
      </c>
      <c r="C37" s="1814">
        <f t="shared" si="1"/>
        <v>8580</v>
      </c>
      <c r="D37" s="1814">
        <f t="shared" si="1"/>
        <v>17600</v>
      </c>
      <c r="E37" s="1814">
        <f t="shared" si="1"/>
        <v>157740</v>
      </c>
      <c r="F37" s="1815">
        <f t="shared" si="1"/>
        <v>36080</v>
      </c>
      <c r="G37" s="1815" t="str">
        <f t="shared" si="1"/>
        <v xml:space="preserve"> - </v>
      </c>
      <c r="H37" s="1885">
        <f t="shared" si="1"/>
        <v>0</v>
      </c>
      <c r="I37" s="1884">
        <f>IF($A$31=TRUE,I62,"")</f>
        <v>220000</v>
      </c>
      <c r="J37" s="1679"/>
      <c r="K37" s="694"/>
      <c r="L37" s="696"/>
      <c r="M37" s="696"/>
      <c r="N37" s="696"/>
    </row>
    <row r="38" spans="1:25" x14ac:dyDescent="0.25">
      <c r="A38" s="1746">
        <v>325000</v>
      </c>
      <c r="B38" s="1749" t="str">
        <f t="shared" si="1"/>
        <v xml:space="preserve"> 2001/02</v>
      </c>
      <c r="C38" s="1814">
        <f t="shared" si="1"/>
        <v>9982</v>
      </c>
      <c r="D38" s="1814">
        <f t="shared" si="1"/>
        <v>22568</v>
      </c>
      <c r="E38" s="1814">
        <f t="shared" si="1"/>
        <v>169476.992</v>
      </c>
      <c r="F38" s="1815">
        <f t="shared" si="1"/>
        <v>14973</v>
      </c>
      <c r="G38" s="1815">
        <f t="shared" si="1"/>
        <v>81000</v>
      </c>
      <c r="H38" s="1885">
        <f t="shared" si="1"/>
        <v>0</v>
      </c>
      <c r="I38" s="1884">
        <f>IF($A$31=TRUE,I63,"")</f>
        <v>297999.99200000003</v>
      </c>
      <c r="J38" s="1679"/>
      <c r="K38" s="694"/>
      <c r="L38" s="696"/>
      <c r="M38" s="696"/>
      <c r="N38" s="696"/>
    </row>
    <row r="39" spans="1:25" x14ac:dyDescent="0.25">
      <c r="A39" s="1746">
        <v>347127.97499999998</v>
      </c>
      <c r="B39" s="1749" t="str">
        <f t="shared" si="1"/>
        <v>2002/03</v>
      </c>
      <c r="C39" s="1814">
        <f t="shared" si="1"/>
        <v>12050</v>
      </c>
      <c r="D39" s="1814">
        <f t="shared" si="1"/>
        <v>21690</v>
      </c>
      <c r="E39" s="1814">
        <f t="shared" si="1"/>
        <v>192800</v>
      </c>
      <c r="F39" s="1815">
        <f t="shared" si="1"/>
        <v>14460</v>
      </c>
      <c r="G39" s="1815">
        <f t="shared" si="1"/>
        <v>84000</v>
      </c>
      <c r="H39" s="1885">
        <f t="shared" si="1"/>
        <v>0</v>
      </c>
      <c r="I39" s="1884">
        <f t="shared" si="1"/>
        <v>325000</v>
      </c>
      <c r="J39" s="1679"/>
      <c r="K39" s="694"/>
      <c r="L39" s="696"/>
      <c r="M39" s="696"/>
      <c r="N39" s="696"/>
    </row>
    <row r="40" spans="1:25" x14ac:dyDescent="0.25">
      <c r="A40" s="1746">
        <v>255400</v>
      </c>
      <c r="B40" s="1749" t="str">
        <f t="shared" si="1"/>
        <v>2003/04</v>
      </c>
      <c r="C40" s="1814">
        <f t="shared" si="1"/>
        <v>12309.101000000001</v>
      </c>
      <c r="D40" s="1814">
        <f t="shared" si="1"/>
        <v>22144.33</v>
      </c>
      <c r="E40" s="1814">
        <f t="shared" si="1"/>
        <v>203774.04</v>
      </c>
      <c r="F40" s="1815">
        <f t="shared" si="1"/>
        <v>11905.659</v>
      </c>
      <c r="G40" s="1815">
        <f t="shared" si="1"/>
        <v>96994.845000000001</v>
      </c>
      <c r="H40" s="1885">
        <f t="shared" si="1"/>
        <v>0</v>
      </c>
      <c r="I40" s="1884">
        <f t="shared" si="1"/>
        <v>347127.97499999998</v>
      </c>
      <c r="J40" s="1681"/>
      <c r="K40" s="657"/>
      <c r="L40" s="657"/>
      <c r="M40" s="657"/>
      <c r="N40" s="657"/>
    </row>
    <row r="41" spans="1:25" x14ac:dyDescent="0.25">
      <c r="A41" s="1746">
        <v>272400</v>
      </c>
      <c r="B41" s="1749">
        <f t="shared" si="1"/>
        <v>0</v>
      </c>
      <c r="C41" s="1814">
        <f t="shared" si="1"/>
        <v>0</v>
      </c>
      <c r="D41" s="1814">
        <f t="shared" si="1"/>
        <v>0</v>
      </c>
      <c r="E41" s="1814">
        <f t="shared" si="1"/>
        <v>0</v>
      </c>
      <c r="F41" s="1815">
        <f t="shared" si="1"/>
        <v>0</v>
      </c>
      <c r="G41" s="1815">
        <f t="shared" si="1"/>
        <v>0</v>
      </c>
      <c r="H41" s="1815">
        <f>IF($A$31=TRUE,H66,"")</f>
        <v>0</v>
      </c>
      <c r="I41" s="1886"/>
      <c r="J41" s="1681"/>
      <c r="K41" s="657"/>
      <c r="L41" s="657"/>
      <c r="M41" s="657"/>
      <c r="N41" s="657"/>
      <c r="P41" s="698"/>
      <c r="Q41" s="698"/>
      <c r="R41" s="698"/>
      <c r="S41" s="698"/>
      <c r="T41" s="698"/>
      <c r="U41" s="698"/>
      <c r="V41" s="698"/>
      <c r="W41" s="698"/>
      <c r="X41" s="698"/>
      <c r="Y41" s="668"/>
    </row>
    <row r="42" spans="1:25" x14ac:dyDescent="0.25">
      <c r="A42" s="1746">
        <v>281600</v>
      </c>
      <c r="B42" s="1749">
        <f t="shared" si="1"/>
        <v>0</v>
      </c>
      <c r="C42" s="1814">
        <f t="shared" si="1"/>
        <v>0</v>
      </c>
      <c r="D42" s="1814">
        <f t="shared" si="1"/>
        <v>0</v>
      </c>
      <c r="E42" s="1814">
        <f t="shared" si="1"/>
        <v>0</v>
      </c>
      <c r="F42" s="1815">
        <f t="shared" si="1"/>
        <v>0</v>
      </c>
      <c r="G42" s="1581">
        <f t="shared" si="1"/>
        <v>0</v>
      </c>
      <c r="H42" s="1581">
        <f>IF($A$31=TRUE,H67,"")</f>
        <v>0</v>
      </c>
      <c r="I42" s="1817"/>
      <c r="J42" s="1682"/>
      <c r="P42" s="698"/>
      <c r="Q42" s="698"/>
      <c r="R42" s="698"/>
      <c r="S42" s="698"/>
      <c r="T42" s="698"/>
      <c r="U42" s="698"/>
      <c r="V42" s="698"/>
      <c r="W42" s="698"/>
      <c r="X42" s="698"/>
      <c r="Y42" s="668"/>
    </row>
    <row r="43" spans="1:25" x14ac:dyDescent="0.25">
      <c r="A43" s="1746">
        <v>281200</v>
      </c>
      <c r="B43" s="1749">
        <f t="shared" si="1"/>
        <v>0</v>
      </c>
      <c r="C43" s="1814" t="str">
        <f t="shared" si="1"/>
        <v>GP Home visit</v>
      </c>
      <c r="D43" s="1814" t="str">
        <f t="shared" si="1"/>
        <v>GP Telephone</v>
      </c>
      <c r="E43" s="1814" t="str">
        <f t="shared" si="1"/>
        <v>GP Surgery</v>
      </c>
      <c r="F43" s="1815" t="str">
        <f t="shared" si="1"/>
        <v>GP Other</v>
      </c>
      <c r="G43" s="1581" t="str">
        <f t="shared" si="1"/>
        <v xml:space="preserve">Practice Nurse </v>
      </c>
      <c r="H43" s="1581" t="str">
        <f t="shared" si="1"/>
        <v>Other Clinicians</v>
      </c>
      <c r="I43" s="1816" t="str">
        <f t="shared" si="1"/>
        <v>Total</v>
      </c>
      <c r="J43" s="1682"/>
      <c r="P43" s="698"/>
      <c r="Q43" s="698"/>
      <c r="R43" s="698"/>
      <c r="S43" s="698"/>
      <c r="T43" s="698"/>
      <c r="U43" s="698"/>
      <c r="V43" s="698"/>
      <c r="W43" s="698"/>
      <c r="X43" s="698"/>
      <c r="Y43" s="668"/>
    </row>
    <row r="44" spans="1:25" x14ac:dyDescent="0.25">
      <c r="A44" s="1746">
        <v>289600</v>
      </c>
      <c r="B44" s="1749" t="str">
        <f t="shared" si="1"/>
        <v>2004/05</v>
      </c>
      <c r="C44" s="1814">
        <f t="shared" si="1"/>
        <v>5800</v>
      </c>
      <c r="D44" s="1814">
        <f t="shared" si="1"/>
        <v>12500</v>
      </c>
      <c r="E44" s="1814">
        <f t="shared" si="1"/>
        <v>148300</v>
      </c>
      <c r="F44" s="1815">
        <f t="shared" si="1"/>
        <v>4200</v>
      </c>
      <c r="G44" s="1815">
        <f t="shared" si="1"/>
        <v>84600</v>
      </c>
      <c r="H44" s="1815">
        <f t="shared" si="1"/>
        <v>10200</v>
      </c>
      <c r="I44" s="1884">
        <f t="shared" si="1"/>
        <v>265600</v>
      </c>
      <c r="J44" s="1682"/>
    </row>
    <row r="45" spans="1:25" x14ac:dyDescent="0.25">
      <c r="A45" s="1746">
        <v>300400</v>
      </c>
      <c r="B45" s="1749" t="str">
        <f t="shared" si="1"/>
        <v>2005/06</v>
      </c>
      <c r="C45" s="1814">
        <f t="shared" si="1"/>
        <v>6000</v>
      </c>
      <c r="D45" s="1814">
        <f t="shared" si="1"/>
        <v>14000</v>
      </c>
      <c r="E45" s="1814">
        <f t="shared" si="1"/>
        <v>153900</v>
      </c>
      <c r="F45" s="1815">
        <f t="shared" si="1"/>
        <v>4800</v>
      </c>
      <c r="G45" s="1815">
        <f t="shared" si="1"/>
        <v>93700</v>
      </c>
      <c r="H45" s="1815">
        <f t="shared" si="1"/>
        <v>10700</v>
      </c>
      <c r="I45" s="1884">
        <f t="shared" si="1"/>
        <v>283100</v>
      </c>
      <c r="J45" s="1683"/>
      <c r="K45" s="698"/>
      <c r="L45" s="668"/>
      <c r="M45" s="668"/>
    </row>
    <row r="46" spans="1:25" x14ac:dyDescent="0.25">
      <c r="A46" s="1746">
        <v>272963.76417304209</v>
      </c>
      <c r="B46" s="1749" t="str">
        <f t="shared" si="1"/>
        <v>2006/07</v>
      </c>
      <c r="C46" s="1814">
        <f t="shared" si="1"/>
        <v>5900</v>
      </c>
      <c r="D46" s="1814">
        <f t="shared" si="1"/>
        <v>15100</v>
      </c>
      <c r="E46" s="1814">
        <f t="shared" si="1"/>
        <v>156600</v>
      </c>
      <c r="F46" s="1815">
        <f t="shared" si="1"/>
        <v>5000</v>
      </c>
      <c r="G46" s="1815">
        <f t="shared" si="1"/>
        <v>99000</v>
      </c>
      <c r="H46" s="1815">
        <f t="shared" si="1"/>
        <v>11400</v>
      </c>
      <c r="I46" s="1884">
        <f t="shared" si="1"/>
        <v>293000</v>
      </c>
      <c r="J46" s="1683"/>
      <c r="K46" s="698"/>
      <c r="L46" s="668"/>
    </row>
    <row r="47" spans="1:25" x14ac:dyDescent="0.25">
      <c r="A47" s="1746">
        <v>292567.30253754038</v>
      </c>
      <c r="B47" s="1749" t="str">
        <f t="shared" si="1"/>
        <v>2007/08</v>
      </c>
      <c r="C47" s="1814">
        <f t="shared" si="1"/>
        <v>5900</v>
      </c>
      <c r="D47" s="1814">
        <f t="shared" si="1"/>
        <v>16200</v>
      </c>
      <c r="E47" s="1814">
        <f t="shared" si="1"/>
        <v>155800</v>
      </c>
      <c r="F47" s="1815">
        <f t="shared" si="1"/>
        <v>4800</v>
      </c>
      <c r="G47" s="1815">
        <f t="shared" si="1"/>
        <v>98500</v>
      </c>
      <c r="H47" s="1815">
        <f t="shared" si="1"/>
        <v>11300</v>
      </c>
      <c r="I47" s="1884">
        <f t="shared" si="1"/>
        <v>292500</v>
      </c>
      <c r="J47" s="1683"/>
      <c r="K47" s="698"/>
      <c r="L47" s="668"/>
      <c r="O47" s="697"/>
    </row>
    <row r="48" spans="1:25" x14ac:dyDescent="0.25">
      <c r="A48" s="1746">
        <v>303819.89109667664</v>
      </c>
      <c r="B48" s="1749" t="str">
        <f t="shared" si="1"/>
        <v>2008/09</v>
      </c>
      <c r="C48" s="1814">
        <f t="shared" si="1"/>
        <v>6000</v>
      </c>
      <c r="D48" s="1814">
        <f t="shared" si="1"/>
        <v>18700</v>
      </c>
      <c r="E48" s="1814">
        <f t="shared" si="1"/>
        <v>158800</v>
      </c>
      <c r="F48" s="1815">
        <f t="shared" si="1"/>
        <v>5500</v>
      </c>
      <c r="G48" s="1815">
        <f t="shared" si="1"/>
        <v>100600</v>
      </c>
      <c r="H48" s="1815">
        <f t="shared" si="1"/>
        <v>10800</v>
      </c>
      <c r="I48" s="1884">
        <f t="shared" si="1"/>
        <v>300400</v>
      </c>
      <c r="J48" s="1683"/>
      <c r="K48" s="698"/>
      <c r="L48" s="668"/>
      <c r="O48" s="697"/>
    </row>
    <row r="49" spans="1:23" x14ac:dyDescent="0.25">
      <c r="A49" s="1741"/>
      <c r="B49" s="1749" t="str">
        <f t="shared" ref="B49" si="2">IF($A$31=TRUE,B74,"")</f>
        <v>2009/10*</v>
      </c>
      <c r="C49" s="1815">
        <f t="shared" si="1"/>
        <v>5452.0059422045697</v>
      </c>
      <c r="D49" s="1815">
        <f t="shared" si="1"/>
        <v>16992.085186537577</v>
      </c>
      <c r="E49" s="1815">
        <f t="shared" si="1"/>
        <v>144296.42393701427</v>
      </c>
      <c r="F49" s="1815">
        <f t="shared" si="1"/>
        <v>4997.6721136875221</v>
      </c>
      <c r="G49" s="1815">
        <f t="shared" si="1"/>
        <v>91411.966297629959</v>
      </c>
      <c r="H49" s="1815">
        <f t="shared" si="1"/>
        <v>9813.6106959682256</v>
      </c>
      <c r="I49" s="1884">
        <f t="shared" si="1"/>
        <v>272963.76417304215</v>
      </c>
      <c r="J49" s="1739"/>
      <c r="K49" s="1720"/>
      <c r="L49" s="1262"/>
      <c r="M49" s="376"/>
      <c r="N49" s="376"/>
      <c r="O49" s="1740"/>
      <c r="P49" s="376"/>
      <c r="Q49" s="376"/>
      <c r="R49" s="376"/>
      <c r="S49" s="376"/>
      <c r="T49" s="376"/>
      <c r="U49" s="376"/>
      <c r="V49" s="376"/>
      <c r="W49" s="376"/>
    </row>
    <row r="50" spans="1:23" x14ac:dyDescent="0.25">
      <c r="A50" s="1741"/>
      <c r="B50" s="1749" t="str">
        <f t="shared" ref="B50" si="3">IF($A$31=TRUE,B75,"")</f>
        <v>2010/11*</v>
      </c>
      <c r="C50" s="1815">
        <f t="shared" si="1"/>
        <v>5843.554644558063</v>
      </c>
      <c r="D50" s="1815">
        <f t="shared" si="1"/>
        <v>18212.411975539297</v>
      </c>
      <c r="E50" s="1815">
        <f t="shared" si="1"/>
        <v>154659.41292597007</v>
      </c>
      <c r="F50" s="1815">
        <f t="shared" si="1"/>
        <v>5356.5917575115582</v>
      </c>
      <c r="G50" s="1815">
        <f t="shared" si="1"/>
        <v>97976.932873756858</v>
      </c>
      <c r="H50" s="1815">
        <f t="shared" si="1"/>
        <v>10518.398360204514</v>
      </c>
      <c r="I50" s="1884">
        <f t="shared" si="1"/>
        <v>292567.30253754038</v>
      </c>
      <c r="J50" s="1739"/>
      <c r="K50" s="1720"/>
      <c r="L50" s="1262"/>
      <c r="M50" s="376"/>
      <c r="N50" s="376"/>
      <c r="O50" s="1262"/>
      <c r="P50" s="376"/>
      <c r="Q50" s="376"/>
      <c r="R50" s="376"/>
      <c r="S50" s="376"/>
      <c r="T50" s="376"/>
      <c r="U50" s="376"/>
      <c r="V50" s="376"/>
      <c r="W50" s="376"/>
    </row>
    <row r="51" spans="1:23" x14ac:dyDescent="0.25">
      <c r="A51" s="1741"/>
      <c r="B51" s="1749" t="str">
        <f t="shared" ref="B51" si="4">IF($A$31=TRUE,B76,"")</f>
        <v>2011/12*</v>
      </c>
      <c r="C51" s="1815">
        <f t="shared" si="1"/>
        <v>6068.3067462718363</v>
      </c>
      <c r="D51" s="1815">
        <f t="shared" si="1"/>
        <v>18912.889359213888</v>
      </c>
      <c r="E51" s="1815">
        <f t="shared" si="1"/>
        <v>160607.85188466127</v>
      </c>
      <c r="F51" s="1815">
        <f t="shared" si="1"/>
        <v>5562.6145174158491</v>
      </c>
      <c r="G51" s="1815">
        <f t="shared" si="1"/>
        <v>101745.27644582445</v>
      </c>
      <c r="H51" s="1815">
        <f t="shared" si="1"/>
        <v>10922.952143289305</v>
      </c>
      <c r="I51" s="1884">
        <f t="shared" si="1"/>
        <v>303819.89109667658</v>
      </c>
      <c r="J51" s="1739"/>
      <c r="K51" s="1720"/>
      <c r="L51" s="1262"/>
      <c r="M51" s="376"/>
      <c r="N51" s="376"/>
      <c r="O51" s="1262"/>
      <c r="P51" s="376"/>
      <c r="Q51" s="376"/>
      <c r="R51" s="376"/>
      <c r="S51" s="376"/>
      <c r="T51" s="376"/>
      <c r="U51" s="376"/>
      <c r="V51" s="376"/>
      <c r="W51" s="376"/>
    </row>
    <row r="52" spans="1:23" ht="24.75" x14ac:dyDescent="0.4">
      <c r="A52" s="674"/>
      <c r="B52" s="1749">
        <f t="shared" si="1"/>
        <v>0</v>
      </c>
      <c r="C52" s="1815">
        <f t="shared" si="1"/>
        <v>0</v>
      </c>
      <c r="D52" s="1815">
        <f t="shared" si="1"/>
        <v>0</v>
      </c>
      <c r="E52" s="1815">
        <f t="shared" si="1"/>
        <v>0</v>
      </c>
      <c r="F52" s="1815">
        <f t="shared" si="1"/>
        <v>0</v>
      </c>
      <c r="G52" s="1815">
        <f t="shared" si="1"/>
        <v>0</v>
      </c>
      <c r="H52" s="1815">
        <f>IF($A$31=TRUE,H77,"")</f>
        <v>0</v>
      </c>
      <c r="I52" s="1884">
        <f t="shared" ref="I52" si="5">IF($A$31=TRUE,I77,"")</f>
        <v>0</v>
      </c>
      <c r="J52" s="1739"/>
      <c r="K52" s="1720"/>
      <c r="L52" s="1262"/>
      <c r="M52" s="376"/>
      <c r="N52" s="376"/>
      <c r="O52" s="1262"/>
      <c r="P52" s="376"/>
      <c r="Q52" s="376"/>
      <c r="R52" s="376"/>
      <c r="S52" s="376"/>
      <c r="T52" s="376"/>
      <c r="U52" s="376"/>
      <c r="V52" s="376"/>
      <c r="W52" s="376"/>
    </row>
    <row r="53" spans="1:23" ht="24.75" x14ac:dyDescent="0.4">
      <c r="A53" s="650"/>
      <c r="B53" s="1752">
        <f t="shared" ref="B53:I53" si="6">IF($A$31=TRUE,B78,"")</f>
        <v>0</v>
      </c>
      <c r="C53" s="1752">
        <f t="shared" si="6"/>
        <v>0</v>
      </c>
      <c r="D53" s="1752">
        <f t="shared" si="6"/>
        <v>0</v>
      </c>
      <c r="E53" s="1752">
        <f t="shared" si="6"/>
        <v>0</v>
      </c>
      <c r="F53" s="1752">
        <f t="shared" si="6"/>
        <v>0</v>
      </c>
      <c r="G53" s="1752">
        <f t="shared" si="6"/>
        <v>0</v>
      </c>
      <c r="H53" s="1752">
        <f t="shared" si="6"/>
        <v>0</v>
      </c>
      <c r="I53" s="1753">
        <f t="shared" si="6"/>
        <v>0</v>
      </c>
      <c r="J53" s="991"/>
      <c r="K53" s="673"/>
      <c r="L53" s="1526"/>
      <c r="M53" s="547"/>
      <c r="N53" s="547"/>
      <c r="O53" s="1526"/>
      <c r="P53" s="547"/>
      <c r="Q53" s="547"/>
      <c r="R53" s="547"/>
      <c r="S53" s="547"/>
      <c r="T53" s="376"/>
      <c r="U53" s="376"/>
      <c r="V53" s="376"/>
      <c r="W53" s="376"/>
    </row>
    <row r="54" spans="1:23" ht="24.75" x14ac:dyDescent="0.4">
      <c r="A54" s="650" t="s">
        <v>136</v>
      </c>
      <c r="B54" s="1752"/>
      <c r="C54" s="1752"/>
      <c r="D54" s="1752"/>
      <c r="E54" s="1752"/>
      <c r="F54" s="1752"/>
      <c r="G54" s="1752"/>
      <c r="H54" s="1752"/>
      <c r="I54" s="1752"/>
      <c r="J54" s="991"/>
      <c r="K54" s="673"/>
      <c r="L54" s="1526"/>
      <c r="M54" s="547"/>
      <c r="N54" s="547"/>
      <c r="O54" s="547"/>
      <c r="P54" s="547"/>
      <c r="Q54" s="547"/>
      <c r="R54" s="547"/>
      <c r="S54" s="547"/>
      <c r="T54" s="376"/>
      <c r="U54" s="376"/>
      <c r="V54" s="376"/>
      <c r="W54" s="376"/>
    </row>
    <row r="55" spans="1:23" ht="24.75" x14ac:dyDescent="0.4">
      <c r="A55" s="650" t="s">
        <v>706</v>
      </c>
      <c r="B55" s="991"/>
      <c r="C55" s="991"/>
      <c r="D55" s="991"/>
      <c r="E55" s="991"/>
      <c r="F55" s="991"/>
      <c r="G55" s="991"/>
      <c r="H55" s="991"/>
      <c r="I55" s="991"/>
      <c r="J55" s="991"/>
      <c r="K55" s="673"/>
      <c r="L55" s="1526"/>
      <c r="M55" s="547"/>
      <c r="N55" s="547"/>
      <c r="O55" s="809"/>
      <c r="P55" s="547"/>
      <c r="Q55" s="547"/>
      <c r="R55" s="547"/>
      <c r="S55" s="547"/>
      <c r="T55" s="376"/>
      <c r="U55" s="376"/>
      <c r="V55" s="376"/>
      <c r="W55" s="376"/>
    </row>
    <row r="56" spans="1:23" ht="24.75" x14ac:dyDescent="0.4">
      <c r="A56" s="650"/>
      <c r="B56" s="1726"/>
      <c r="C56" s="991"/>
      <c r="D56" s="991"/>
      <c r="E56" s="991"/>
      <c r="F56" s="991"/>
      <c r="G56" s="991"/>
      <c r="H56" s="991"/>
      <c r="I56" s="991"/>
      <c r="J56" s="991"/>
      <c r="K56" s="673"/>
      <c r="L56" s="1526"/>
      <c r="M56" s="547"/>
      <c r="N56" s="547"/>
      <c r="O56" s="809"/>
      <c r="P56" s="547"/>
      <c r="Q56" s="547"/>
      <c r="R56" s="547"/>
      <c r="S56" s="547"/>
      <c r="T56" s="376"/>
      <c r="U56" s="376"/>
      <c r="V56" s="376"/>
      <c r="W56" s="376"/>
    </row>
    <row r="57" spans="1:23" ht="24.75" x14ac:dyDescent="0.4">
      <c r="A57" s="650"/>
      <c r="B57" s="1727"/>
      <c r="C57" s="673"/>
      <c r="D57" s="673"/>
      <c r="E57" s="673"/>
      <c r="F57" s="673"/>
      <c r="G57" s="673"/>
      <c r="H57" s="673"/>
      <c r="I57" s="673"/>
      <c r="J57" s="991"/>
      <c r="K57" s="673"/>
      <c r="L57" s="1526"/>
      <c r="M57" s="547"/>
      <c r="N57" s="547"/>
      <c r="O57" s="809"/>
      <c r="P57" s="547"/>
      <c r="Q57" s="547"/>
      <c r="R57" s="547"/>
      <c r="S57" s="547"/>
      <c r="T57" s="376"/>
      <c r="U57" s="376"/>
      <c r="V57" s="376"/>
      <c r="W57" s="376"/>
    </row>
    <row r="58" spans="1:23" ht="24.75" x14ac:dyDescent="0.4">
      <c r="A58" s="650"/>
      <c r="B58" s="1727"/>
      <c r="C58" s="673"/>
      <c r="D58" s="673"/>
      <c r="E58" s="673"/>
      <c r="F58" s="673"/>
      <c r="G58" s="673"/>
      <c r="H58" s="673"/>
      <c r="I58" s="673"/>
      <c r="J58" s="673"/>
      <c r="K58" s="673"/>
      <c r="L58" s="1526"/>
      <c r="M58" s="547"/>
      <c r="N58" s="547"/>
      <c r="O58" s="809"/>
      <c r="P58" s="547"/>
      <c r="Q58" s="547"/>
      <c r="R58" s="547"/>
      <c r="S58" s="547"/>
      <c r="T58" s="376"/>
      <c r="U58" s="376"/>
      <c r="V58" s="376"/>
      <c r="W58" s="376"/>
    </row>
    <row r="59" spans="1:23" ht="24.75" x14ac:dyDescent="0.4">
      <c r="A59" s="650"/>
      <c r="B59" s="1727" t="str">
        <f t="shared" ref="B59:G59" si="7">IF($B$31="Prescribing",B87,IF($B$31="Primary Care Activity",B109,B131))</f>
        <v>Activity</v>
      </c>
      <c r="C59" s="1727" t="str">
        <f t="shared" si="7"/>
        <v>GP Home Visit</v>
      </c>
      <c r="D59" s="1727" t="str">
        <f t="shared" si="7"/>
        <v>GP Phone Consultation</v>
      </c>
      <c r="E59" s="1727" t="str">
        <f t="shared" si="7"/>
        <v>GP Surgery Consultation</v>
      </c>
      <c r="F59" s="1727" t="str">
        <f t="shared" si="7"/>
        <v>GP Clinic Consultation</v>
      </c>
      <c r="G59" s="1727" t="str">
        <f t="shared" si="7"/>
        <v xml:space="preserve">Practice Nurse </v>
      </c>
      <c r="H59" s="1727"/>
      <c r="I59" s="1754" t="str">
        <f t="shared" ref="I59:I72" si="8">IF($B$31="Prescribing",I87,IF($B$31="Primary Care Activity",I109,I131))</f>
        <v>Total</v>
      </c>
      <c r="J59" s="673"/>
      <c r="K59" s="673"/>
      <c r="L59" s="1526"/>
      <c r="M59" s="547"/>
      <c r="N59" s="547"/>
      <c r="O59" s="809"/>
      <c r="P59" s="547"/>
      <c r="Q59" s="547"/>
      <c r="R59" s="547"/>
      <c r="S59" s="547"/>
      <c r="T59" s="376"/>
      <c r="U59" s="376"/>
      <c r="V59" s="376"/>
      <c r="W59" s="376"/>
    </row>
    <row r="60" spans="1:23" ht="24.75" x14ac:dyDescent="0.4">
      <c r="A60" s="650"/>
      <c r="B60" s="1727" t="str">
        <f t="shared" ref="B60:B73" si="9">IF($B$31="Prescribing",B88,IF($B$31="Primary Care Activity",B110,B132))</f>
        <v>1998/99</v>
      </c>
      <c r="C60" s="1727">
        <f t="shared" ref="C60:F65" si="10">IF($B$31="Prescribing",C88,IF($B$31="Primary Care Activity",C110/1000,C132))</f>
        <v>11067</v>
      </c>
      <c r="D60" s="1727">
        <f t="shared" si="10"/>
        <v>19964</v>
      </c>
      <c r="E60" s="1727">
        <f t="shared" si="10"/>
        <v>154504</v>
      </c>
      <c r="F60" s="1727">
        <f t="shared" si="10"/>
        <v>31465</v>
      </c>
      <c r="G60" s="1727" t="str">
        <f>IF($B$31="Prescribing",G88,IF($B$31="Primary Care Activity",G110,G132))</f>
        <v xml:space="preserve"> - </v>
      </c>
      <c r="H60" s="1727"/>
      <c r="I60" s="1755">
        <f t="shared" si="8"/>
        <v>217000</v>
      </c>
      <c r="J60" s="673"/>
      <c r="K60" s="673"/>
      <c r="L60" s="1526"/>
      <c r="M60" s="547"/>
      <c r="N60" s="547"/>
      <c r="O60" s="809"/>
      <c r="P60" s="547"/>
      <c r="Q60" s="547"/>
      <c r="R60" s="547"/>
      <c r="S60" s="547"/>
      <c r="T60" s="376"/>
      <c r="U60" s="376"/>
      <c r="V60" s="376"/>
      <c r="W60" s="376"/>
    </row>
    <row r="61" spans="1:23" ht="24.75" x14ac:dyDescent="0.4">
      <c r="A61" s="650"/>
      <c r="B61" s="1727" t="str">
        <f t="shared" si="9"/>
        <v>1999/00</v>
      </c>
      <c r="C61" s="1727">
        <f t="shared" si="10"/>
        <v>11143.5</v>
      </c>
      <c r="D61" s="1727">
        <f t="shared" si="10"/>
        <v>20102</v>
      </c>
      <c r="E61" s="1727">
        <f t="shared" si="10"/>
        <v>155572</v>
      </c>
      <c r="F61" s="1727">
        <f t="shared" si="10"/>
        <v>31682.5</v>
      </c>
      <c r="G61" s="1727" t="str">
        <f>IF($B$31="Prescribing",G89,IF($B$31="Primary Care Activity",G111,G133))</f>
        <v xml:space="preserve"> - </v>
      </c>
      <c r="H61" s="1727"/>
      <c r="I61" s="1755">
        <f t="shared" si="8"/>
        <v>218500</v>
      </c>
      <c r="J61" s="673"/>
      <c r="K61" s="673"/>
      <c r="L61" s="1526"/>
      <c r="M61" s="547"/>
      <c r="N61" s="547"/>
      <c r="O61" s="809"/>
      <c r="P61" s="547"/>
      <c r="Q61" s="547"/>
      <c r="R61" s="547"/>
      <c r="S61" s="547"/>
      <c r="T61" s="376"/>
      <c r="U61" s="376"/>
      <c r="V61" s="376"/>
      <c r="W61" s="376"/>
    </row>
    <row r="62" spans="1:23" ht="24.75" x14ac:dyDescent="0.4">
      <c r="A62" s="650"/>
      <c r="B62" s="1727" t="str">
        <f t="shared" si="9"/>
        <v>2000/01</v>
      </c>
      <c r="C62" s="1727">
        <f t="shared" si="10"/>
        <v>8580</v>
      </c>
      <c r="D62" s="1727">
        <f t="shared" si="10"/>
        <v>17600</v>
      </c>
      <c r="E62" s="1727">
        <f t="shared" si="10"/>
        <v>157740</v>
      </c>
      <c r="F62" s="1727">
        <f t="shared" si="10"/>
        <v>36080</v>
      </c>
      <c r="G62" s="1727" t="str">
        <f>IF($B$31="Prescribing",G90,IF($B$31="Primary Care Activity",G112,G134))</f>
        <v xml:space="preserve"> - </v>
      </c>
      <c r="H62" s="1727"/>
      <c r="I62" s="1755">
        <f t="shared" si="8"/>
        <v>220000</v>
      </c>
      <c r="J62" s="673"/>
      <c r="K62" s="673"/>
      <c r="L62" s="1526"/>
      <c r="M62" s="547"/>
      <c r="N62" s="547"/>
      <c r="O62" s="809"/>
      <c r="P62" s="547"/>
      <c r="Q62" s="547"/>
      <c r="R62" s="547"/>
      <c r="S62" s="547"/>
      <c r="T62" s="376"/>
      <c r="U62" s="376"/>
      <c r="V62" s="376"/>
      <c r="W62" s="376"/>
    </row>
    <row r="63" spans="1:23" ht="24.75" x14ac:dyDescent="0.4">
      <c r="A63" s="650"/>
      <c r="B63" s="1727" t="str">
        <f t="shared" si="9"/>
        <v xml:space="preserve"> 2001/02</v>
      </c>
      <c r="C63" s="1727">
        <f t="shared" si="10"/>
        <v>9982</v>
      </c>
      <c r="D63" s="1727">
        <f t="shared" si="10"/>
        <v>22568</v>
      </c>
      <c r="E63" s="1727">
        <f t="shared" si="10"/>
        <v>169476.992</v>
      </c>
      <c r="F63" s="1727">
        <f t="shared" si="10"/>
        <v>14973</v>
      </c>
      <c r="G63" s="1727">
        <f>IF($B$31="Prescribing",G91,IF($B$31="Primary Care Activity",G113/1000,G135))</f>
        <v>81000</v>
      </c>
      <c r="H63" s="1727"/>
      <c r="I63" s="1755">
        <f t="shared" si="8"/>
        <v>297999.99200000003</v>
      </c>
      <c r="J63" s="673"/>
      <c r="K63" s="673"/>
      <c r="L63" s="1526"/>
      <c r="M63" s="547"/>
      <c r="N63" s="547"/>
      <c r="O63" s="809"/>
      <c r="P63" s="547"/>
      <c r="Q63" s="547"/>
      <c r="R63" s="547"/>
      <c r="S63" s="547"/>
      <c r="T63" s="376"/>
      <c r="U63" s="376"/>
      <c r="V63" s="376"/>
      <c r="W63" s="376"/>
    </row>
    <row r="64" spans="1:23" ht="24.75" x14ac:dyDescent="0.4">
      <c r="A64" s="650"/>
      <c r="B64" s="1727" t="str">
        <f t="shared" si="9"/>
        <v>2002/03</v>
      </c>
      <c r="C64" s="1727">
        <f t="shared" si="10"/>
        <v>12050</v>
      </c>
      <c r="D64" s="1727">
        <f t="shared" si="10"/>
        <v>21690</v>
      </c>
      <c r="E64" s="1727">
        <f t="shared" si="10"/>
        <v>192800</v>
      </c>
      <c r="F64" s="1727">
        <f t="shared" si="10"/>
        <v>14460</v>
      </c>
      <c r="G64" s="1727">
        <f>IF($B$31="Prescribing",G92,IF($B$31="Primary Care Activity",G114/1000,G136))</f>
        <v>84000</v>
      </c>
      <c r="H64" s="1727"/>
      <c r="I64" s="1755">
        <f t="shared" si="8"/>
        <v>325000</v>
      </c>
      <c r="J64" s="673"/>
      <c r="K64" s="673"/>
      <c r="L64" s="1526"/>
      <c r="M64" s="547"/>
      <c r="N64" s="547"/>
      <c r="O64" s="809"/>
      <c r="P64" s="547"/>
      <c r="Q64" s="547"/>
      <c r="R64" s="547"/>
      <c r="S64" s="547"/>
      <c r="T64" s="376"/>
      <c r="U64" s="376"/>
      <c r="V64" s="376"/>
      <c r="W64" s="376"/>
    </row>
    <row r="65" spans="1:23" ht="24.75" x14ac:dyDescent="0.4">
      <c r="A65" s="650"/>
      <c r="B65" s="1727" t="str">
        <f t="shared" si="9"/>
        <v>2003/04</v>
      </c>
      <c r="C65" s="1727">
        <f t="shared" si="10"/>
        <v>12309.101000000001</v>
      </c>
      <c r="D65" s="1727">
        <f t="shared" si="10"/>
        <v>22144.33</v>
      </c>
      <c r="E65" s="1727">
        <f t="shared" si="10"/>
        <v>203774.04</v>
      </c>
      <c r="F65" s="1727">
        <f t="shared" si="10"/>
        <v>11905.659</v>
      </c>
      <c r="G65" s="1727">
        <f>IF($B$31="Prescribing",G93,IF($B$31="Primary Care Activity",G115/1000,G137))</f>
        <v>96994.845000000001</v>
      </c>
      <c r="H65" s="1727"/>
      <c r="I65" s="1755">
        <f t="shared" si="8"/>
        <v>347127.97499999998</v>
      </c>
      <c r="J65" s="584"/>
      <c r="K65" s="584"/>
      <c r="L65" s="584"/>
      <c r="M65" s="584"/>
      <c r="N65" s="584"/>
      <c r="O65" s="547"/>
      <c r="P65" s="547"/>
      <c r="Q65" s="547"/>
      <c r="R65" s="547"/>
      <c r="S65" s="547"/>
      <c r="T65" s="376"/>
      <c r="U65" s="376"/>
      <c r="V65" s="376"/>
      <c r="W65" s="376"/>
    </row>
    <row r="66" spans="1:23" ht="24.75" x14ac:dyDescent="0.4">
      <c r="A66" s="650"/>
      <c r="B66" s="1727">
        <f t="shared" si="9"/>
        <v>0</v>
      </c>
      <c r="C66" s="1727">
        <f t="shared" ref="C66:H72" si="11">IF($B$31="Prescribing",C94,IF($B$31="Primary Care Activity",C116,C138))</f>
        <v>0</v>
      </c>
      <c r="D66" s="1727">
        <f t="shared" si="11"/>
        <v>0</v>
      </c>
      <c r="E66" s="1727">
        <f t="shared" si="11"/>
        <v>0</v>
      </c>
      <c r="F66" s="1727">
        <f t="shared" si="11"/>
        <v>0</v>
      </c>
      <c r="G66" s="1727">
        <f t="shared" si="11"/>
        <v>0</v>
      </c>
      <c r="H66" s="1727">
        <f t="shared" si="11"/>
        <v>0</v>
      </c>
      <c r="I66" s="1755" t="str">
        <f t="shared" si="8"/>
        <v>.</v>
      </c>
      <c r="J66" s="584"/>
      <c r="K66" s="584"/>
      <c r="L66" s="584"/>
      <c r="M66" s="584"/>
      <c r="N66" s="584"/>
      <c r="O66" s="547"/>
      <c r="P66" s="547"/>
      <c r="Q66" s="547"/>
      <c r="R66" s="547"/>
      <c r="S66" s="547"/>
      <c r="T66" s="376"/>
      <c r="U66" s="376"/>
      <c r="V66" s="376"/>
      <c r="W66" s="376"/>
    </row>
    <row r="67" spans="1:23" x14ac:dyDescent="0.25">
      <c r="A67" s="547"/>
      <c r="B67" s="1727">
        <f t="shared" si="9"/>
        <v>0</v>
      </c>
      <c r="C67" s="1727">
        <f t="shared" si="11"/>
        <v>0</v>
      </c>
      <c r="D67" s="1727">
        <f t="shared" si="11"/>
        <v>0</v>
      </c>
      <c r="E67" s="1727">
        <f t="shared" si="11"/>
        <v>0</v>
      </c>
      <c r="F67" s="1727">
        <f t="shared" si="11"/>
        <v>0</v>
      </c>
      <c r="G67" s="1727">
        <f t="shared" si="11"/>
        <v>0</v>
      </c>
      <c r="H67" s="1727">
        <f t="shared" si="11"/>
        <v>0</v>
      </c>
      <c r="I67" s="1755" t="str">
        <f t="shared" si="8"/>
        <v>.</v>
      </c>
      <c r="J67" s="547"/>
      <c r="K67" s="547"/>
      <c r="L67" s="547"/>
      <c r="M67" s="547"/>
      <c r="N67" s="547"/>
      <c r="O67" s="547"/>
      <c r="P67" s="547"/>
      <c r="Q67" s="547"/>
      <c r="R67" s="547"/>
      <c r="S67" s="547"/>
      <c r="T67" s="376"/>
      <c r="U67" s="376"/>
      <c r="V67" s="376"/>
      <c r="W67" s="376"/>
    </row>
    <row r="68" spans="1:23" x14ac:dyDescent="0.25">
      <c r="A68" s="547"/>
      <c r="B68" s="1727">
        <f t="shared" si="9"/>
        <v>0</v>
      </c>
      <c r="C68" s="1727" t="str">
        <f t="shared" si="11"/>
        <v>GP Home visit</v>
      </c>
      <c r="D68" s="1727" t="str">
        <f t="shared" si="11"/>
        <v>GP Telephone</v>
      </c>
      <c r="E68" s="1727" t="str">
        <f t="shared" si="11"/>
        <v>GP Surgery</v>
      </c>
      <c r="F68" s="1727" t="str">
        <f t="shared" si="11"/>
        <v>GP Other</v>
      </c>
      <c r="G68" s="1727" t="str">
        <f t="shared" si="11"/>
        <v xml:space="preserve">Practice Nurse </v>
      </c>
      <c r="H68" s="1727" t="str">
        <f t="shared" si="11"/>
        <v>Other Clinicians</v>
      </c>
      <c r="I68" s="1755" t="str">
        <f t="shared" si="8"/>
        <v>Total</v>
      </c>
      <c r="J68" s="547"/>
      <c r="K68" s="547"/>
      <c r="L68" s="547"/>
      <c r="M68" s="547"/>
      <c r="N68" s="547"/>
      <c r="O68" s="547"/>
      <c r="P68" s="547"/>
      <c r="Q68" s="547"/>
      <c r="R68" s="547"/>
      <c r="S68" s="547"/>
      <c r="T68" s="376"/>
      <c r="U68" s="376"/>
      <c r="V68" s="376"/>
      <c r="W68" s="376"/>
    </row>
    <row r="69" spans="1:23" x14ac:dyDescent="0.25">
      <c r="A69" s="547"/>
      <c r="B69" s="1727" t="str">
        <f t="shared" si="9"/>
        <v>2004/05</v>
      </c>
      <c r="C69" s="1727">
        <f t="shared" si="11"/>
        <v>5800</v>
      </c>
      <c r="D69" s="1727">
        <f t="shared" si="11"/>
        <v>12500</v>
      </c>
      <c r="E69" s="1727">
        <f t="shared" si="11"/>
        <v>148300</v>
      </c>
      <c r="F69" s="1727">
        <f t="shared" si="11"/>
        <v>4200</v>
      </c>
      <c r="G69" s="1727">
        <f t="shared" si="11"/>
        <v>84600</v>
      </c>
      <c r="H69" s="1727">
        <f t="shared" si="11"/>
        <v>10200</v>
      </c>
      <c r="I69" s="1755">
        <f t="shared" si="8"/>
        <v>265600</v>
      </c>
      <c r="J69" s="547"/>
      <c r="K69" s="547"/>
      <c r="L69" s="547"/>
      <c r="M69" s="547"/>
      <c r="N69" s="547"/>
      <c r="O69" s="547"/>
      <c r="P69" s="547"/>
      <c r="Q69" s="547"/>
      <c r="R69" s="547"/>
      <c r="S69" s="547"/>
      <c r="T69" s="376"/>
      <c r="U69" s="376"/>
      <c r="V69" s="376"/>
      <c r="W69" s="376"/>
    </row>
    <row r="70" spans="1:23" x14ac:dyDescent="0.25">
      <c r="A70" s="547"/>
      <c r="B70" s="1727" t="str">
        <f t="shared" si="9"/>
        <v>2005/06</v>
      </c>
      <c r="C70" s="1727">
        <f t="shared" si="11"/>
        <v>6000</v>
      </c>
      <c r="D70" s="1727">
        <f t="shared" si="11"/>
        <v>14000</v>
      </c>
      <c r="E70" s="1727">
        <f t="shared" si="11"/>
        <v>153900</v>
      </c>
      <c r="F70" s="1727">
        <f t="shared" si="11"/>
        <v>4800</v>
      </c>
      <c r="G70" s="1727">
        <f t="shared" si="11"/>
        <v>93700</v>
      </c>
      <c r="H70" s="1727">
        <f t="shared" si="11"/>
        <v>10700</v>
      </c>
      <c r="I70" s="1755">
        <f t="shared" si="8"/>
        <v>283100</v>
      </c>
      <c r="J70" s="547"/>
      <c r="K70" s="547"/>
      <c r="L70" s="547"/>
      <c r="M70" s="547"/>
      <c r="N70" s="547"/>
      <c r="O70" s="547"/>
      <c r="P70" s="547"/>
      <c r="Q70" s="547"/>
      <c r="R70" s="547"/>
      <c r="S70" s="547"/>
      <c r="T70" s="376"/>
      <c r="U70" s="376"/>
      <c r="V70" s="376"/>
      <c r="W70" s="376"/>
    </row>
    <row r="71" spans="1:23" x14ac:dyDescent="0.25">
      <c r="A71" s="547"/>
      <c r="B71" s="1727" t="str">
        <f t="shared" si="9"/>
        <v>2006/07</v>
      </c>
      <c r="C71" s="1727">
        <f t="shared" si="11"/>
        <v>5900</v>
      </c>
      <c r="D71" s="1727">
        <f t="shared" si="11"/>
        <v>15100</v>
      </c>
      <c r="E71" s="1727">
        <f t="shared" si="11"/>
        <v>156600</v>
      </c>
      <c r="F71" s="1727">
        <f t="shared" si="11"/>
        <v>5000</v>
      </c>
      <c r="G71" s="1727">
        <f t="shared" si="11"/>
        <v>99000</v>
      </c>
      <c r="H71" s="1727">
        <f t="shared" si="11"/>
        <v>11400</v>
      </c>
      <c r="I71" s="1755">
        <f t="shared" si="8"/>
        <v>293000</v>
      </c>
      <c r="J71" s="547"/>
      <c r="K71" s="547"/>
      <c r="L71" s="547"/>
      <c r="M71" s="547"/>
      <c r="N71" s="547"/>
      <c r="O71" s="547"/>
      <c r="P71" s="547"/>
      <c r="Q71" s="547"/>
      <c r="R71" s="547"/>
      <c r="S71" s="547"/>
      <c r="T71" s="376"/>
      <c r="U71" s="376"/>
      <c r="V71" s="376"/>
      <c r="W71" s="376"/>
    </row>
    <row r="72" spans="1:23" x14ac:dyDescent="0.25">
      <c r="A72" s="547"/>
      <c r="B72" s="1727" t="str">
        <f t="shared" si="9"/>
        <v>2007/08</v>
      </c>
      <c r="C72" s="1727">
        <f t="shared" si="11"/>
        <v>5900</v>
      </c>
      <c r="D72" s="1727">
        <f t="shared" si="11"/>
        <v>16200</v>
      </c>
      <c r="E72" s="1727">
        <f t="shared" si="11"/>
        <v>155800</v>
      </c>
      <c r="F72" s="1727">
        <f t="shared" si="11"/>
        <v>4800</v>
      </c>
      <c r="G72" s="1727">
        <f t="shared" si="11"/>
        <v>98500</v>
      </c>
      <c r="H72" s="1727">
        <f t="shared" si="11"/>
        <v>11300</v>
      </c>
      <c r="I72" s="1755">
        <f t="shared" si="8"/>
        <v>292500</v>
      </c>
      <c r="J72" s="547"/>
      <c r="K72" s="547"/>
      <c r="L72" s="547"/>
      <c r="M72" s="547"/>
      <c r="N72" s="547"/>
      <c r="O72" s="547"/>
      <c r="P72" s="547"/>
      <c r="Q72" s="547"/>
      <c r="R72" s="547"/>
      <c r="S72" s="547"/>
      <c r="T72" s="376"/>
      <c r="U72" s="376"/>
      <c r="V72" s="376"/>
      <c r="W72" s="376"/>
    </row>
    <row r="73" spans="1:23" x14ac:dyDescent="0.25">
      <c r="A73" s="547"/>
      <c r="B73" s="1727" t="str">
        <f t="shared" si="9"/>
        <v>2008/09</v>
      </c>
      <c r="C73" s="1727">
        <f>IF($B$31="Prescribing",C101,IF($B$31="Primary Care Activity",C123,C145))</f>
        <v>6000</v>
      </c>
      <c r="D73" s="1727">
        <f>IF($B$31="Prescribing",D101,IF($B$31="Primary Care Activity",D123,D145))</f>
        <v>18700</v>
      </c>
      <c r="E73" s="1727">
        <f>IF($B$31="Prescribing",E101,IF($B$31="Primary Care Activity",E123,E145))</f>
        <v>158800</v>
      </c>
      <c r="F73" s="1727">
        <f>IF($B$31="Prescribing",F101,IF($B$31="Primary Care Activity",F123,F145))</f>
        <v>5500</v>
      </c>
      <c r="G73" s="1727">
        <f>IF($B$31="Prescribing",G101,IF($B$31="Primary Care Activity",G123,G145))</f>
        <v>100600</v>
      </c>
      <c r="H73" s="1727">
        <f t="shared" ref="H73:J73" si="12">IF($B$31="Prescribing",H101,IF($B$31="Primary Care Activity",H123,H145))</f>
        <v>10800</v>
      </c>
      <c r="I73" s="1727">
        <f t="shared" si="12"/>
        <v>300400</v>
      </c>
      <c r="J73" s="1887">
        <f t="shared" si="12"/>
        <v>0</v>
      </c>
      <c r="K73" s="1887">
        <f t="shared" ref="K73:N73" si="13">IF($B$31="Prescribing",K101,IF($B$31="Primary Care Activity",K123,K145))</f>
        <v>0</v>
      </c>
      <c r="L73" s="1887">
        <f t="shared" si="13"/>
        <v>0</v>
      </c>
      <c r="M73" s="1887">
        <f t="shared" si="13"/>
        <v>0</v>
      </c>
      <c r="N73" s="1887">
        <f t="shared" si="13"/>
        <v>0</v>
      </c>
      <c r="O73" s="547"/>
      <c r="P73" s="547"/>
      <c r="Q73" s="547"/>
      <c r="R73" s="547"/>
      <c r="S73" s="547"/>
      <c r="T73" s="376"/>
      <c r="U73" s="376"/>
      <c r="V73" s="376"/>
      <c r="W73" s="376"/>
    </row>
    <row r="74" spans="1:23" x14ac:dyDescent="0.25">
      <c r="A74" s="547"/>
      <c r="B74" s="1727" t="str">
        <f t="shared" ref="B74:G77" si="14">IF($B$31="Prescribing",B102,IF($B$31="Primary Care Activity",B124,B146))</f>
        <v>2009/10*</v>
      </c>
      <c r="C74" s="1727">
        <f t="shared" si="14"/>
        <v>5452.0059422045697</v>
      </c>
      <c r="D74" s="1727">
        <f t="shared" si="14"/>
        <v>16992.085186537577</v>
      </c>
      <c r="E74" s="1727">
        <f t="shared" si="14"/>
        <v>144296.42393701427</v>
      </c>
      <c r="F74" s="1727">
        <f t="shared" si="14"/>
        <v>4997.6721136875221</v>
      </c>
      <c r="G74" s="1727">
        <f t="shared" si="14"/>
        <v>91411.966297629959</v>
      </c>
      <c r="H74" s="1727">
        <f t="shared" ref="H74:J74" si="15">IF($B$31="Prescribing",H102,IF($B$31="Primary Care Activity",H124,H146))</f>
        <v>9813.6106959682256</v>
      </c>
      <c r="I74" s="1727">
        <f t="shared" si="15"/>
        <v>272963.76417304215</v>
      </c>
      <c r="J74" s="1887">
        <f t="shared" si="15"/>
        <v>0</v>
      </c>
      <c r="K74" s="1887">
        <f t="shared" ref="K74:N74" si="16">IF($B$31="Prescribing",K102,IF($B$31="Primary Care Activity",K124,K146))</f>
        <v>0</v>
      </c>
      <c r="L74" s="1887">
        <f t="shared" si="16"/>
        <v>0</v>
      </c>
      <c r="M74" s="1887">
        <f t="shared" si="16"/>
        <v>0</v>
      </c>
      <c r="N74" s="1887">
        <f t="shared" si="16"/>
        <v>0</v>
      </c>
      <c r="O74" s="547"/>
      <c r="P74" s="547"/>
      <c r="Q74" s="547"/>
      <c r="R74" s="547"/>
      <c r="S74" s="547"/>
      <c r="T74" s="376"/>
      <c r="U74" s="376"/>
      <c r="V74" s="376"/>
      <c r="W74" s="376"/>
    </row>
    <row r="75" spans="1:23" x14ac:dyDescent="0.25">
      <c r="A75" s="547"/>
      <c r="B75" s="1727" t="str">
        <f t="shared" si="14"/>
        <v>2010/11*</v>
      </c>
      <c r="C75" s="1727">
        <f t="shared" si="14"/>
        <v>5843.554644558063</v>
      </c>
      <c r="D75" s="1727">
        <f t="shared" si="14"/>
        <v>18212.411975539297</v>
      </c>
      <c r="E75" s="1727">
        <f t="shared" si="14"/>
        <v>154659.41292597007</v>
      </c>
      <c r="F75" s="1727">
        <f t="shared" si="14"/>
        <v>5356.5917575115582</v>
      </c>
      <c r="G75" s="1727">
        <f t="shared" si="14"/>
        <v>97976.932873756858</v>
      </c>
      <c r="H75" s="1727">
        <f t="shared" ref="H75:J75" si="17">IF($B$31="Prescribing",H103,IF($B$31="Primary Care Activity",H125,H147))</f>
        <v>10518.398360204514</v>
      </c>
      <c r="I75" s="1727">
        <f t="shared" si="17"/>
        <v>292567.30253754038</v>
      </c>
      <c r="J75" s="1887">
        <f t="shared" si="17"/>
        <v>0</v>
      </c>
      <c r="K75" s="1887">
        <f t="shared" ref="K75:N75" si="18">IF($B$31="Prescribing",K103,IF($B$31="Primary Care Activity",K125,K147))</f>
        <v>0</v>
      </c>
      <c r="L75" s="1887">
        <f t="shared" si="18"/>
        <v>0</v>
      </c>
      <c r="M75" s="1887">
        <f t="shared" si="18"/>
        <v>0</v>
      </c>
      <c r="N75" s="1887">
        <f t="shared" si="18"/>
        <v>0</v>
      </c>
      <c r="O75" s="547"/>
      <c r="P75" s="547"/>
      <c r="Q75" s="547"/>
      <c r="R75" s="547"/>
      <c r="S75" s="547"/>
      <c r="T75" s="376"/>
      <c r="U75" s="376"/>
      <c r="V75" s="376"/>
      <c r="W75" s="376"/>
    </row>
    <row r="76" spans="1:23" x14ac:dyDescent="0.25">
      <c r="A76" s="547"/>
      <c r="B76" s="1727" t="str">
        <f t="shared" si="14"/>
        <v>2011/12*</v>
      </c>
      <c r="C76" s="1727">
        <f t="shared" si="14"/>
        <v>6068.3067462718363</v>
      </c>
      <c r="D76" s="1727">
        <f t="shared" si="14"/>
        <v>18912.889359213888</v>
      </c>
      <c r="E76" s="1727">
        <f t="shared" si="14"/>
        <v>160607.85188466127</v>
      </c>
      <c r="F76" s="1727">
        <f t="shared" si="14"/>
        <v>5562.6145174158491</v>
      </c>
      <c r="G76" s="1727">
        <f t="shared" si="14"/>
        <v>101745.27644582445</v>
      </c>
      <c r="H76" s="1727">
        <f t="shared" ref="H76:H77" si="19">IF($B$31="Prescribing",H104,IF($B$31="Primary Care Activity",H126,H148))</f>
        <v>10922.952143289305</v>
      </c>
      <c r="I76" s="1727">
        <f t="shared" ref="I76:L76" si="20">IF($B$31="Prescribing",I104,IF($B$31="Primary Care Activity",I126,I148))</f>
        <v>303819.89109667658</v>
      </c>
      <c r="J76" s="1887">
        <f t="shared" si="20"/>
        <v>0</v>
      </c>
      <c r="K76" s="1887">
        <f t="shared" si="20"/>
        <v>0</v>
      </c>
      <c r="L76" s="1887">
        <f t="shared" si="20"/>
        <v>0</v>
      </c>
      <c r="M76" s="1887">
        <f t="shared" ref="M76:N76" si="21">IF($B$31="Prescribing",M104,IF($B$31="Primary Care Activity",M126,M148))</f>
        <v>0</v>
      </c>
      <c r="N76" s="1887">
        <f t="shared" si="21"/>
        <v>0</v>
      </c>
      <c r="O76" s="547"/>
      <c r="P76" s="547"/>
      <c r="Q76" s="547"/>
      <c r="R76" s="547"/>
      <c r="S76" s="547"/>
      <c r="T76" s="376"/>
      <c r="U76" s="376"/>
      <c r="V76" s="376"/>
      <c r="W76" s="376"/>
    </row>
    <row r="77" spans="1:23" ht="24.75" x14ac:dyDescent="0.4">
      <c r="A77" s="547"/>
      <c r="B77" s="1727">
        <f t="shared" si="14"/>
        <v>0</v>
      </c>
      <c r="C77" s="1727">
        <f t="shared" si="14"/>
        <v>0</v>
      </c>
      <c r="D77" s="1727">
        <f t="shared" si="14"/>
        <v>0</v>
      </c>
      <c r="E77" s="1727">
        <f t="shared" si="14"/>
        <v>0</v>
      </c>
      <c r="F77" s="1727">
        <f t="shared" si="14"/>
        <v>0</v>
      </c>
      <c r="G77" s="1727">
        <f t="shared" si="14"/>
        <v>0</v>
      </c>
      <c r="H77" s="1727">
        <f t="shared" si="19"/>
        <v>0</v>
      </c>
      <c r="I77" s="1727">
        <f t="shared" ref="I77:L77" si="22">IF($B$31="Prescribing",I105,IF($B$31="Primary Care Activity",I127,I149))</f>
        <v>0</v>
      </c>
      <c r="J77" s="1887">
        <f t="shared" si="22"/>
        <v>0</v>
      </c>
      <c r="K77" s="1887">
        <f t="shared" si="22"/>
        <v>0</v>
      </c>
      <c r="L77" s="1887">
        <f t="shared" si="22"/>
        <v>0</v>
      </c>
      <c r="M77" s="650"/>
      <c r="N77" s="650"/>
      <c r="O77" s="547"/>
      <c r="P77" s="547"/>
      <c r="Q77" s="547"/>
      <c r="R77" s="547"/>
      <c r="S77" s="547"/>
      <c r="T77" s="376"/>
      <c r="U77" s="376"/>
      <c r="V77" s="376"/>
      <c r="W77" s="376"/>
    </row>
    <row r="78" spans="1:23" ht="24.75" x14ac:dyDescent="0.4">
      <c r="A78" s="547"/>
      <c r="B78" s="1727"/>
      <c r="C78" s="1727"/>
      <c r="D78" s="1727"/>
      <c r="E78" s="1727"/>
      <c r="F78" s="1727"/>
      <c r="G78" s="650"/>
      <c r="H78" s="650"/>
      <c r="I78" s="650"/>
      <c r="J78" s="650"/>
      <c r="K78" s="650"/>
      <c r="L78" s="650"/>
      <c r="M78" s="650"/>
      <c r="N78" s="650"/>
      <c r="O78" s="547"/>
      <c r="P78" s="547"/>
      <c r="Q78" s="547"/>
      <c r="R78" s="547"/>
      <c r="S78" s="547"/>
      <c r="T78" s="376"/>
      <c r="U78" s="376"/>
      <c r="V78" s="376"/>
      <c r="W78" s="376"/>
    </row>
    <row r="79" spans="1:23" x14ac:dyDescent="0.25">
      <c r="A79" s="547"/>
      <c r="B79" s="1284" t="s">
        <v>218</v>
      </c>
      <c r="C79" s="1404">
        <v>6.9124423963133896E-3</v>
      </c>
      <c r="D79" s="1404">
        <v>-1.1101418226823201E-2</v>
      </c>
      <c r="E79" s="1404">
        <v>-2.5258859784283549E-2</v>
      </c>
      <c r="F79" s="1404">
        <v>0.10267422749291177</v>
      </c>
      <c r="G79" s="1404">
        <v>4.9576024919993245E-2</v>
      </c>
      <c r="H79" s="1404">
        <v>-2.106888063749035E-3</v>
      </c>
      <c r="I79" s="1404">
        <v>5.6328438408597359E-2</v>
      </c>
      <c r="J79" s="1404">
        <v>2.7042744984006939E-2</v>
      </c>
      <c r="K79" s="1404">
        <v>-2.3376840230429075E-3</v>
      </c>
      <c r="L79" s="1404">
        <v>2.7008547043914533E-2</v>
      </c>
      <c r="M79" s="1404">
        <v>0</v>
      </c>
      <c r="N79" s="1404">
        <v>-3.4482758563470384E-2</v>
      </c>
      <c r="O79" s="1413">
        <v>3.8461538461537215E-2</v>
      </c>
      <c r="P79" s="547"/>
      <c r="Q79" s="547"/>
      <c r="R79" s="547"/>
      <c r="S79" s="547"/>
      <c r="T79" s="376"/>
      <c r="U79" s="376"/>
      <c r="V79" s="376"/>
      <c r="W79" s="376"/>
    </row>
    <row r="80" spans="1:23" x14ac:dyDescent="0.25">
      <c r="A80" s="547"/>
      <c r="B80" s="1284" t="s">
        <v>616</v>
      </c>
      <c r="C80" s="547">
        <v>0</v>
      </c>
      <c r="D80" s="1404">
        <v>0</v>
      </c>
      <c r="E80" s="547">
        <v>0</v>
      </c>
      <c r="F80" s="547">
        <v>0</v>
      </c>
      <c r="G80" s="547">
        <v>0</v>
      </c>
      <c r="H80" s="1404">
        <v>4.5410964845163715E-2</v>
      </c>
      <c r="I80" s="1404">
        <v>5.8000000000000003E-2</v>
      </c>
      <c r="J80" s="1404">
        <v>4.6738488839055181E-2</v>
      </c>
      <c r="K80" s="1404">
        <v>3.2550560081045843E-2</v>
      </c>
      <c r="L80" s="1404">
        <v>2.792041212388563E-2</v>
      </c>
      <c r="M80" s="1404">
        <v>5.5135423142793627E-4</v>
      </c>
      <c r="N80" s="1404">
        <v>-3.3862776931691152E-2</v>
      </c>
      <c r="O80" s="1404">
        <v>3.8876198132661299E-2</v>
      </c>
      <c r="P80" s="547"/>
      <c r="Q80" s="547"/>
      <c r="R80" s="547"/>
      <c r="S80" s="547"/>
      <c r="T80" s="376"/>
      <c r="U80" s="376"/>
      <c r="V80" s="376"/>
      <c r="W80" s="376"/>
    </row>
    <row r="81" spans="1:23" x14ac:dyDescent="0.25">
      <c r="A81" s="547"/>
      <c r="B81" s="1284" t="s">
        <v>136</v>
      </c>
      <c r="C81" s="1404">
        <v>2.2231649310092472E-2</v>
      </c>
      <c r="D81" s="1404">
        <v>2.2575680483144511E-2</v>
      </c>
      <c r="E81" s="1404">
        <v>3.7442776427267566E-2</v>
      </c>
      <c r="F81" s="1406">
        <v>5.7818261544666072E-2</v>
      </c>
      <c r="G81" s="1406">
        <v>4.926635149995251E-2</v>
      </c>
      <c r="H81" s="1397">
        <v>6.4427956415980647E-2</v>
      </c>
      <c r="I81" s="1397">
        <v>7.1108041068716377E-2</v>
      </c>
      <c r="J81" s="1397">
        <v>6.4976766300360644E-2</v>
      </c>
      <c r="K81" s="1404">
        <v>3.6553041824910038E-2</v>
      </c>
      <c r="L81" s="1404">
        <v>5.7329999999999999E-2</v>
      </c>
      <c r="M81" s="1404">
        <v>4.113E-2</v>
      </c>
      <c r="N81" s="1404">
        <v>4.5747999999999997E-2</v>
      </c>
      <c r="O81" s="1404">
        <v>3.1532999999999999E-2</v>
      </c>
      <c r="P81" s="547"/>
      <c r="Q81" s="547"/>
      <c r="R81" s="547"/>
      <c r="S81" s="547"/>
      <c r="T81" s="376"/>
      <c r="U81" s="376"/>
      <c r="V81" s="376"/>
      <c r="W81" s="376"/>
    </row>
    <row r="82" spans="1:23" x14ac:dyDescent="0.25">
      <c r="A82" s="547"/>
      <c r="B82" s="809">
        <v>1</v>
      </c>
      <c r="C82" s="547">
        <f>B82*(1+C79)</f>
        <v>1.0069124423963134</v>
      </c>
      <c r="D82" s="547">
        <f t="shared" ref="D82:O82" si="23">C82*(1+D79)</f>
        <v>0.99573428625547988</v>
      </c>
      <c r="E82" s="547">
        <f t="shared" si="23"/>
        <v>0.9705831735365491</v>
      </c>
      <c r="F82" s="547">
        <f t="shared" si="23"/>
        <v>1.0702370510970329</v>
      </c>
      <c r="G82" s="547">
        <f t="shared" si="23"/>
        <v>1.1232951498125194</v>
      </c>
      <c r="H82" s="547">
        <f t="shared" si="23"/>
        <v>1.1209284926693122</v>
      </c>
      <c r="I82" s="547">
        <f t="shared" si="23"/>
        <v>1.1840686442290773</v>
      </c>
      <c r="J82" s="547">
        <f t="shared" si="23"/>
        <v>1.216089110618523</v>
      </c>
      <c r="K82" s="547">
        <f t="shared" si="23"/>
        <v>1.2132462785340337</v>
      </c>
      <c r="L82" s="547">
        <f t="shared" si="23"/>
        <v>1.2460142977236743</v>
      </c>
      <c r="M82" s="547">
        <f t="shared" si="23"/>
        <v>1.2460142977236743</v>
      </c>
      <c r="N82" s="547">
        <f t="shared" si="23"/>
        <v>1.2030482875286368</v>
      </c>
      <c r="O82" s="547">
        <f t="shared" si="23"/>
        <v>1.2493193755105059</v>
      </c>
      <c r="P82" s="1526" t="s">
        <v>694</v>
      </c>
      <c r="Q82" s="547"/>
      <c r="R82" s="547"/>
      <c r="S82" s="547"/>
      <c r="T82" s="376"/>
      <c r="U82" s="376"/>
      <c r="V82" s="376"/>
      <c r="W82" s="376"/>
    </row>
    <row r="83" spans="1:23" ht="23.25" customHeight="1" x14ac:dyDescent="0.25">
      <c r="A83" s="547"/>
      <c r="B83" s="809">
        <v>1</v>
      </c>
      <c r="C83" s="547">
        <f t="shared" ref="C83:O84" si="24">B83*(1+C80)</f>
        <v>1</v>
      </c>
      <c r="D83" s="547">
        <f t="shared" si="24"/>
        <v>1</v>
      </c>
      <c r="E83" s="547">
        <f t="shared" si="24"/>
        <v>1</v>
      </c>
      <c r="F83" s="547">
        <f t="shared" si="24"/>
        <v>1</v>
      </c>
      <c r="G83" s="547">
        <f t="shared" si="24"/>
        <v>1</v>
      </c>
      <c r="H83" s="547">
        <f t="shared" si="24"/>
        <v>1.0454109648451637</v>
      </c>
      <c r="I83" s="547">
        <f t="shared" si="24"/>
        <v>1.1060448008061832</v>
      </c>
      <c r="J83" s="547">
        <f t="shared" si="24"/>
        <v>1.1577396633841579</v>
      </c>
      <c r="K83" s="547">
        <f t="shared" si="24"/>
        <v>1.1954247378553537</v>
      </c>
      <c r="L83" s="547">
        <f t="shared" si="24"/>
        <v>1.2288014891993633</v>
      </c>
      <c r="M83" s="547">
        <f t="shared" si="24"/>
        <v>1.2294789941000184</v>
      </c>
      <c r="N83" s="547">
        <f t="shared" si="24"/>
        <v>1.1878454211806095</v>
      </c>
      <c r="O83" s="547">
        <f t="shared" si="24"/>
        <v>1.2340243351254014</v>
      </c>
      <c r="P83" s="1526" t="s">
        <v>695</v>
      </c>
      <c r="Q83" s="547" t="s">
        <v>348</v>
      </c>
      <c r="R83" s="547"/>
      <c r="S83" s="547"/>
      <c r="T83" s="376"/>
      <c r="U83" s="376"/>
      <c r="V83" s="376"/>
      <c r="W83" s="376"/>
    </row>
    <row r="84" spans="1:23" x14ac:dyDescent="0.25">
      <c r="A84" s="547"/>
      <c r="B84" s="809">
        <v>1</v>
      </c>
      <c r="C84" s="547">
        <f t="shared" si="24"/>
        <v>1.0222316493100925</v>
      </c>
      <c r="D84" s="547">
        <f t="shared" si="24"/>
        <v>1.0453092244046749</v>
      </c>
      <c r="E84" s="547">
        <f t="shared" si="24"/>
        <v>1.0844485039914196</v>
      </c>
      <c r="F84" s="547">
        <f t="shared" si="24"/>
        <v>1.1471494312269173</v>
      </c>
      <c r="G84" s="547">
        <f t="shared" si="24"/>
        <v>1.2036652983287133</v>
      </c>
      <c r="H84" s="547">
        <f t="shared" si="24"/>
        <v>1.2812149937088639</v>
      </c>
      <c r="I84" s="547">
        <f t="shared" si="24"/>
        <v>1.3723196820993691</v>
      </c>
      <c r="J84" s="547">
        <f t="shared" si="24"/>
        <v>1.461488577372525</v>
      </c>
      <c r="K84" s="547">
        <f t="shared" si="24"/>
        <v>1.5149104304678511</v>
      </c>
      <c r="L84" s="547">
        <f t="shared" si="24"/>
        <v>1.6017602454465731</v>
      </c>
      <c r="M84" s="547">
        <f t="shared" si="24"/>
        <v>1.6676406443417906</v>
      </c>
      <c r="N84" s="547">
        <f t="shared" si="24"/>
        <v>1.7439318685391387</v>
      </c>
      <c r="O84" s="547">
        <f t="shared" si="24"/>
        <v>1.7989232721497834</v>
      </c>
      <c r="P84" s="1526" t="s">
        <v>696</v>
      </c>
      <c r="Q84" s="547" t="s">
        <v>349</v>
      </c>
      <c r="R84" s="547"/>
      <c r="S84" s="547"/>
      <c r="T84" s="376"/>
      <c r="U84" s="376"/>
      <c r="V84" s="376"/>
      <c r="W84" s="376"/>
    </row>
    <row r="85" spans="1:23" x14ac:dyDescent="0.25">
      <c r="A85" s="547"/>
      <c r="B85" s="809"/>
      <c r="C85" s="547"/>
      <c r="D85" s="547"/>
      <c r="E85" s="547"/>
      <c r="F85" s="547"/>
      <c r="G85" s="547"/>
      <c r="H85" s="547"/>
      <c r="I85" s="547"/>
      <c r="J85" s="547"/>
      <c r="K85" s="547"/>
      <c r="L85" s="547"/>
      <c r="M85" s="547"/>
      <c r="N85" s="547"/>
      <c r="O85" s="547"/>
      <c r="P85" s="1526" t="s">
        <v>697</v>
      </c>
      <c r="Q85" s="547" t="s">
        <v>350</v>
      </c>
      <c r="R85" s="547"/>
      <c r="S85" s="547"/>
      <c r="T85" s="376"/>
      <c r="U85" s="376"/>
      <c r="V85" s="376"/>
      <c r="W85" s="376"/>
    </row>
    <row r="86" spans="1:23" x14ac:dyDescent="0.25">
      <c r="A86" s="547"/>
      <c r="B86" s="809"/>
      <c r="C86" s="547"/>
      <c r="D86" s="547"/>
      <c r="E86" s="547"/>
      <c r="F86" s="547"/>
      <c r="G86" s="547"/>
      <c r="H86" s="547"/>
      <c r="I86" s="547"/>
      <c r="J86" s="547"/>
      <c r="K86" s="547"/>
      <c r="L86" s="547"/>
      <c r="M86" s="547"/>
      <c r="N86" s="547"/>
      <c r="O86" s="547"/>
      <c r="P86" s="1526" t="s">
        <v>698</v>
      </c>
      <c r="Q86" s="547" t="s">
        <v>351</v>
      </c>
      <c r="R86" s="547"/>
      <c r="S86" s="547"/>
      <c r="T86" s="376"/>
      <c r="U86" s="376"/>
      <c r="V86" s="376"/>
      <c r="W86" s="376"/>
    </row>
    <row r="87" spans="1:23" x14ac:dyDescent="0.25">
      <c r="A87" s="547"/>
      <c r="B87" s="809" t="s">
        <v>1</v>
      </c>
      <c r="C87" s="547" t="s">
        <v>65</v>
      </c>
      <c r="D87" s="547" t="s">
        <v>343</v>
      </c>
      <c r="E87" s="547" t="s">
        <v>3</v>
      </c>
      <c r="F87" s="547" t="s">
        <v>512</v>
      </c>
      <c r="G87" s="547"/>
      <c r="H87" s="547"/>
      <c r="I87" s="547"/>
      <c r="J87" s="547"/>
      <c r="K87" s="547"/>
      <c r="L87" s="547"/>
      <c r="M87" s="547"/>
      <c r="N87" s="547"/>
      <c r="O87" s="547"/>
      <c r="P87" s="1526" t="s">
        <v>48</v>
      </c>
      <c r="Q87" s="547" t="s">
        <v>352</v>
      </c>
      <c r="R87" s="547"/>
      <c r="S87" s="547"/>
      <c r="T87" s="376"/>
      <c r="U87" s="376"/>
      <c r="V87" s="376"/>
      <c r="W87" s="376"/>
    </row>
    <row r="88" spans="1:23" x14ac:dyDescent="0.25">
      <c r="A88" s="547"/>
      <c r="B88" s="809" t="s">
        <v>68</v>
      </c>
      <c r="C88" s="547">
        <v>516341468</v>
      </c>
      <c r="D88" s="547">
        <v>50582460208</v>
      </c>
      <c r="E88" s="547">
        <v>4799456503</v>
      </c>
      <c r="F88" s="547">
        <v>9.2951211561415796</v>
      </c>
      <c r="G88" s="547"/>
      <c r="H88" s="547"/>
      <c r="I88" s="547"/>
      <c r="J88" s="547"/>
      <c r="K88" s="547"/>
      <c r="L88" s="547"/>
      <c r="M88" s="547"/>
      <c r="N88" s="547"/>
      <c r="O88" s="547" t="s">
        <v>65</v>
      </c>
      <c r="P88" s="547"/>
      <c r="Q88" s="547" t="s">
        <v>353</v>
      </c>
      <c r="R88" s="547"/>
      <c r="S88" s="547"/>
      <c r="T88" s="376"/>
      <c r="U88" s="376"/>
      <c r="V88" s="376"/>
      <c r="W88" s="376"/>
    </row>
    <row r="89" spans="1:23" x14ac:dyDescent="0.25">
      <c r="A89" s="547"/>
      <c r="B89" s="809" t="s">
        <v>69</v>
      </c>
      <c r="C89" s="547">
        <v>534119797</v>
      </c>
      <c r="D89" s="547">
        <v>52158169497</v>
      </c>
      <c r="E89" s="547">
        <v>5435175325</v>
      </c>
      <c r="F89" s="547">
        <v>10.175948084171088</v>
      </c>
      <c r="G89" s="547"/>
      <c r="H89" s="547"/>
      <c r="I89" s="547"/>
      <c r="J89" s="547"/>
      <c r="K89" s="547"/>
      <c r="L89" s="547"/>
      <c r="M89" s="547"/>
      <c r="N89" s="547"/>
      <c r="O89" s="547" t="s">
        <v>343</v>
      </c>
      <c r="P89" s="547"/>
      <c r="Q89" s="1316" t="s">
        <v>48</v>
      </c>
      <c r="R89" s="547"/>
      <c r="S89" s="547"/>
      <c r="T89" s="376"/>
      <c r="U89" s="376"/>
      <c r="V89" s="376"/>
      <c r="W89" s="376"/>
    </row>
    <row r="90" spans="1:23" x14ac:dyDescent="0.25">
      <c r="A90" s="547"/>
      <c r="B90" s="809" t="s">
        <v>70</v>
      </c>
      <c r="C90" s="547">
        <v>561373380</v>
      </c>
      <c r="D90" s="547">
        <v>54089177055</v>
      </c>
      <c r="E90" s="547">
        <v>5651309236</v>
      </c>
      <c r="F90" s="547">
        <v>10.066934837558561</v>
      </c>
      <c r="G90" s="547"/>
      <c r="H90" s="547"/>
      <c r="I90" s="547"/>
      <c r="J90" s="547"/>
      <c r="K90" s="547"/>
      <c r="L90" s="547"/>
      <c r="M90" s="547"/>
      <c r="N90" s="547"/>
      <c r="O90" s="547" t="s">
        <v>3</v>
      </c>
      <c r="P90" s="547"/>
      <c r="Q90" s="547"/>
      <c r="R90" s="547"/>
      <c r="S90" s="547"/>
      <c r="T90" s="376"/>
      <c r="U90" s="376"/>
      <c r="V90" s="376"/>
      <c r="W90" s="376"/>
    </row>
    <row r="91" spans="1:23" x14ac:dyDescent="0.25">
      <c r="A91" s="547"/>
      <c r="B91" s="809" t="s">
        <v>71</v>
      </c>
      <c r="C91" s="547">
        <v>591871608</v>
      </c>
      <c r="D91" s="547">
        <v>56740912048</v>
      </c>
      <c r="E91" s="547">
        <v>6281071387</v>
      </c>
      <c r="F91" s="547">
        <v>10.612219444390041</v>
      </c>
      <c r="G91" s="547"/>
      <c r="H91" s="547"/>
      <c r="I91" s="547"/>
      <c r="J91" s="547"/>
      <c r="K91" s="547"/>
      <c r="L91" s="547"/>
      <c r="M91" s="547"/>
      <c r="N91" s="547"/>
      <c r="O91" s="547" t="s">
        <v>512</v>
      </c>
      <c r="P91" s="547"/>
      <c r="Q91" s="547"/>
      <c r="R91" s="547"/>
      <c r="S91" s="547"/>
      <c r="T91" s="376"/>
      <c r="U91" s="376"/>
      <c r="V91" s="376"/>
      <c r="W91" s="376"/>
    </row>
    <row r="92" spans="1:23" x14ac:dyDescent="0.25">
      <c r="A92" s="547"/>
      <c r="B92" s="809" t="s">
        <v>72</v>
      </c>
      <c r="C92" s="547">
        <v>624381798</v>
      </c>
      <c r="D92" s="547">
        <v>59190563180</v>
      </c>
      <c r="E92" s="547">
        <v>7018559073</v>
      </c>
      <c r="F92" s="547">
        <v>11.240813065790237</v>
      </c>
      <c r="G92" s="547"/>
      <c r="H92" s="547"/>
      <c r="I92" s="547"/>
      <c r="J92" s="547"/>
      <c r="K92" s="547"/>
      <c r="L92" s="547"/>
      <c r="M92" s="547"/>
      <c r="N92" s="547"/>
      <c r="O92" s="547"/>
      <c r="P92" s="547"/>
      <c r="Q92" s="547"/>
      <c r="R92" s="547"/>
      <c r="S92" s="547"/>
      <c r="T92" s="376"/>
      <c r="U92" s="376"/>
      <c r="V92" s="376"/>
      <c r="W92" s="376"/>
    </row>
    <row r="93" spans="1:23" x14ac:dyDescent="0.25">
      <c r="A93" s="547"/>
      <c r="B93" s="809" t="s">
        <v>73</v>
      </c>
      <c r="C93" s="547">
        <v>659400104</v>
      </c>
      <c r="D93" s="547">
        <v>61657885237</v>
      </c>
      <c r="E93" s="547">
        <v>7664991607</v>
      </c>
      <c r="F93" s="547">
        <v>11.624189260061142</v>
      </c>
      <c r="G93" s="547"/>
      <c r="H93" s="547"/>
      <c r="I93" s="547"/>
      <c r="J93" s="547"/>
      <c r="K93" s="547"/>
      <c r="L93" s="547"/>
      <c r="M93" s="547"/>
      <c r="N93" s="547"/>
      <c r="O93" s="547"/>
      <c r="P93" s="547"/>
      <c r="Q93" s="547"/>
      <c r="R93" s="547"/>
      <c r="S93" s="547"/>
      <c r="T93" s="376"/>
      <c r="U93" s="376"/>
      <c r="V93" s="376"/>
      <c r="W93" s="376"/>
    </row>
    <row r="94" spans="1:23" x14ac:dyDescent="0.25">
      <c r="A94" s="547"/>
      <c r="B94" s="809" t="s">
        <v>74</v>
      </c>
      <c r="C94" s="547">
        <v>691948868</v>
      </c>
      <c r="D94" s="547">
        <v>64042525435</v>
      </c>
      <c r="E94" s="547">
        <v>8094174944</v>
      </c>
      <c r="F94" s="547">
        <v>11.697648942464921</v>
      </c>
      <c r="G94" s="547"/>
      <c r="H94" s="547"/>
      <c r="I94" s="547"/>
      <c r="J94" s="547"/>
      <c r="K94" s="547"/>
      <c r="L94" s="547"/>
      <c r="M94" s="547"/>
      <c r="N94" s="547"/>
      <c r="O94" s="547"/>
      <c r="P94" s="547"/>
      <c r="Q94" s="547"/>
      <c r="R94" s="547"/>
      <c r="S94" s="547"/>
      <c r="T94" s="376"/>
      <c r="U94" s="376"/>
      <c r="V94" s="376"/>
      <c r="W94" s="376"/>
    </row>
    <row r="95" spans="1:23" x14ac:dyDescent="0.25">
      <c r="A95" s="547"/>
      <c r="B95" s="809" t="s">
        <v>75</v>
      </c>
      <c r="C95" s="547">
        <v>733010929</v>
      </c>
      <c r="D95" s="547">
        <v>67468607795</v>
      </c>
      <c r="E95" s="547">
        <v>8013483226</v>
      </c>
      <c r="F95" s="547">
        <v>10.932283420292633</v>
      </c>
      <c r="G95" s="547"/>
      <c r="H95" s="547"/>
      <c r="I95" s="547"/>
      <c r="J95" s="547"/>
      <c r="K95" s="547"/>
      <c r="L95" s="547"/>
      <c r="M95" s="547"/>
      <c r="N95" s="547"/>
      <c r="O95" s="547"/>
      <c r="P95" s="547"/>
      <c r="Q95" s="547"/>
      <c r="R95" s="547"/>
      <c r="S95" s="547"/>
      <c r="T95" s="376"/>
      <c r="U95" s="376"/>
      <c r="V95" s="376"/>
      <c r="W95" s="376"/>
    </row>
    <row r="96" spans="1:23" x14ac:dyDescent="0.25">
      <c r="A96" s="547"/>
      <c r="B96" s="809" t="s">
        <v>76</v>
      </c>
      <c r="C96" s="547">
        <v>762631738</v>
      </c>
      <c r="D96" s="547">
        <v>70369213090</v>
      </c>
      <c r="E96" s="547">
        <v>8250323893</v>
      </c>
      <c r="F96" s="547">
        <v>10.818227831215699</v>
      </c>
      <c r="G96" s="547"/>
      <c r="H96" s="547"/>
      <c r="I96" s="547"/>
      <c r="J96" s="547"/>
      <c r="K96" s="547"/>
      <c r="L96" s="547"/>
      <c r="M96" s="547"/>
      <c r="N96" s="547"/>
      <c r="O96" s="547"/>
      <c r="P96" s="547"/>
      <c r="Q96" s="547"/>
      <c r="R96" s="547"/>
      <c r="S96" s="547"/>
      <c r="T96" s="376"/>
      <c r="U96" s="376"/>
      <c r="V96" s="376"/>
      <c r="W96" s="376"/>
    </row>
    <row r="97" spans="1:23" x14ac:dyDescent="0.25">
      <c r="A97" s="547"/>
      <c r="B97" s="809" t="s">
        <v>4</v>
      </c>
      <c r="C97" s="547">
        <v>803297137</v>
      </c>
      <c r="D97" s="547">
        <v>73093309000</v>
      </c>
      <c r="E97" s="547">
        <v>8303500918</v>
      </c>
      <c r="F97" s="547">
        <v>10.336773947695521</v>
      </c>
      <c r="G97" s="547"/>
      <c r="H97" s="547"/>
      <c r="I97" s="547"/>
      <c r="J97" s="547">
        <v>265600</v>
      </c>
      <c r="K97" s="547">
        <v>279802.68377599999</v>
      </c>
      <c r="L97" s="547"/>
      <c r="M97" s="547"/>
      <c r="N97" s="547"/>
      <c r="O97" s="547"/>
      <c r="P97" s="547"/>
      <c r="Q97" s="547"/>
      <c r="R97" s="547"/>
      <c r="S97" s="547"/>
      <c r="T97" s="376"/>
      <c r="U97" s="376"/>
      <c r="V97" s="376"/>
      <c r="W97" s="376"/>
    </row>
    <row r="98" spans="1:23" x14ac:dyDescent="0.25">
      <c r="A98" s="547"/>
      <c r="B98" s="809" t="s">
        <v>5</v>
      </c>
      <c r="C98" s="547">
        <v>852482281</v>
      </c>
      <c r="D98" s="547">
        <v>77363704790</v>
      </c>
      <c r="E98" s="547">
        <v>8376264432</v>
      </c>
      <c r="F98" s="547">
        <v>9.8257343509524517</v>
      </c>
      <c r="G98" s="547"/>
      <c r="H98" s="547"/>
      <c r="I98" s="547"/>
      <c r="J98" s="547">
        <v>283100</v>
      </c>
      <c r="K98" s="547">
        <v>300821.06915000005</v>
      </c>
      <c r="L98" s="547"/>
      <c r="M98" s="547"/>
      <c r="N98" s="547"/>
      <c r="O98" s="547"/>
      <c r="P98" s="547"/>
      <c r="Q98" s="547"/>
      <c r="R98" s="547"/>
      <c r="S98" s="547"/>
      <c r="T98" s="376"/>
      <c r="U98" s="376"/>
      <c r="V98" s="376"/>
      <c r="W98" s="376"/>
    </row>
    <row r="99" spans="1:23" x14ac:dyDescent="0.25">
      <c r="A99" s="547"/>
      <c r="B99" s="809" t="s">
        <v>6</v>
      </c>
      <c r="C99" s="809">
        <v>897727347</v>
      </c>
      <c r="D99" s="809">
        <v>81139818758</v>
      </c>
      <c r="E99" s="809">
        <v>8621421130</v>
      </c>
      <c r="F99" s="809">
        <v>9.6036075527952036</v>
      </c>
      <c r="G99" s="809"/>
      <c r="H99" s="809"/>
      <c r="I99" s="809"/>
      <c r="J99" s="809">
        <v>293000</v>
      </c>
      <c r="K99" s="809">
        <v>313861.29820999998</v>
      </c>
      <c r="L99" s="809"/>
      <c r="M99" s="809"/>
      <c r="N99" s="809"/>
      <c r="O99" s="809"/>
      <c r="P99" s="547"/>
      <c r="Q99" s="547"/>
      <c r="R99" s="547"/>
      <c r="S99" s="547"/>
      <c r="T99" s="376"/>
      <c r="U99" s="376"/>
      <c r="V99" s="376"/>
      <c r="W99" s="376"/>
    </row>
    <row r="100" spans="1:23" x14ac:dyDescent="0.25">
      <c r="A100" s="547"/>
      <c r="B100" s="809" t="s">
        <v>7</v>
      </c>
      <c r="C100" s="809">
        <v>936743859</v>
      </c>
      <c r="D100" s="809">
        <v>83740259688</v>
      </c>
      <c r="E100" s="809">
        <v>8880735344</v>
      </c>
      <c r="F100" s="809">
        <v>9.4804308121970831</v>
      </c>
      <c r="G100" s="809"/>
      <c r="H100" s="809"/>
      <c r="I100" s="809"/>
      <c r="J100" s="809">
        <v>292500</v>
      </c>
      <c r="K100" s="809">
        <v>313818.46470000001</v>
      </c>
      <c r="L100" s="809"/>
      <c r="M100" s="809"/>
      <c r="N100" s="809"/>
      <c r="O100" s="809"/>
      <c r="P100" s="547"/>
      <c r="Q100" s="547"/>
      <c r="R100" s="547"/>
      <c r="S100" s="547"/>
      <c r="T100" s="376"/>
      <c r="U100" s="376"/>
      <c r="V100" s="376"/>
      <c r="W100" s="376"/>
    </row>
    <row r="101" spans="1:23" x14ac:dyDescent="0.25">
      <c r="A101" s="547"/>
      <c r="B101" s="809" t="s">
        <v>489</v>
      </c>
      <c r="C101" s="809">
        <v>973381568</v>
      </c>
      <c r="D101" s="809">
        <v>84155589191</v>
      </c>
      <c r="E101" s="809">
        <v>8777964802</v>
      </c>
      <c r="F101" s="809">
        <v>9.0180100903657134</v>
      </c>
      <c r="G101" s="809"/>
      <c r="H101" s="809"/>
      <c r="I101" s="809"/>
      <c r="J101" s="809">
        <v>300400</v>
      </c>
      <c r="K101" s="809">
        <v>322758.21926400007</v>
      </c>
      <c r="L101" s="809"/>
      <c r="M101" s="809"/>
      <c r="N101" s="809"/>
      <c r="O101" s="809"/>
      <c r="P101" s="547"/>
      <c r="Q101" s="547"/>
      <c r="R101" s="547"/>
      <c r="S101" s="547"/>
      <c r="T101" s="376"/>
      <c r="U101" s="376"/>
      <c r="V101" s="376"/>
      <c r="W101" s="376"/>
    </row>
    <row r="102" spans="1:23" x14ac:dyDescent="0.25">
      <c r="A102" s="547"/>
      <c r="B102" s="809"/>
      <c r="C102" s="809"/>
      <c r="D102" s="809"/>
      <c r="E102" s="809"/>
      <c r="F102" s="809"/>
      <c r="G102" s="809"/>
      <c r="H102" s="809"/>
      <c r="I102" s="809"/>
      <c r="J102" s="809">
        <v>300400</v>
      </c>
      <c r="K102" s="809">
        <v>323046.59124799998</v>
      </c>
      <c r="L102" s="547"/>
      <c r="M102" s="547"/>
      <c r="N102" s="547"/>
      <c r="O102" s="547"/>
      <c r="P102" s="547"/>
      <c r="Q102" s="547"/>
      <c r="R102" s="547"/>
      <c r="S102" s="547"/>
      <c r="T102" s="376"/>
      <c r="U102" s="376"/>
      <c r="V102" s="376"/>
      <c r="W102" s="376"/>
    </row>
    <row r="103" spans="1:23" x14ac:dyDescent="0.25">
      <c r="A103" s="547"/>
      <c r="B103" s="809"/>
      <c r="C103" s="809"/>
      <c r="D103" s="809"/>
      <c r="E103" s="809"/>
      <c r="F103" s="809"/>
      <c r="G103" s="809"/>
      <c r="H103" s="809"/>
      <c r="I103" s="547"/>
      <c r="J103" s="547">
        <v>292567</v>
      </c>
      <c r="K103" s="547">
        <v>314950.67104377894</v>
      </c>
      <c r="L103" s="547"/>
      <c r="M103" s="547"/>
      <c r="N103" s="547"/>
      <c r="O103" s="547"/>
      <c r="P103" s="547"/>
      <c r="Q103" s="547"/>
      <c r="R103" s="547"/>
      <c r="S103" s="547"/>
      <c r="T103" s="376"/>
      <c r="U103" s="376"/>
      <c r="V103" s="376"/>
      <c r="W103" s="376"/>
    </row>
    <row r="104" spans="1:23" x14ac:dyDescent="0.25">
      <c r="A104" s="547"/>
      <c r="B104" s="809"/>
      <c r="C104" s="809"/>
      <c r="D104" s="809"/>
      <c r="E104" s="809"/>
      <c r="F104" s="809"/>
      <c r="G104" s="809"/>
      <c r="H104" s="809"/>
      <c r="I104" s="547"/>
      <c r="J104" s="547">
        <v>303819.891</v>
      </c>
      <c r="K104" s="547">
        <v>327274.87877040845</v>
      </c>
      <c r="L104" s="547"/>
      <c r="M104" s="547"/>
      <c r="N104" s="547"/>
      <c r="O104" s="547"/>
      <c r="P104" s="547"/>
      <c r="Q104" s="547"/>
      <c r="R104" s="547"/>
      <c r="S104" s="547"/>
      <c r="T104" s="376"/>
      <c r="U104" s="376"/>
      <c r="V104" s="376"/>
      <c r="W104" s="376"/>
    </row>
    <row r="105" spans="1:23" x14ac:dyDescent="0.25">
      <c r="A105" s="547"/>
      <c r="B105" s="809"/>
      <c r="C105" s="809"/>
      <c r="D105" s="809"/>
      <c r="E105" s="809"/>
      <c r="F105" s="809"/>
      <c r="G105" s="809"/>
      <c r="H105" s="809"/>
      <c r="I105" s="547"/>
      <c r="J105" s="547"/>
      <c r="K105" s="547"/>
      <c r="L105" s="547"/>
      <c r="M105" s="547"/>
      <c r="N105" s="547"/>
      <c r="O105" s="547"/>
      <c r="P105" s="547"/>
      <c r="Q105" s="547"/>
      <c r="R105" s="547"/>
      <c r="S105" s="547"/>
      <c r="T105" s="376"/>
      <c r="U105" s="376"/>
      <c r="V105" s="376"/>
      <c r="W105" s="376"/>
    </row>
    <row r="106" spans="1:23" x14ac:dyDescent="0.25">
      <c r="A106" s="547"/>
      <c r="B106" s="809"/>
      <c r="C106" s="809"/>
      <c r="D106" s="809"/>
      <c r="E106" s="809"/>
      <c r="F106" s="809"/>
      <c r="G106" s="809"/>
      <c r="H106" s="809"/>
      <c r="I106" s="547"/>
      <c r="J106" s="547"/>
      <c r="K106" s="547"/>
      <c r="L106" s="547"/>
      <c r="M106" s="547"/>
      <c r="N106" s="547"/>
      <c r="O106" s="547"/>
      <c r="P106" s="547"/>
      <c r="Q106" s="547"/>
      <c r="R106" s="547"/>
      <c r="S106" s="547"/>
      <c r="T106" s="376"/>
      <c r="U106" s="376"/>
      <c r="V106" s="376"/>
      <c r="W106" s="376"/>
    </row>
    <row r="107" spans="1:23" x14ac:dyDescent="0.25">
      <c r="A107" s="547"/>
      <c r="B107" s="547"/>
      <c r="C107" s="547"/>
      <c r="D107" s="547"/>
      <c r="E107" s="547"/>
      <c r="F107" s="547"/>
      <c r="G107" s="547"/>
      <c r="H107" s="547"/>
      <c r="I107" s="547"/>
      <c r="J107" s="547"/>
      <c r="K107" s="547"/>
      <c r="L107" s="547"/>
      <c r="M107" s="547"/>
      <c r="N107" s="547"/>
      <c r="O107" s="547"/>
      <c r="P107" s="547"/>
      <c r="Q107" s="547"/>
      <c r="R107" s="547"/>
      <c r="S107" s="547"/>
      <c r="T107" s="376"/>
      <c r="U107" s="376"/>
      <c r="V107" s="376"/>
      <c r="W107" s="376"/>
    </row>
    <row r="108" spans="1:23" x14ac:dyDescent="0.25">
      <c r="A108" s="547"/>
      <c r="B108" s="547"/>
      <c r="C108" s="547"/>
      <c r="D108" s="547"/>
      <c r="E108" s="547"/>
      <c r="F108" s="547"/>
      <c r="G108" s="547"/>
      <c r="H108" s="547"/>
      <c r="I108" s="547"/>
      <c r="J108" s="547"/>
      <c r="K108" s="547"/>
      <c r="L108" s="547"/>
      <c r="M108" s="547"/>
      <c r="N108" s="547"/>
      <c r="O108" s="547"/>
      <c r="P108" s="547"/>
      <c r="Q108" s="547"/>
      <c r="R108" s="547"/>
      <c r="S108" s="547"/>
      <c r="T108" s="376"/>
      <c r="U108" s="376"/>
      <c r="V108" s="376"/>
      <c r="W108" s="376"/>
    </row>
    <row r="109" spans="1:23" x14ac:dyDescent="0.25">
      <c r="A109" s="547"/>
      <c r="B109" s="1872" t="s">
        <v>354</v>
      </c>
      <c r="C109" s="1872" t="s">
        <v>694</v>
      </c>
      <c r="D109" s="1872" t="s">
        <v>695</v>
      </c>
      <c r="E109" s="1872" t="s">
        <v>696</v>
      </c>
      <c r="F109" s="1872" t="s">
        <v>697</v>
      </c>
      <c r="G109" s="1872" t="s">
        <v>352</v>
      </c>
      <c r="H109" s="547"/>
      <c r="I109" s="1872" t="s">
        <v>48</v>
      </c>
      <c r="J109" s="547"/>
      <c r="K109" s="547"/>
      <c r="L109" s="547"/>
      <c r="M109" s="547"/>
      <c r="N109" s="547"/>
      <c r="O109" s="547"/>
      <c r="P109" s="547"/>
      <c r="Q109" s="547"/>
      <c r="R109" s="547"/>
      <c r="S109" s="547"/>
      <c r="T109" s="376"/>
      <c r="U109" s="376"/>
      <c r="V109" s="376"/>
      <c r="W109" s="376"/>
    </row>
    <row r="110" spans="1:23" x14ac:dyDescent="0.25">
      <c r="A110" s="547"/>
      <c r="B110" s="1872" t="s">
        <v>68</v>
      </c>
      <c r="C110" s="673">
        <v>11067000</v>
      </c>
      <c r="D110" s="673">
        <v>19964000</v>
      </c>
      <c r="E110" s="673">
        <v>154504000</v>
      </c>
      <c r="F110" s="673">
        <v>31465000</v>
      </c>
      <c r="G110" s="1872" t="s">
        <v>701</v>
      </c>
      <c r="H110" s="547"/>
      <c r="I110" s="1756">
        <f t="shared" ref="I110:I115" si="25">SUM(C110:G110)/1000</f>
        <v>217000</v>
      </c>
      <c r="J110" s="547"/>
      <c r="K110" s="547"/>
      <c r="L110" s="547"/>
      <c r="M110" s="547"/>
      <c r="N110" s="547"/>
      <c r="O110" s="547"/>
      <c r="P110" s="547"/>
      <c r="Q110" s="547"/>
      <c r="R110" s="547"/>
      <c r="S110" s="547"/>
      <c r="T110" s="376"/>
      <c r="U110" s="376"/>
      <c r="V110" s="376"/>
      <c r="W110" s="376"/>
    </row>
    <row r="111" spans="1:23" x14ac:dyDescent="0.25">
      <c r="A111" s="547"/>
      <c r="B111" s="1872" t="s">
        <v>69</v>
      </c>
      <c r="C111" s="673">
        <v>11143500</v>
      </c>
      <c r="D111" s="673">
        <v>20102000</v>
      </c>
      <c r="E111" s="673">
        <v>155572000</v>
      </c>
      <c r="F111" s="673">
        <v>31682500</v>
      </c>
      <c r="G111" s="1872" t="s">
        <v>701</v>
      </c>
      <c r="H111" s="547"/>
      <c r="I111" s="1756">
        <f t="shared" si="25"/>
        <v>218500</v>
      </c>
      <c r="J111" s="547"/>
      <c r="K111" s="547"/>
      <c r="L111" s="547"/>
      <c r="M111" s="547"/>
      <c r="N111" s="547"/>
      <c r="O111" s="547"/>
      <c r="P111" s="547"/>
      <c r="Q111" s="547"/>
      <c r="R111" s="547"/>
      <c r="S111" s="547"/>
      <c r="T111" s="376"/>
      <c r="U111" s="376"/>
      <c r="V111" s="376"/>
      <c r="W111" s="376"/>
    </row>
    <row r="112" spans="1:23" x14ac:dyDescent="0.25">
      <c r="A112" s="547"/>
      <c r="B112" s="1872" t="s">
        <v>70</v>
      </c>
      <c r="C112" s="673">
        <v>8580000</v>
      </c>
      <c r="D112" s="673">
        <v>17600000</v>
      </c>
      <c r="E112" s="673">
        <v>157740000</v>
      </c>
      <c r="F112" s="673">
        <v>36080000</v>
      </c>
      <c r="G112" s="1872" t="s">
        <v>701</v>
      </c>
      <c r="H112" s="547"/>
      <c r="I112" s="1756">
        <f t="shared" si="25"/>
        <v>220000</v>
      </c>
      <c r="J112" s="547"/>
      <c r="K112" s="547"/>
      <c r="L112" s="547"/>
      <c r="M112" s="547"/>
      <c r="N112" s="547"/>
      <c r="O112" s="547"/>
      <c r="P112" s="547"/>
      <c r="Q112" s="547"/>
      <c r="R112" s="547"/>
      <c r="S112" s="547"/>
      <c r="T112" s="376"/>
      <c r="U112" s="376"/>
      <c r="V112" s="376"/>
      <c r="W112" s="376"/>
    </row>
    <row r="113" spans="1:23" x14ac:dyDescent="0.25">
      <c r="A113" s="547"/>
      <c r="B113" s="1872" t="s">
        <v>699</v>
      </c>
      <c r="C113" s="673">
        <v>9982000</v>
      </c>
      <c r="D113" s="673">
        <v>22568000</v>
      </c>
      <c r="E113" s="673">
        <v>169476992</v>
      </c>
      <c r="F113" s="673">
        <v>14973000</v>
      </c>
      <c r="G113" s="1756">
        <v>81000000</v>
      </c>
      <c r="H113" s="547"/>
      <c r="I113" s="1756">
        <f t="shared" si="25"/>
        <v>297999.99200000003</v>
      </c>
      <c r="J113" s="547"/>
      <c r="K113" s="547"/>
      <c r="L113" s="547"/>
      <c r="M113" s="547"/>
      <c r="N113" s="547"/>
      <c r="O113" s="547"/>
      <c r="P113" s="547"/>
      <c r="Q113" s="547"/>
      <c r="R113" s="547"/>
      <c r="S113" s="547"/>
      <c r="T113" s="376"/>
      <c r="U113" s="376"/>
      <c r="V113" s="376"/>
      <c r="W113" s="376"/>
    </row>
    <row r="114" spans="1:23" x14ac:dyDescent="0.25">
      <c r="A114" s="547"/>
      <c r="B114" s="1872" t="s">
        <v>72</v>
      </c>
      <c r="C114" s="673">
        <v>12050000</v>
      </c>
      <c r="D114" s="673">
        <v>21690000</v>
      </c>
      <c r="E114" s="673">
        <v>192800000</v>
      </c>
      <c r="F114" s="673">
        <v>14460000</v>
      </c>
      <c r="G114" s="1756">
        <v>84000000</v>
      </c>
      <c r="H114" s="547"/>
      <c r="I114" s="1756">
        <f t="shared" si="25"/>
        <v>325000</v>
      </c>
      <c r="J114" s="547"/>
      <c r="K114" s="547"/>
      <c r="L114" s="547"/>
      <c r="M114" s="547"/>
      <c r="N114" s="547"/>
      <c r="O114" s="547"/>
      <c r="P114" s="547"/>
      <c r="Q114" s="547"/>
      <c r="R114" s="547"/>
      <c r="S114" s="547"/>
      <c r="T114" s="376"/>
      <c r="U114" s="376"/>
      <c r="V114" s="376"/>
      <c r="W114" s="376"/>
    </row>
    <row r="115" spans="1:23" x14ac:dyDescent="0.25">
      <c r="A115" s="547"/>
      <c r="B115" s="1872" t="s">
        <v>73</v>
      </c>
      <c r="C115" s="673">
        <v>12309101</v>
      </c>
      <c r="D115" s="673">
        <v>22144330</v>
      </c>
      <c r="E115" s="673">
        <v>203774040</v>
      </c>
      <c r="F115" s="673">
        <v>11905659</v>
      </c>
      <c r="G115" s="1756">
        <v>96994845</v>
      </c>
      <c r="H115" s="547"/>
      <c r="I115" s="1756">
        <f t="shared" si="25"/>
        <v>347127.97499999998</v>
      </c>
      <c r="J115" s="547"/>
      <c r="K115" s="547"/>
      <c r="L115" s="547"/>
      <c r="M115" s="547"/>
      <c r="N115" s="547"/>
      <c r="O115" s="547"/>
      <c r="P115" s="547"/>
      <c r="Q115" s="547"/>
      <c r="R115" s="547"/>
      <c r="S115" s="547"/>
      <c r="T115" s="376"/>
      <c r="U115" s="376"/>
      <c r="V115" s="376"/>
      <c r="W115" s="376"/>
    </row>
    <row r="116" spans="1:23" x14ac:dyDescent="0.25">
      <c r="A116" s="547"/>
      <c r="B116" s="1872"/>
      <c r="C116" s="547"/>
      <c r="D116" s="547"/>
      <c r="E116" s="547"/>
      <c r="F116" s="547"/>
      <c r="G116" s="547"/>
      <c r="H116" s="547"/>
      <c r="I116" s="547" t="s">
        <v>101</v>
      </c>
      <c r="J116" s="547"/>
      <c r="K116" s="547"/>
      <c r="L116" s="547"/>
      <c r="M116" s="547"/>
      <c r="N116" s="547"/>
      <c r="O116" s="547"/>
      <c r="P116" s="547"/>
      <c r="Q116" s="547"/>
      <c r="R116" s="547"/>
      <c r="S116" s="547"/>
      <c r="T116" s="376"/>
      <c r="U116" s="376"/>
      <c r="V116" s="376"/>
      <c r="W116" s="376"/>
    </row>
    <row r="117" spans="1:23" x14ac:dyDescent="0.25">
      <c r="A117" s="547"/>
      <c r="B117" s="547"/>
      <c r="C117" s="547"/>
      <c r="D117" s="547"/>
      <c r="E117" s="547"/>
      <c r="F117" s="547"/>
      <c r="G117" s="547"/>
      <c r="H117" s="547"/>
      <c r="I117" s="547" t="s">
        <v>101</v>
      </c>
      <c r="J117" s="547"/>
      <c r="K117" s="547"/>
      <c r="L117" s="547"/>
      <c r="M117" s="547"/>
      <c r="N117" s="547"/>
      <c r="O117" s="547"/>
      <c r="P117" s="547"/>
      <c r="Q117" s="547"/>
      <c r="R117" s="547"/>
      <c r="S117" s="547"/>
      <c r="T117" s="376"/>
      <c r="U117" s="376"/>
      <c r="V117" s="376"/>
      <c r="W117" s="376"/>
    </row>
    <row r="118" spans="1:23" x14ac:dyDescent="0.25">
      <c r="A118" s="547"/>
      <c r="B118" s="1757"/>
      <c r="C118" s="547" t="s">
        <v>348</v>
      </c>
      <c r="D118" s="547" t="s">
        <v>349</v>
      </c>
      <c r="E118" s="547" t="s">
        <v>350</v>
      </c>
      <c r="F118" s="547" t="s">
        <v>351</v>
      </c>
      <c r="G118" s="547" t="s">
        <v>352</v>
      </c>
      <c r="H118" s="547" t="s">
        <v>353</v>
      </c>
      <c r="I118" s="1316" t="s">
        <v>48</v>
      </c>
      <c r="J118" s="547"/>
      <c r="K118" s="547"/>
      <c r="L118" s="547"/>
      <c r="M118" s="547"/>
      <c r="N118" s="547"/>
      <c r="O118" s="547"/>
      <c r="P118" s="547"/>
      <c r="Q118" s="547"/>
      <c r="R118" s="547"/>
      <c r="S118" s="547"/>
      <c r="T118" s="376"/>
      <c r="U118" s="376"/>
      <c r="V118" s="376"/>
      <c r="W118" s="376"/>
    </row>
    <row r="119" spans="1:23" x14ac:dyDescent="0.25">
      <c r="A119" s="547"/>
      <c r="B119" s="1757" t="s">
        <v>74</v>
      </c>
      <c r="C119" s="547">
        <v>5800</v>
      </c>
      <c r="D119" s="547">
        <v>12500</v>
      </c>
      <c r="E119" s="547">
        <v>148300</v>
      </c>
      <c r="F119" s="547">
        <v>4200</v>
      </c>
      <c r="G119" s="547">
        <v>84600</v>
      </c>
      <c r="H119" s="547">
        <v>10200</v>
      </c>
      <c r="I119" s="547">
        <v>265600</v>
      </c>
      <c r="J119" s="547"/>
      <c r="K119" s="547"/>
      <c r="L119" s="547"/>
      <c r="M119" s="547"/>
      <c r="N119" s="547"/>
      <c r="O119" s="547"/>
      <c r="P119" s="547"/>
      <c r="Q119" s="547"/>
      <c r="R119" s="547"/>
      <c r="S119" s="547"/>
      <c r="T119" s="376"/>
      <c r="U119" s="376"/>
      <c r="V119" s="376"/>
      <c r="W119" s="376"/>
    </row>
    <row r="120" spans="1:23" x14ac:dyDescent="0.25">
      <c r="A120" s="547"/>
      <c r="B120" s="1758" t="s">
        <v>75</v>
      </c>
      <c r="C120" s="1759">
        <v>6000</v>
      </c>
      <c r="D120" s="1759">
        <v>14000</v>
      </c>
      <c r="E120" s="1759">
        <v>153900</v>
      </c>
      <c r="F120" s="1759">
        <v>4800</v>
      </c>
      <c r="G120" s="1759">
        <v>93700</v>
      </c>
      <c r="H120" s="1759">
        <v>10700</v>
      </c>
      <c r="I120" s="1759">
        <v>283100</v>
      </c>
      <c r="J120" s="547"/>
      <c r="K120" s="547"/>
      <c r="L120" s="547"/>
      <c r="M120" s="547"/>
      <c r="N120" s="547"/>
      <c r="O120" s="547"/>
      <c r="P120" s="547"/>
      <c r="Q120" s="547"/>
      <c r="R120" s="547"/>
      <c r="S120" s="547"/>
      <c r="T120" s="376"/>
      <c r="U120" s="376"/>
      <c r="V120" s="376"/>
      <c r="W120" s="376"/>
    </row>
    <row r="121" spans="1:23" x14ac:dyDescent="0.25">
      <c r="A121" s="547"/>
      <c r="B121" s="1760" t="s">
        <v>76</v>
      </c>
      <c r="C121" s="1759">
        <v>5900</v>
      </c>
      <c r="D121" s="1759">
        <v>15100</v>
      </c>
      <c r="E121" s="1759">
        <v>156600</v>
      </c>
      <c r="F121" s="1759">
        <v>5000</v>
      </c>
      <c r="G121" s="1759">
        <v>99000</v>
      </c>
      <c r="H121" s="1759">
        <v>11400</v>
      </c>
      <c r="I121" s="1759">
        <v>293000</v>
      </c>
      <c r="J121" s="547"/>
      <c r="K121" s="547"/>
      <c r="L121" s="547"/>
      <c r="M121" s="547"/>
      <c r="N121" s="547"/>
      <c r="O121" s="547"/>
      <c r="P121" s="547"/>
      <c r="Q121" s="547"/>
      <c r="R121" s="547"/>
      <c r="S121" s="547"/>
      <c r="T121" s="376"/>
      <c r="U121" s="376"/>
      <c r="V121" s="376"/>
      <c r="W121" s="376"/>
    </row>
    <row r="122" spans="1:23" x14ac:dyDescent="0.25">
      <c r="A122" s="547"/>
      <c r="B122" s="1760" t="s">
        <v>4</v>
      </c>
      <c r="C122" s="1759">
        <v>5900</v>
      </c>
      <c r="D122" s="1759">
        <v>16200</v>
      </c>
      <c r="E122" s="1759">
        <v>155800</v>
      </c>
      <c r="F122" s="1759">
        <v>4800</v>
      </c>
      <c r="G122" s="1759">
        <v>98500</v>
      </c>
      <c r="H122" s="1759">
        <v>11300</v>
      </c>
      <c r="I122" s="1759">
        <v>292500</v>
      </c>
      <c r="J122" s="547"/>
      <c r="K122" s="547"/>
      <c r="L122" s="547"/>
      <c r="M122" s="547"/>
      <c r="N122" s="547"/>
      <c r="O122" s="547"/>
      <c r="P122" s="547"/>
      <c r="Q122" s="547"/>
      <c r="R122" s="547"/>
      <c r="S122" s="547"/>
      <c r="T122" s="376"/>
      <c r="U122" s="376"/>
      <c r="V122" s="376"/>
      <c r="W122" s="376"/>
    </row>
    <row r="123" spans="1:23" x14ac:dyDescent="0.25">
      <c r="A123" s="547"/>
      <c r="B123" s="1760" t="s">
        <v>5</v>
      </c>
      <c r="C123" s="1759">
        <v>6000</v>
      </c>
      <c r="D123" s="1759">
        <v>18700</v>
      </c>
      <c r="E123" s="1759">
        <v>158800</v>
      </c>
      <c r="F123" s="1759">
        <v>5500</v>
      </c>
      <c r="G123" s="1759">
        <v>100600</v>
      </c>
      <c r="H123" s="1759">
        <v>10800</v>
      </c>
      <c r="I123" s="1759">
        <v>300400</v>
      </c>
      <c r="J123" s="547"/>
      <c r="K123" s="547"/>
      <c r="L123" s="547"/>
      <c r="M123" s="547"/>
      <c r="N123" s="547"/>
      <c r="O123" s="547"/>
      <c r="P123" s="547"/>
      <c r="Q123" s="547"/>
      <c r="R123" s="547"/>
      <c r="S123" s="547"/>
      <c r="T123" s="376"/>
      <c r="U123" s="376"/>
      <c r="V123" s="376"/>
      <c r="W123" s="376"/>
    </row>
    <row r="124" spans="1:23" x14ac:dyDescent="0.25">
      <c r="A124" s="547"/>
      <c r="B124" s="1760" t="s">
        <v>344</v>
      </c>
      <c r="C124" s="1759">
        <v>5452.0059422045697</v>
      </c>
      <c r="D124" s="1759">
        <v>16992.085186537577</v>
      </c>
      <c r="E124" s="1759">
        <v>144296.42393701427</v>
      </c>
      <c r="F124" s="1759">
        <v>4997.6721136875221</v>
      </c>
      <c r="G124" s="1759">
        <v>91411.966297629959</v>
      </c>
      <c r="H124" s="1759">
        <v>9813.6106959682256</v>
      </c>
      <c r="I124" s="1759">
        <v>272963.76417304215</v>
      </c>
      <c r="J124" s="547"/>
      <c r="K124" s="547"/>
      <c r="L124" s="547"/>
      <c r="M124" s="547"/>
      <c r="N124" s="547"/>
      <c r="O124" s="547"/>
      <c r="P124" s="547"/>
      <c r="Q124" s="547"/>
      <c r="R124" s="547"/>
      <c r="S124" s="547"/>
      <c r="T124" s="376"/>
      <c r="U124" s="376"/>
      <c r="V124" s="376"/>
      <c r="W124" s="376"/>
    </row>
    <row r="125" spans="1:23" x14ac:dyDescent="0.25">
      <c r="A125" s="547"/>
      <c r="B125" s="1760" t="s">
        <v>345</v>
      </c>
      <c r="C125" s="1759">
        <v>5843.554644558063</v>
      </c>
      <c r="D125" s="1759">
        <v>18212.411975539297</v>
      </c>
      <c r="E125" s="1759">
        <v>154659.41292597007</v>
      </c>
      <c r="F125" s="1759">
        <v>5356.5917575115582</v>
      </c>
      <c r="G125" s="1759">
        <v>97976.932873756858</v>
      </c>
      <c r="H125" s="1759">
        <v>10518.398360204514</v>
      </c>
      <c r="I125" s="1759">
        <v>292567.30253754038</v>
      </c>
      <c r="J125" s="547"/>
      <c r="K125" s="547"/>
      <c r="L125" s="547"/>
      <c r="M125" s="547"/>
      <c r="N125" s="547"/>
      <c r="O125" s="547"/>
      <c r="P125" s="547"/>
      <c r="Q125" s="547"/>
      <c r="R125" s="547"/>
      <c r="S125" s="547"/>
      <c r="T125" s="376"/>
      <c r="U125" s="376"/>
      <c r="V125" s="376"/>
      <c r="W125" s="376"/>
    </row>
    <row r="126" spans="1:23" x14ac:dyDescent="0.25">
      <c r="A126" s="547"/>
      <c r="B126" s="1760" t="s">
        <v>779</v>
      </c>
      <c r="C126" s="547">
        <v>6068.3067462718363</v>
      </c>
      <c r="D126" s="547">
        <v>18912.889359213888</v>
      </c>
      <c r="E126" s="547">
        <v>160607.85188466127</v>
      </c>
      <c r="F126" s="547">
        <v>5562.6145174158491</v>
      </c>
      <c r="G126" s="547">
        <v>101745.27644582445</v>
      </c>
      <c r="H126" s="547">
        <v>10922.952143289305</v>
      </c>
      <c r="I126" s="547">
        <v>303819.89109667658</v>
      </c>
      <c r="J126" s="547"/>
      <c r="K126" s="547"/>
      <c r="L126" s="547"/>
      <c r="M126" s="547"/>
      <c r="N126" s="547"/>
      <c r="O126" s="547"/>
      <c r="P126" s="547"/>
      <c r="Q126" s="547"/>
      <c r="R126" s="547"/>
      <c r="S126" s="547"/>
      <c r="T126" s="376"/>
      <c r="U126" s="376"/>
      <c r="V126" s="376"/>
      <c r="W126" s="376"/>
    </row>
    <row r="127" spans="1:23" x14ac:dyDescent="0.25">
      <c r="A127" s="547"/>
      <c r="B127" s="547"/>
      <c r="C127" s="547"/>
      <c r="D127" s="547"/>
      <c r="E127" s="547"/>
      <c r="F127" s="547"/>
      <c r="G127" s="547"/>
      <c r="H127" s="547"/>
      <c r="I127" s="547"/>
      <c r="J127" s="547"/>
      <c r="K127" s="547"/>
      <c r="L127" s="547"/>
      <c r="M127" s="547"/>
      <c r="N127" s="547"/>
      <c r="O127" s="547"/>
      <c r="P127" s="547"/>
      <c r="Q127" s="547"/>
      <c r="R127" s="547"/>
      <c r="S127" s="547"/>
      <c r="T127" s="376"/>
      <c r="U127" s="376"/>
      <c r="V127" s="376"/>
      <c r="W127" s="376"/>
    </row>
    <row r="128" spans="1:23" x14ac:dyDescent="0.25">
      <c r="A128" s="547"/>
      <c r="B128" s="547"/>
      <c r="C128" s="547"/>
      <c r="D128" s="547"/>
      <c r="E128" s="547"/>
      <c r="F128" s="547"/>
      <c r="G128" s="547"/>
      <c r="H128" s="547"/>
      <c r="I128" s="547"/>
      <c r="J128" s="547"/>
      <c r="K128" s="547"/>
      <c r="L128" s="547"/>
      <c r="M128" s="547"/>
      <c r="N128" s="547"/>
      <c r="O128" s="547"/>
      <c r="P128" s="547"/>
      <c r="Q128" s="547"/>
      <c r="R128" s="547"/>
      <c r="S128" s="547"/>
      <c r="T128" s="376"/>
      <c r="U128" s="376"/>
      <c r="V128" s="376"/>
      <c r="W128" s="376"/>
    </row>
    <row r="129" spans="1:23" x14ac:dyDescent="0.25">
      <c r="A129" s="547"/>
      <c r="B129" s="547"/>
      <c r="C129" s="547"/>
      <c r="D129" s="547"/>
      <c r="E129" s="547"/>
      <c r="F129" s="547"/>
      <c r="G129" s="547"/>
      <c r="H129" s="547"/>
      <c r="I129" s="547"/>
      <c r="J129" s="547"/>
      <c r="K129" s="547"/>
      <c r="L129" s="547"/>
      <c r="M129" s="547"/>
      <c r="N129" s="547"/>
      <c r="O129" s="547"/>
      <c r="P129" s="547"/>
      <c r="Q129" s="547"/>
      <c r="R129" s="547"/>
      <c r="S129" s="547"/>
      <c r="T129" s="376"/>
      <c r="U129" s="376"/>
      <c r="V129" s="376"/>
      <c r="W129" s="376"/>
    </row>
    <row r="130" spans="1:23" x14ac:dyDescent="0.25">
      <c r="A130" s="547"/>
      <c r="B130" s="547"/>
      <c r="C130" s="547"/>
      <c r="D130" s="547"/>
      <c r="E130" s="547"/>
      <c r="F130" s="547"/>
      <c r="G130" s="547"/>
      <c r="H130" s="547"/>
      <c r="I130" s="547"/>
      <c r="J130" s="547"/>
      <c r="K130" s="547"/>
      <c r="L130" s="547"/>
      <c r="M130" s="547"/>
      <c r="N130" s="547"/>
      <c r="O130" s="547"/>
      <c r="P130" s="547"/>
      <c r="Q130" s="547"/>
      <c r="R130" s="547"/>
      <c r="S130" s="547"/>
      <c r="T130" s="376"/>
      <c r="U130" s="376"/>
      <c r="V130" s="376"/>
      <c r="W130" s="376"/>
    </row>
    <row r="131" spans="1:23" x14ac:dyDescent="0.25">
      <c r="A131" s="547"/>
      <c r="B131" s="1872" t="s">
        <v>354</v>
      </c>
      <c r="C131" s="1872" t="s">
        <v>694</v>
      </c>
      <c r="D131" s="1872" t="s">
        <v>695</v>
      </c>
      <c r="E131" s="1872" t="s">
        <v>696</v>
      </c>
      <c r="F131" s="1872" t="s">
        <v>697</v>
      </c>
      <c r="G131" s="547" t="s">
        <v>698</v>
      </c>
      <c r="H131" s="1872" t="s">
        <v>707</v>
      </c>
      <c r="I131" s="547"/>
      <c r="J131" s="547"/>
      <c r="K131" s="547"/>
      <c r="L131" s="547"/>
      <c r="M131" s="547"/>
      <c r="N131" s="547"/>
      <c r="O131" s="547"/>
      <c r="P131" s="547"/>
      <c r="Q131" s="547"/>
      <c r="R131" s="547"/>
      <c r="S131" s="547"/>
      <c r="T131" s="376"/>
      <c r="U131" s="376"/>
      <c r="V131" s="376"/>
      <c r="W131" s="376"/>
    </row>
    <row r="132" spans="1:23" x14ac:dyDescent="0.25">
      <c r="A132" s="547"/>
      <c r="B132" s="1872" t="s">
        <v>68</v>
      </c>
      <c r="C132" s="673">
        <v>47</v>
      </c>
      <c r="D132" s="673">
        <v>17</v>
      </c>
      <c r="E132" s="673">
        <v>15</v>
      </c>
      <c r="F132" s="673">
        <v>20</v>
      </c>
      <c r="G132" s="673" t="s">
        <v>701</v>
      </c>
      <c r="H132" s="673">
        <f t="shared" ref="H132:H137" si="26">SUMPRODUCT(C110:G110,C132:G132)/SUM(C110:G110)</f>
        <v>17.541</v>
      </c>
      <c r="I132" s="547"/>
      <c r="J132" s="547"/>
      <c r="K132" s="547"/>
      <c r="L132" s="547"/>
      <c r="M132" s="547"/>
      <c r="N132" s="547"/>
      <c r="O132" s="547"/>
      <c r="P132" s="547"/>
      <c r="Q132" s="547"/>
      <c r="R132" s="547"/>
      <c r="S132" s="547"/>
      <c r="T132" s="376"/>
      <c r="U132" s="376"/>
      <c r="V132" s="376"/>
      <c r="W132" s="376"/>
    </row>
    <row r="133" spans="1:23" x14ac:dyDescent="0.25">
      <c r="A133" s="547"/>
      <c r="B133" s="1872" t="s">
        <v>69</v>
      </c>
      <c r="C133" s="673">
        <v>47</v>
      </c>
      <c r="D133" s="673">
        <v>17</v>
      </c>
      <c r="E133" s="673">
        <v>15</v>
      </c>
      <c r="F133" s="673">
        <v>20</v>
      </c>
      <c r="G133" s="673" t="s">
        <v>701</v>
      </c>
      <c r="H133" s="673">
        <f t="shared" si="26"/>
        <v>17.541</v>
      </c>
      <c r="I133" s="547"/>
      <c r="J133" s="547"/>
      <c r="K133" s="547"/>
      <c r="L133" s="547"/>
      <c r="M133" s="547"/>
      <c r="N133" s="547"/>
      <c r="O133" s="547"/>
      <c r="P133" s="547"/>
      <c r="Q133" s="547"/>
      <c r="R133" s="547"/>
      <c r="S133" s="547"/>
      <c r="T133" s="376"/>
      <c r="U133" s="376"/>
      <c r="V133" s="376"/>
      <c r="W133" s="376"/>
    </row>
    <row r="134" spans="1:23" x14ac:dyDescent="0.25">
      <c r="A134" s="547"/>
      <c r="B134" s="1872" t="s">
        <v>70</v>
      </c>
      <c r="C134" s="673">
        <v>47</v>
      </c>
      <c r="D134" s="673">
        <v>17</v>
      </c>
      <c r="E134" s="673">
        <v>15</v>
      </c>
      <c r="F134" s="673">
        <v>20</v>
      </c>
      <c r="G134" s="673" t="s">
        <v>701</v>
      </c>
      <c r="H134" s="673">
        <f t="shared" si="26"/>
        <v>17.228000000000002</v>
      </c>
      <c r="I134" s="547"/>
      <c r="J134" s="547"/>
      <c r="K134" s="547"/>
      <c r="L134" s="547"/>
      <c r="M134" s="547"/>
      <c r="N134" s="547"/>
      <c r="O134" s="547"/>
      <c r="P134" s="547"/>
      <c r="Q134" s="547"/>
      <c r="R134" s="547"/>
      <c r="S134" s="547"/>
      <c r="T134" s="376"/>
      <c r="U134" s="376"/>
      <c r="V134" s="376"/>
      <c r="W134" s="376"/>
    </row>
    <row r="135" spans="1:23" x14ac:dyDescent="0.25">
      <c r="A135" s="547"/>
      <c r="B135" s="1872" t="s">
        <v>699</v>
      </c>
      <c r="C135" s="673">
        <v>47</v>
      </c>
      <c r="D135" s="673">
        <v>17</v>
      </c>
      <c r="E135" s="673">
        <v>15</v>
      </c>
      <c r="F135" s="673">
        <v>20</v>
      </c>
      <c r="G135" s="673">
        <v>8</v>
      </c>
      <c r="H135" s="673">
        <f t="shared" si="26"/>
        <v>14.571895961661637</v>
      </c>
      <c r="I135" s="547"/>
      <c r="J135" s="547"/>
      <c r="K135" s="547"/>
      <c r="L135" s="547"/>
      <c r="M135" s="547"/>
      <c r="N135" s="547"/>
      <c r="O135" s="547"/>
      <c r="P135" s="547"/>
      <c r="Q135" s="547"/>
      <c r="R135" s="547"/>
      <c r="S135" s="547"/>
      <c r="T135" s="376"/>
      <c r="U135" s="376"/>
      <c r="V135" s="376"/>
      <c r="W135" s="376"/>
    </row>
    <row r="136" spans="1:23" x14ac:dyDescent="0.25">
      <c r="A136" s="547"/>
      <c r="B136" s="1872" t="s">
        <v>72</v>
      </c>
      <c r="C136" s="673">
        <v>47</v>
      </c>
      <c r="D136" s="673">
        <v>17</v>
      </c>
      <c r="E136" s="673">
        <v>15</v>
      </c>
      <c r="F136" s="673">
        <v>20</v>
      </c>
      <c r="G136" s="673">
        <v>8</v>
      </c>
      <c r="H136" s="673">
        <f t="shared" si="26"/>
        <v>14.733169230769231</v>
      </c>
      <c r="I136" s="547"/>
      <c r="J136" s="547"/>
      <c r="K136" s="547"/>
      <c r="L136" s="547"/>
      <c r="M136" s="547"/>
      <c r="N136" s="547"/>
      <c r="O136" s="547"/>
      <c r="P136" s="547"/>
      <c r="Q136" s="547"/>
      <c r="R136" s="547"/>
      <c r="S136" s="547"/>
      <c r="T136" s="376"/>
      <c r="U136" s="376"/>
      <c r="V136" s="376"/>
      <c r="W136" s="376"/>
    </row>
    <row r="137" spans="1:23" x14ac:dyDescent="0.25">
      <c r="A137" s="547"/>
      <c r="B137" s="1872" t="s">
        <v>73</v>
      </c>
      <c r="C137" s="547">
        <v>50</v>
      </c>
      <c r="D137" s="547">
        <v>19</v>
      </c>
      <c r="E137" s="547">
        <v>16</v>
      </c>
      <c r="F137" s="547">
        <v>22</v>
      </c>
      <c r="G137" s="547">
        <v>8</v>
      </c>
      <c r="H137" s="673">
        <f t="shared" si="26"/>
        <v>15.367431040382153</v>
      </c>
      <c r="I137" s="547"/>
      <c r="J137" s="547"/>
      <c r="K137" s="547"/>
      <c r="L137" s="547"/>
      <c r="M137" s="547"/>
      <c r="N137" s="547"/>
      <c r="O137" s="547"/>
      <c r="P137" s="547"/>
      <c r="Q137" s="547"/>
      <c r="R137" s="547"/>
      <c r="S137" s="547"/>
      <c r="T137" s="376"/>
      <c r="U137" s="376"/>
      <c r="V137" s="376"/>
      <c r="W137" s="376"/>
    </row>
    <row r="138" spans="1:23" x14ac:dyDescent="0.25">
      <c r="A138" s="547"/>
      <c r="B138" s="1872"/>
      <c r="C138" s="547"/>
      <c r="D138" s="547"/>
      <c r="E138" s="547"/>
      <c r="F138" s="547"/>
      <c r="G138" s="547"/>
      <c r="H138" s="673"/>
      <c r="I138" s="547"/>
      <c r="J138" s="547"/>
      <c r="K138" s="547"/>
      <c r="L138" s="547"/>
      <c r="M138" s="547"/>
      <c r="N138" s="547"/>
      <c r="O138" s="547"/>
      <c r="P138" s="547"/>
      <c r="Q138" s="547"/>
      <c r="R138" s="547"/>
      <c r="S138" s="547"/>
      <c r="T138" s="376"/>
      <c r="U138" s="376"/>
      <c r="V138" s="376"/>
      <c r="W138" s="376"/>
    </row>
    <row r="139" spans="1:23" x14ac:dyDescent="0.25">
      <c r="A139" s="547"/>
      <c r="B139" s="547"/>
      <c r="C139" s="547"/>
      <c r="D139" s="547"/>
      <c r="E139" s="547"/>
      <c r="F139" s="547"/>
      <c r="G139" s="547"/>
      <c r="H139" s="547"/>
      <c r="I139" s="547"/>
      <c r="J139" s="547"/>
      <c r="K139" s="547"/>
      <c r="L139" s="547"/>
      <c r="M139" s="547"/>
      <c r="N139" s="547"/>
      <c r="O139" s="547"/>
      <c r="P139" s="547"/>
      <c r="Q139" s="547"/>
      <c r="R139" s="547"/>
      <c r="S139" s="547"/>
      <c r="T139" s="376"/>
      <c r="U139" s="376"/>
      <c r="V139" s="376"/>
      <c r="W139" s="376"/>
    </row>
    <row r="140" spans="1:23" x14ac:dyDescent="0.25">
      <c r="A140" s="547"/>
      <c r="B140" s="1757" t="s">
        <v>101</v>
      </c>
      <c r="C140" s="547" t="s">
        <v>348</v>
      </c>
      <c r="D140" s="547" t="s">
        <v>349</v>
      </c>
      <c r="E140" s="547" t="s">
        <v>350</v>
      </c>
      <c r="F140" s="547" t="s">
        <v>351</v>
      </c>
      <c r="G140" s="547" t="s">
        <v>352</v>
      </c>
      <c r="H140" s="547" t="s">
        <v>353</v>
      </c>
      <c r="I140" s="1316" t="s">
        <v>707</v>
      </c>
      <c r="J140" s="547"/>
      <c r="K140" s="547"/>
      <c r="L140" s="547"/>
      <c r="M140" s="547"/>
      <c r="N140" s="547"/>
      <c r="O140" s="547"/>
      <c r="P140" s="547"/>
      <c r="Q140" s="547"/>
      <c r="R140" s="547"/>
      <c r="S140" s="547"/>
      <c r="T140" s="376"/>
      <c r="U140" s="376"/>
      <c r="V140" s="376"/>
      <c r="W140" s="376"/>
    </row>
    <row r="141" spans="1:23" x14ac:dyDescent="0.25">
      <c r="A141" s="547"/>
      <c r="B141" s="1757" t="s">
        <v>74</v>
      </c>
      <c r="C141" s="1761">
        <v>69</v>
      </c>
      <c r="D141" s="1761">
        <v>30</v>
      </c>
      <c r="E141" s="1761">
        <v>24</v>
      </c>
      <c r="F141" s="1761">
        <v>24</v>
      </c>
      <c r="G141" s="1761">
        <v>10</v>
      </c>
      <c r="H141" s="1761">
        <v>15</v>
      </c>
      <c r="I141" s="1761">
        <v>20.460090361445783</v>
      </c>
      <c r="J141" s="547"/>
      <c r="K141" s="547"/>
      <c r="L141" s="547"/>
      <c r="M141" s="547"/>
      <c r="N141" s="547"/>
      <c r="O141" s="547"/>
      <c r="P141" s="547"/>
      <c r="Q141" s="547"/>
      <c r="R141" s="547"/>
      <c r="S141" s="547"/>
      <c r="T141" s="376"/>
      <c r="U141" s="376"/>
      <c r="V141" s="376"/>
      <c r="W141" s="376"/>
    </row>
    <row r="142" spans="1:23" x14ac:dyDescent="0.25">
      <c r="A142" s="547"/>
      <c r="B142" s="1757" t="s">
        <v>75</v>
      </c>
      <c r="C142" s="1761">
        <v>69</v>
      </c>
      <c r="D142" s="1761">
        <v>27</v>
      </c>
      <c r="E142" s="1761">
        <v>25</v>
      </c>
      <c r="F142" s="1761">
        <v>25</v>
      </c>
      <c r="G142" s="1761">
        <v>10</v>
      </c>
      <c r="H142" s="1761">
        <v>15</v>
      </c>
      <c r="I142" s="1761">
        <v>20.128223242670433</v>
      </c>
      <c r="J142" s="547"/>
      <c r="K142" s="547"/>
      <c r="L142" s="547"/>
      <c r="M142" s="547"/>
      <c r="N142" s="547"/>
      <c r="O142" s="547"/>
      <c r="P142" s="547"/>
      <c r="Q142" s="547"/>
      <c r="R142" s="547"/>
      <c r="S142" s="547"/>
      <c r="T142" s="376"/>
      <c r="U142" s="376"/>
      <c r="V142" s="376"/>
      <c r="W142" s="376"/>
    </row>
    <row r="143" spans="1:23" x14ac:dyDescent="0.25">
      <c r="A143" s="547"/>
      <c r="B143" s="1760" t="s">
        <v>76</v>
      </c>
      <c r="C143" s="1761">
        <v>55</v>
      </c>
      <c r="D143" s="1761">
        <v>21</v>
      </c>
      <c r="E143" s="1761">
        <v>34</v>
      </c>
      <c r="F143" s="1761">
        <v>34</v>
      </c>
      <c r="G143" s="1761">
        <v>9</v>
      </c>
      <c r="H143" s="1761">
        <v>14</v>
      </c>
      <c r="I143" s="1761">
        <v>24.52764505119454</v>
      </c>
      <c r="J143" s="547"/>
      <c r="K143" s="547"/>
      <c r="L143" s="547"/>
      <c r="M143" s="547"/>
      <c r="N143" s="547"/>
      <c r="O143" s="547"/>
      <c r="P143" s="547"/>
      <c r="Q143" s="547"/>
      <c r="R143" s="547"/>
      <c r="S143" s="547"/>
      <c r="T143" s="376"/>
      <c r="U143" s="376"/>
      <c r="V143" s="376"/>
      <c r="W143" s="376"/>
    </row>
    <row r="144" spans="1:23" x14ac:dyDescent="0.25">
      <c r="A144" s="547"/>
      <c r="B144" s="1760" t="s">
        <v>4</v>
      </c>
      <c r="C144" s="1761">
        <v>58</v>
      </c>
      <c r="D144" s="1761">
        <v>22</v>
      </c>
      <c r="E144" s="1761">
        <v>36</v>
      </c>
      <c r="F144" s="1761">
        <v>36</v>
      </c>
      <c r="G144" s="1761">
        <v>11</v>
      </c>
      <c r="H144" s="1761">
        <v>14</v>
      </c>
      <c r="I144" s="1761">
        <v>26.4382905982906</v>
      </c>
      <c r="J144" s="547"/>
      <c r="K144" s="547"/>
      <c r="L144" s="547"/>
      <c r="M144" s="547"/>
      <c r="N144" s="547"/>
      <c r="O144" s="547"/>
      <c r="P144" s="547"/>
      <c r="Q144" s="547"/>
      <c r="R144" s="547"/>
      <c r="S144" s="547"/>
      <c r="T144" s="376"/>
      <c r="U144" s="376"/>
      <c r="V144" s="376"/>
      <c r="W144" s="376"/>
    </row>
    <row r="145" spans="1:23" x14ac:dyDescent="0.25">
      <c r="A145" s="547"/>
      <c r="B145" s="1760" t="s">
        <v>5</v>
      </c>
      <c r="C145" s="1761">
        <v>117</v>
      </c>
      <c r="D145" s="1761">
        <v>21</v>
      </c>
      <c r="E145" s="1761">
        <v>35</v>
      </c>
      <c r="F145" s="1761">
        <v>35</v>
      </c>
      <c r="G145" s="1761">
        <v>11</v>
      </c>
      <c r="H145" s="1761">
        <v>14</v>
      </c>
      <c r="I145" s="1761">
        <v>26.974034620505993</v>
      </c>
      <c r="J145" s="547"/>
      <c r="K145" s="547"/>
      <c r="L145" s="547"/>
      <c r="M145" s="547"/>
      <c r="N145" s="547"/>
      <c r="O145" s="547"/>
      <c r="P145" s="547"/>
      <c r="Q145" s="547"/>
      <c r="R145" s="547"/>
      <c r="S145" s="547"/>
      <c r="T145" s="376"/>
      <c r="U145" s="376"/>
      <c r="V145" s="376"/>
      <c r="W145" s="376"/>
    </row>
    <row r="146" spans="1:23" x14ac:dyDescent="0.25">
      <c r="A146" s="547"/>
      <c r="B146" s="1760" t="s">
        <v>344</v>
      </c>
      <c r="C146" s="1761">
        <v>120</v>
      </c>
      <c r="D146" s="1761">
        <v>22</v>
      </c>
      <c r="E146" s="1761">
        <v>36</v>
      </c>
      <c r="F146" s="1761">
        <v>36</v>
      </c>
      <c r="G146" s="1761">
        <v>12</v>
      </c>
      <c r="H146" s="1761">
        <v>17</v>
      </c>
      <c r="I146" s="1761">
        <v>28.08588548601864</v>
      </c>
      <c r="J146" s="547"/>
      <c r="K146" s="547"/>
      <c r="L146" s="547"/>
      <c r="M146" s="547"/>
      <c r="N146" s="547"/>
      <c r="O146" s="547"/>
      <c r="P146" s="547"/>
      <c r="Q146" s="547"/>
      <c r="R146" s="547"/>
      <c r="S146" s="547"/>
      <c r="T146" s="376"/>
      <c r="U146" s="376"/>
      <c r="V146" s="376"/>
      <c r="W146" s="376"/>
    </row>
    <row r="147" spans="1:23" x14ac:dyDescent="0.25">
      <c r="A147" s="547"/>
      <c r="B147" s="1760" t="s">
        <v>345</v>
      </c>
      <c r="C147" s="1761">
        <v>121</v>
      </c>
      <c r="D147" s="1761">
        <v>22</v>
      </c>
      <c r="E147" s="1761">
        <v>36</v>
      </c>
      <c r="F147" s="1761">
        <v>36</v>
      </c>
      <c r="G147" s="1761">
        <v>13</v>
      </c>
      <c r="H147" s="1761">
        <v>25</v>
      </c>
      <c r="I147" s="1761">
        <v>29.087882822902792</v>
      </c>
      <c r="J147" s="547"/>
      <c r="K147" s="547"/>
      <c r="L147" s="547"/>
      <c r="M147" s="547"/>
      <c r="N147" s="547"/>
      <c r="O147" s="547"/>
      <c r="P147" s="547"/>
      <c r="Q147" s="547"/>
      <c r="R147" s="547"/>
      <c r="S147" s="547"/>
      <c r="T147" s="376"/>
      <c r="U147" s="376"/>
      <c r="V147" s="376"/>
      <c r="W147" s="376"/>
    </row>
    <row r="148" spans="1:23" x14ac:dyDescent="0.25">
      <c r="A148" s="547"/>
      <c r="B148" s="1762" t="s">
        <v>489</v>
      </c>
      <c r="C148" s="1763">
        <v>110</v>
      </c>
      <c r="D148" s="1763">
        <v>26</v>
      </c>
      <c r="E148" s="1763">
        <v>43</v>
      </c>
      <c r="F148" s="1763">
        <v>43</v>
      </c>
      <c r="G148" s="1763">
        <v>13.69</v>
      </c>
      <c r="H148" s="1763">
        <v>25</v>
      </c>
      <c r="I148" s="1764">
        <v>32.817290279627166</v>
      </c>
      <c r="J148" s="547"/>
      <c r="K148" s="547"/>
      <c r="L148" s="547"/>
      <c r="M148" s="547"/>
      <c r="N148" s="547"/>
      <c r="O148" s="547"/>
      <c r="P148" s="547"/>
      <c r="Q148" s="547"/>
      <c r="R148" s="547"/>
      <c r="S148" s="547"/>
      <c r="T148" s="376"/>
      <c r="U148" s="376"/>
      <c r="V148" s="376"/>
      <c r="W148" s="376"/>
    </row>
    <row r="149" spans="1:23" x14ac:dyDescent="0.25">
      <c r="A149" s="547"/>
      <c r="B149" s="547"/>
      <c r="C149" s="547"/>
      <c r="D149" s="547"/>
      <c r="E149" s="547"/>
      <c r="F149" s="547"/>
      <c r="G149" s="547"/>
      <c r="H149" s="547"/>
      <c r="I149" s="547"/>
      <c r="J149" s="547"/>
      <c r="K149" s="547"/>
      <c r="L149" s="547"/>
      <c r="M149" s="547"/>
      <c r="N149" s="547"/>
      <c r="O149" s="547"/>
      <c r="P149" s="547"/>
      <c r="Q149" s="547"/>
      <c r="R149" s="547"/>
      <c r="S149" s="547"/>
      <c r="T149" s="376"/>
      <c r="U149" s="376"/>
      <c r="V149" s="376"/>
      <c r="W149" s="376"/>
    </row>
    <row r="150" spans="1:23" x14ac:dyDescent="0.25">
      <c r="A150" s="547"/>
      <c r="B150" s="547"/>
      <c r="C150" s="547"/>
      <c r="D150" s="547"/>
      <c r="E150" s="547"/>
      <c r="F150" s="547"/>
      <c r="G150" s="547"/>
      <c r="H150" s="547"/>
      <c r="I150" s="547"/>
      <c r="J150" s="547"/>
      <c r="K150" s="547"/>
      <c r="L150" s="547"/>
      <c r="M150" s="547"/>
      <c r="N150" s="547"/>
      <c r="O150" s="547"/>
      <c r="P150" s="547"/>
      <c r="Q150" s="547"/>
      <c r="R150" s="547"/>
      <c r="S150" s="547"/>
      <c r="T150" s="376"/>
      <c r="U150" s="376"/>
      <c r="V150" s="376"/>
      <c r="W150" s="376"/>
    </row>
    <row r="151" spans="1:23" x14ac:dyDescent="0.25">
      <c r="A151" s="547"/>
      <c r="B151" s="547"/>
      <c r="C151" s="547"/>
      <c r="D151" s="547"/>
      <c r="E151" s="547"/>
      <c r="F151" s="547"/>
      <c r="G151" s="547"/>
      <c r="H151" s="547"/>
      <c r="I151" s="547"/>
      <c r="J151" s="547"/>
      <c r="K151" s="547"/>
      <c r="L151" s="547"/>
      <c r="M151" s="547"/>
      <c r="N151" s="547"/>
      <c r="O151" s="547"/>
      <c r="P151" s="809" t="s">
        <v>489</v>
      </c>
      <c r="Q151" s="547"/>
      <c r="R151" s="547"/>
      <c r="S151" s="547"/>
      <c r="T151" s="376"/>
      <c r="U151" s="376"/>
      <c r="V151" s="376"/>
      <c r="W151" s="376"/>
    </row>
    <row r="152" spans="1:23" x14ac:dyDescent="0.25">
      <c r="A152" s="547"/>
      <c r="B152" s="547"/>
      <c r="C152" s="547"/>
      <c r="D152" s="547"/>
      <c r="E152" s="547"/>
      <c r="F152" s="547"/>
      <c r="G152" s="547"/>
      <c r="H152" s="547"/>
      <c r="I152" s="547"/>
      <c r="J152" s="547"/>
      <c r="K152" s="547"/>
      <c r="L152" s="547"/>
      <c r="M152" s="547"/>
      <c r="N152" s="547"/>
      <c r="O152" s="547"/>
      <c r="P152" s="809">
        <v>973381568</v>
      </c>
      <c r="Q152" s="547"/>
      <c r="R152" s="547"/>
      <c r="S152" s="547"/>
      <c r="T152" s="376"/>
      <c r="U152" s="376"/>
      <c r="V152" s="376"/>
      <c r="W152" s="376"/>
    </row>
    <row r="153" spans="1:23" x14ac:dyDescent="0.25">
      <c r="A153" s="547"/>
      <c r="B153" s="547"/>
      <c r="C153" s="547"/>
      <c r="D153" s="547"/>
      <c r="E153" s="547"/>
      <c r="F153" s="547"/>
      <c r="G153" s="547"/>
      <c r="H153" s="547"/>
      <c r="I153" s="547"/>
      <c r="J153" s="547"/>
      <c r="K153" s="547"/>
      <c r="L153" s="547"/>
      <c r="M153" s="547"/>
      <c r="N153" s="547"/>
      <c r="O153" s="547"/>
      <c r="P153" s="809">
        <v>84155589191</v>
      </c>
      <c r="Q153" s="547"/>
      <c r="R153" s="547"/>
      <c r="S153" s="547"/>
      <c r="T153" s="376"/>
      <c r="U153" s="376"/>
      <c r="V153" s="376"/>
      <c r="W153" s="376"/>
    </row>
    <row r="154" spans="1:23" x14ac:dyDescent="0.25">
      <c r="A154" s="547"/>
      <c r="B154" s="547"/>
      <c r="C154" s="547"/>
      <c r="D154" s="547"/>
      <c r="E154" s="547"/>
      <c r="F154" s="547"/>
      <c r="G154" s="547"/>
      <c r="H154" s="547"/>
      <c r="I154" s="547"/>
      <c r="J154" s="547"/>
      <c r="K154" s="547"/>
      <c r="L154" s="547"/>
      <c r="M154" s="547"/>
      <c r="N154" s="547"/>
      <c r="O154" s="547"/>
      <c r="P154" s="809">
        <v>8777964802</v>
      </c>
      <c r="Q154" s="547"/>
      <c r="R154" s="547"/>
      <c r="S154" s="547"/>
      <c r="T154" s="376"/>
      <c r="U154" s="376"/>
      <c r="V154" s="376"/>
      <c r="W154" s="376"/>
    </row>
    <row r="155" spans="1:23" x14ac:dyDescent="0.25">
      <c r="A155" s="547"/>
      <c r="B155" s="547"/>
      <c r="C155" s="547"/>
      <c r="D155" s="547"/>
      <c r="E155" s="547"/>
      <c r="F155" s="547"/>
      <c r="G155" s="547"/>
      <c r="H155" s="547"/>
      <c r="I155" s="547"/>
      <c r="J155" s="547"/>
      <c r="K155" s="547"/>
      <c r="L155" s="547"/>
      <c r="M155" s="547"/>
      <c r="N155" s="547"/>
      <c r="O155" s="547"/>
      <c r="P155" s="809">
        <v>9.0180100903657134</v>
      </c>
      <c r="Q155" s="547"/>
      <c r="R155" s="547"/>
      <c r="S155" s="547"/>
      <c r="T155" s="376"/>
      <c r="U155" s="376"/>
      <c r="V155" s="376"/>
      <c r="W155" s="376"/>
    </row>
    <row r="156" spans="1:23" x14ac:dyDescent="0.25">
      <c r="A156" s="547"/>
      <c r="B156" s="809" t="s">
        <v>1</v>
      </c>
      <c r="C156" s="809" t="s">
        <v>68</v>
      </c>
      <c r="D156" s="809" t="s">
        <v>69</v>
      </c>
      <c r="E156" s="809" t="s">
        <v>70</v>
      </c>
      <c r="F156" s="809" t="s">
        <v>71</v>
      </c>
      <c r="G156" s="809" t="s">
        <v>72</v>
      </c>
      <c r="H156" s="809" t="s">
        <v>73</v>
      </c>
      <c r="I156" s="809" t="s">
        <v>74</v>
      </c>
      <c r="J156" s="547"/>
      <c r="K156" s="547"/>
      <c r="L156" s="547"/>
      <c r="M156" s="547"/>
      <c r="N156" s="547"/>
      <c r="O156" s="547"/>
      <c r="P156" s="547"/>
      <c r="Q156" s="547"/>
      <c r="R156" s="547"/>
      <c r="S156" s="547"/>
      <c r="T156" s="376"/>
      <c r="U156" s="376"/>
      <c r="V156" s="376"/>
      <c r="W156" s="376"/>
    </row>
    <row r="157" spans="1:23" x14ac:dyDescent="0.25">
      <c r="A157" s="547"/>
      <c r="B157" s="547" t="s">
        <v>65</v>
      </c>
      <c r="C157" s="547">
        <v>516341468</v>
      </c>
      <c r="D157" s="547">
        <v>534119797</v>
      </c>
      <c r="E157" s="547">
        <v>561373380</v>
      </c>
      <c r="F157" s="547">
        <v>591871608</v>
      </c>
      <c r="G157" s="547">
        <v>624381798</v>
      </c>
      <c r="H157" s="547">
        <v>659400104</v>
      </c>
      <c r="I157" s="547">
        <v>691948868</v>
      </c>
      <c r="J157" s="809" t="s">
        <v>75</v>
      </c>
      <c r="K157" s="809" t="s">
        <v>76</v>
      </c>
      <c r="L157" s="809" t="s">
        <v>4</v>
      </c>
      <c r="M157" s="809" t="s">
        <v>5</v>
      </c>
      <c r="N157" s="809" t="s">
        <v>6</v>
      </c>
      <c r="O157" s="809" t="s">
        <v>7</v>
      </c>
      <c r="P157" s="547"/>
      <c r="Q157" s="547"/>
      <c r="R157" s="547"/>
      <c r="S157" s="547"/>
      <c r="T157" s="376"/>
      <c r="U157" s="376"/>
      <c r="V157" s="376"/>
      <c r="W157" s="376"/>
    </row>
    <row r="158" spans="1:23" x14ac:dyDescent="0.25">
      <c r="A158" s="547"/>
      <c r="B158" s="547" t="s">
        <v>343</v>
      </c>
      <c r="C158" s="547">
        <v>50582460208</v>
      </c>
      <c r="D158" s="547">
        <v>52158169497</v>
      </c>
      <c r="E158" s="547">
        <v>54089177055</v>
      </c>
      <c r="F158" s="547">
        <v>56740912048</v>
      </c>
      <c r="G158" s="547">
        <v>59190563180</v>
      </c>
      <c r="H158" s="547">
        <v>61657885237</v>
      </c>
      <c r="I158" s="547">
        <v>64042525435</v>
      </c>
      <c r="J158" s="547">
        <v>733010929</v>
      </c>
      <c r="K158" s="547">
        <v>762631738</v>
      </c>
      <c r="L158" s="547">
        <v>803297137</v>
      </c>
      <c r="M158" s="547">
        <v>852482281</v>
      </c>
      <c r="N158" s="809">
        <v>897727347</v>
      </c>
      <c r="O158" s="809">
        <v>936743859</v>
      </c>
      <c r="P158" s="547"/>
      <c r="Q158" s="547"/>
      <c r="R158" s="547"/>
      <c r="S158" s="547"/>
      <c r="T158" s="376"/>
      <c r="U158" s="376"/>
      <c r="V158" s="376"/>
      <c r="W158" s="376"/>
    </row>
    <row r="159" spans="1:23" x14ac:dyDescent="0.25">
      <c r="A159" s="547"/>
      <c r="B159" s="547" t="s">
        <v>3</v>
      </c>
      <c r="C159" s="547">
        <v>4799456503</v>
      </c>
      <c r="D159" s="547">
        <v>5435175325</v>
      </c>
      <c r="E159" s="547">
        <v>5651309236</v>
      </c>
      <c r="F159" s="547">
        <v>6281071387</v>
      </c>
      <c r="G159" s="547">
        <v>7018559073</v>
      </c>
      <c r="H159" s="547">
        <v>7664991607</v>
      </c>
      <c r="I159" s="547">
        <v>8094174944</v>
      </c>
      <c r="J159" s="547">
        <v>67468607795</v>
      </c>
      <c r="K159" s="547">
        <v>70369213090</v>
      </c>
      <c r="L159" s="547">
        <v>73093309000</v>
      </c>
      <c r="M159" s="547">
        <v>77363704790</v>
      </c>
      <c r="N159" s="809">
        <v>81139818758</v>
      </c>
      <c r="O159" s="809">
        <v>83740259688</v>
      </c>
      <c r="P159" s="547">
        <v>121</v>
      </c>
      <c r="Q159" s="547">
        <v>110</v>
      </c>
      <c r="R159" s="547"/>
      <c r="S159" s="547"/>
      <c r="T159" s="376"/>
      <c r="U159" s="376"/>
      <c r="V159" s="376"/>
      <c r="W159" s="376"/>
    </row>
    <row r="160" spans="1:23" x14ac:dyDescent="0.25">
      <c r="A160" s="547"/>
      <c r="B160" s="547" t="s">
        <v>512</v>
      </c>
      <c r="C160" s="547">
        <v>9.2951211561415796</v>
      </c>
      <c r="D160" s="547">
        <v>10.175948084171088</v>
      </c>
      <c r="E160" s="547">
        <v>10.066934837558561</v>
      </c>
      <c r="F160" s="547">
        <v>10.612219444390041</v>
      </c>
      <c r="G160" s="547">
        <v>11.240813065790237</v>
      </c>
      <c r="H160" s="547">
        <v>11.624189260061142</v>
      </c>
      <c r="I160" s="547">
        <v>11.697648942464921</v>
      </c>
      <c r="J160" s="547">
        <v>8013483226</v>
      </c>
      <c r="K160" s="547">
        <v>8250323893</v>
      </c>
      <c r="L160" s="547">
        <v>8303500918</v>
      </c>
      <c r="M160" s="547">
        <v>8376264432</v>
      </c>
      <c r="N160" s="809">
        <v>8621421130</v>
      </c>
      <c r="O160" s="809">
        <v>8880735344</v>
      </c>
      <c r="P160" s="547">
        <v>22</v>
      </c>
      <c r="Q160" s="547">
        <v>26</v>
      </c>
      <c r="R160" s="547"/>
      <c r="S160" s="547"/>
      <c r="T160" s="376"/>
      <c r="U160" s="376"/>
      <c r="V160" s="376"/>
      <c r="W160" s="376"/>
    </row>
    <row r="161" spans="1:23" x14ac:dyDescent="0.25">
      <c r="A161" s="547"/>
      <c r="B161" s="547"/>
      <c r="C161" s="547"/>
      <c r="D161" s="547"/>
      <c r="E161" s="547"/>
      <c r="F161" s="547"/>
      <c r="G161" s="547"/>
      <c r="H161" s="547"/>
      <c r="I161" s="547"/>
      <c r="J161" s="547">
        <v>10.932283420292633</v>
      </c>
      <c r="K161" s="547">
        <v>10.818227831215699</v>
      </c>
      <c r="L161" s="547">
        <v>10.336773947695521</v>
      </c>
      <c r="M161" s="547">
        <v>9.8257343509524517</v>
      </c>
      <c r="N161" s="809">
        <v>9.6036075527952036</v>
      </c>
      <c r="O161" s="809">
        <v>9.4804308121970831</v>
      </c>
      <c r="P161" s="547">
        <v>36</v>
      </c>
      <c r="Q161" s="547">
        <v>43</v>
      </c>
      <c r="R161" s="547"/>
      <c r="S161" s="547"/>
      <c r="T161" s="376"/>
      <c r="U161" s="376"/>
      <c r="V161" s="376"/>
      <c r="W161" s="376"/>
    </row>
    <row r="162" spans="1:23" x14ac:dyDescent="0.25">
      <c r="A162" s="547"/>
      <c r="B162" s="547"/>
      <c r="C162" s="547"/>
      <c r="D162" s="547"/>
      <c r="E162" s="547"/>
      <c r="F162" s="547"/>
      <c r="G162" s="547"/>
      <c r="H162" s="547"/>
      <c r="I162" s="547"/>
      <c r="J162" s="547"/>
      <c r="K162" s="547"/>
      <c r="L162" s="547"/>
      <c r="M162" s="547"/>
      <c r="N162" s="547"/>
      <c r="O162" s="547"/>
      <c r="P162" s="547">
        <v>36</v>
      </c>
      <c r="Q162" s="547">
        <v>43</v>
      </c>
      <c r="R162" s="547"/>
      <c r="S162" s="547"/>
      <c r="T162" s="376"/>
      <c r="U162" s="376"/>
      <c r="V162" s="376"/>
      <c r="W162" s="376"/>
    </row>
    <row r="163" spans="1:23" x14ac:dyDescent="0.25">
      <c r="A163" s="547"/>
      <c r="B163" s="1727" t="s">
        <v>354</v>
      </c>
      <c r="C163" s="1727" t="s">
        <v>68</v>
      </c>
      <c r="D163" s="1727" t="s">
        <v>69</v>
      </c>
      <c r="E163" s="1727" t="s">
        <v>70</v>
      </c>
      <c r="F163" s="1727" t="s">
        <v>699</v>
      </c>
      <c r="G163" s="1727" t="s">
        <v>72</v>
      </c>
      <c r="H163" s="1727" t="s">
        <v>73</v>
      </c>
      <c r="I163" s="547"/>
      <c r="J163" s="547"/>
      <c r="K163" s="547"/>
      <c r="L163" s="547"/>
      <c r="M163" s="547"/>
      <c r="N163" s="547"/>
      <c r="O163" s="547"/>
      <c r="P163" s="547">
        <v>13</v>
      </c>
      <c r="Q163" s="547">
        <v>13.69</v>
      </c>
      <c r="R163" s="547"/>
      <c r="S163" s="547"/>
      <c r="T163" s="376"/>
      <c r="U163" s="376"/>
      <c r="V163" s="376"/>
      <c r="W163" s="376"/>
    </row>
    <row r="164" spans="1:23" x14ac:dyDescent="0.25">
      <c r="A164" s="547"/>
      <c r="B164" s="1727" t="s">
        <v>694</v>
      </c>
      <c r="C164" s="1727">
        <v>47</v>
      </c>
      <c r="D164" s="1727">
        <v>47</v>
      </c>
      <c r="E164" s="1727">
        <v>47</v>
      </c>
      <c r="F164" s="1727">
        <v>47</v>
      </c>
      <c r="G164" s="1727">
        <v>47</v>
      </c>
      <c r="H164" s="1727">
        <v>50</v>
      </c>
      <c r="I164" s="547">
        <v>69</v>
      </c>
      <c r="J164" s="547"/>
      <c r="K164" s="547"/>
      <c r="L164" s="547"/>
      <c r="M164" s="547"/>
      <c r="N164" s="547"/>
      <c r="O164" s="547"/>
      <c r="P164" s="547">
        <v>25</v>
      </c>
      <c r="Q164" s="547">
        <v>25</v>
      </c>
      <c r="R164" s="547"/>
      <c r="S164" s="547"/>
      <c r="T164" s="376"/>
      <c r="U164" s="376"/>
      <c r="V164" s="376"/>
      <c r="W164" s="376"/>
    </row>
    <row r="165" spans="1:23" x14ac:dyDescent="0.25">
      <c r="A165" s="547"/>
      <c r="B165" s="1727" t="s">
        <v>695</v>
      </c>
      <c r="C165" s="1727">
        <v>17</v>
      </c>
      <c r="D165" s="1727">
        <v>17</v>
      </c>
      <c r="E165" s="1727">
        <v>17</v>
      </c>
      <c r="F165" s="1727">
        <v>17</v>
      </c>
      <c r="G165" s="1727">
        <v>17</v>
      </c>
      <c r="H165" s="1727">
        <v>19</v>
      </c>
      <c r="I165" s="547">
        <v>30</v>
      </c>
      <c r="J165" s="547">
        <v>69</v>
      </c>
      <c r="K165" s="547">
        <v>55</v>
      </c>
      <c r="L165" s="547">
        <v>58</v>
      </c>
      <c r="M165" s="547">
        <v>117</v>
      </c>
      <c r="N165" s="547">
        <v>120</v>
      </c>
      <c r="O165" s="547">
        <v>120</v>
      </c>
      <c r="P165" s="547">
        <v>29.087882822902792</v>
      </c>
      <c r="Q165" s="547">
        <v>32.817290279627166</v>
      </c>
      <c r="R165" s="547"/>
      <c r="S165" s="547"/>
      <c r="T165" s="376"/>
      <c r="U165" s="376"/>
      <c r="V165" s="376"/>
      <c r="W165" s="376"/>
    </row>
    <row r="166" spans="1:23" x14ac:dyDescent="0.25">
      <c r="A166" s="547"/>
      <c r="B166" s="1727" t="s">
        <v>696</v>
      </c>
      <c r="C166" s="1727">
        <v>15</v>
      </c>
      <c r="D166" s="1727">
        <v>15</v>
      </c>
      <c r="E166" s="1727">
        <v>15</v>
      </c>
      <c r="F166" s="1727">
        <v>15</v>
      </c>
      <c r="G166" s="1727">
        <v>15</v>
      </c>
      <c r="H166" s="1727">
        <v>16</v>
      </c>
      <c r="I166" s="547">
        <v>24</v>
      </c>
      <c r="J166" s="547">
        <v>27</v>
      </c>
      <c r="K166" s="547">
        <v>21</v>
      </c>
      <c r="L166" s="547">
        <v>22</v>
      </c>
      <c r="M166" s="547">
        <v>21</v>
      </c>
      <c r="N166" s="547">
        <v>22</v>
      </c>
      <c r="O166" s="547">
        <v>22</v>
      </c>
      <c r="P166" s="547"/>
      <c r="Q166" s="547"/>
      <c r="R166" s="547"/>
      <c r="S166" s="547"/>
      <c r="T166" s="376"/>
      <c r="U166" s="376"/>
      <c r="V166" s="376"/>
      <c r="W166" s="376"/>
    </row>
    <row r="167" spans="1:23" x14ac:dyDescent="0.25">
      <c r="A167" s="547"/>
      <c r="B167" s="1727" t="s">
        <v>697</v>
      </c>
      <c r="C167" s="1727">
        <v>20</v>
      </c>
      <c r="D167" s="1727">
        <v>20</v>
      </c>
      <c r="E167" s="1727">
        <v>20</v>
      </c>
      <c r="F167" s="1727">
        <v>20</v>
      </c>
      <c r="G167" s="1727">
        <v>20</v>
      </c>
      <c r="H167" s="1727">
        <v>22</v>
      </c>
      <c r="I167" s="547">
        <v>24</v>
      </c>
      <c r="J167" s="547">
        <v>25</v>
      </c>
      <c r="K167" s="547">
        <v>34</v>
      </c>
      <c r="L167" s="547">
        <v>36</v>
      </c>
      <c r="M167" s="547">
        <v>35</v>
      </c>
      <c r="N167" s="547">
        <v>36</v>
      </c>
      <c r="O167" s="547">
        <v>36</v>
      </c>
      <c r="P167" s="547"/>
      <c r="Q167" s="547"/>
      <c r="R167" s="547"/>
      <c r="S167" s="547"/>
      <c r="T167" s="376"/>
      <c r="U167" s="376"/>
      <c r="V167" s="376"/>
      <c r="W167" s="376"/>
    </row>
    <row r="168" spans="1:23" x14ac:dyDescent="0.25">
      <c r="A168" s="547"/>
      <c r="B168" s="1727" t="s">
        <v>698</v>
      </c>
      <c r="C168" s="1727" t="s">
        <v>701</v>
      </c>
      <c r="D168" s="1727" t="s">
        <v>701</v>
      </c>
      <c r="E168" s="1727" t="s">
        <v>701</v>
      </c>
      <c r="F168" s="1727">
        <v>8</v>
      </c>
      <c r="G168" s="1727">
        <v>8</v>
      </c>
      <c r="H168" s="1727">
        <v>8</v>
      </c>
      <c r="I168" s="547">
        <v>10</v>
      </c>
      <c r="J168" s="547">
        <v>25</v>
      </c>
      <c r="K168" s="547">
        <v>34</v>
      </c>
      <c r="L168" s="547">
        <v>36</v>
      </c>
      <c r="M168" s="547">
        <v>35</v>
      </c>
      <c r="N168" s="547">
        <v>36</v>
      </c>
      <c r="O168" s="547">
        <v>36</v>
      </c>
      <c r="P168" s="547">
        <v>5843.554644558063</v>
      </c>
      <c r="Q168" s="547">
        <v>6068.3067462718363</v>
      </c>
      <c r="R168" s="547"/>
      <c r="S168" s="547"/>
      <c r="T168" s="376"/>
      <c r="U168" s="376"/>
      <c r="V168" s="376"/>
      <c r="W168" s="376"/>
    </row>
    <row r="169" spans="1:23" x14ac:dyDescent="0.25">
      <c r="A169" s="547"/>
      <c r="B169" s="547" t="s">
        <v>780</v>
      </c>
      <c r="C169" s="1727"/>
      <c r="D169" s="1727"/>
      <c r="E169" s="1727"/>
      <c r="F169" s="1727"/>
      <c r="G169" s="1727"/>
      <c r="H169" s="1727"/>
      <c r="I169" s="547">
        <v>15</v>
      </c>
      <c r="J169" s="547">
        <v>10</v>
      </c>
      <c r="K169" s="547">
        <v>9</v>
      </c>
      <c r="L169" s="547">
        <v>11</v>
      </c>
      <c r="M169" s="547">
        <v>11</v>
      </c>
      <c r="N169" s="547">
        <v>12</v>
      </c>
      <c r="O169" s="547">
        <v>12</v>
      </c>
      <c r="P169" s="547">
        <v>18212.411975539297</v>
      </c>
      <c r="Q169" s="547">
        <v>18912.889359213888</v>
      </c>
      <c r="R169" s="547"/>
      <c r="S169" s="547"/>
      <c r="T169" s="376"/>
      <c r="U169" s="376"/>
      <c r="V169" s="376"/>
      <c r="W169" s="376"/>
    </row>
    <row r="170" spans="1:23" x14ac:dyDescent="0.25">
      <c r="A170" s="547"/>
      <c r="B170" s="1727" t="s">
        <v>707</v>
      </c>
      <c r="C170" s="1727">
        <v>17.541</v>
      </c>
      <c r="D170" s="1727">
        <v>17.541</v>
      </c>
      <c r="E170" s="1727">
        <v>17.228000000000002</v>
      </c>
      <c r="F170" s="1727">
        <v>14.571895961661637</v>
      </c>
      <c r="G170" s="1727">
        <v>14.733169230769231</v>
      </c>
      <c r="H170" s="1727">
        <v>15.367431040382153</v>
      </c>
      <c r="I170" s="547">
        <v>20.460090361445783</v>
      </c>
      <c r="J170" s="547">
        <v>15</v>
      </c>
      <c r="K170" s="547">
        <v>14</v>
      </c>
      <c r="L170" s="547">
        <v>14</v>
      </c>
      <c r="M170" s="547">
        <v>14</v>
      </c>
      <c r="N170" s="547">
        <v>17</v>
      </c>
      <c r="O170" s="547">
        <v>17</v>
      </c>
      <c r="P170" s="547">
        <v>154659.41292597007</v>
      </c>
      <c r="Q170" s="547">
        <v>160607.85188466127</v>
      </c>
      <c r="R170" s="547"/>
      <c r="S170" s="547"/>
      <c r="T170" s="376"/>
      <c r="U170" s="376"/>
      <c r="V170" s="376"/>
      <c r="W170" s="376"/>
    </row>
    <row r="171" spans="1:23" x14ac:dyDescent="0.25">
      <c r="A171" s="547"/>
      <c r="B171" s="547"/>
      <c r="C171" s="547"/>
      <c r="D171" s="547"/>
      <c r="E171" s="547"/>
      <c r="F171" s="547"/>
      <c r="G171" s="547"/>
      <c r="H171" s="547"/>
      <c r="I171" s="547"/>
      <c r="J171" s="547">
        <v>20.128223242670433</v>
      </c>
      <c r="K171" s="547">
        <v>24.52764505119454</v>
      </c>
      <c r="L171" s="547">
        <v>26.4382905982906</v>
      </c>
      <c r="M171" s="547">
        <v>26.974034620505993</v>
      </c>
      <c r="N171" s="547">
        <v>28.085885486018643</v>
      </c>
      <c r="O171" s="547">
        <v>28.08588548601864</v>
      </c>
      <c r="P171" s="547">
        <v>5356.5917575115582</v>
      </c>
      <c r="Q171" s="547">
        <v>5562.6145174158491</v>
      </c>
      <c r="R171" s="547"/>
      <c r="S171" s="547"/>
      <c r="T171" s="376"/>
      <c r="U171" s="376"/>
      <c r="V171" s="376"/>
      <c r="W171" s="376"/>
    </row>
    <row r="172" spans="1:23" x14ac:dyDescent="0.25">
      <c r="A172" s="547"/>
      <c r="B172" s="547" t="s">
        <v>354</v>
      </c>
      <c r="C172" s="547" t="s">
        <v>68</v>
      </c>
      <c r="D172" s="547" t="s">
        <v>69</v>
      </c>
      <c r="E172" s="547" t="s">
        <v>70</v>
      </c>
      <c r="F172" s="547" t="s">
        <v>699</v>
      </c>
      <c r="G172" s="547" t="s">
        <v>72</v>
      </c>
      <c r="H172" s="547" t="s">
        <v>73</v>
      </c>
      <c r="I172" s="547"/>
      <c r="J172" s="547"/>
      <c r="K172" s="547"/>
      <c r="L172" s="547"/>
      <c r="M172" s="547"/>
      <c r="N172" s="547"/>
      <c r="O172" s="547"/>
      <c r="P172" s="547">
        <v>97976.932873756858</v>
      </c>
      <c r="Q172" s="547">
        <v>101745.27644582445</v>
      </c>
      <c r="R172" s="547"/>
      <c r="S172" s="547"/>
      <c r="T172" s="376"/>
      <c r="U172" s="376"/>
      <c r="V172" s="376"/>
      <c r="W172" s="376"/>
    </row>
    <row r="173" spans="1:23" x14ac:dyDescent="0.25">
      <c r="A173" s="547"/>
      <c r="B173" s="547" t="s">
        <v>694</v>
      </c>
      <c r="C173" s="547">
        <v>11067000</v>
      </c>
      <c r="D173" s="547">
        <v>11143500</v>
      </c>
      <c r="E173" s="547">
        <v>8580000</v>
      </c>
      <c r="F173" s="547">
        <v>9982000</v>
      </c>
      <c r="G173" s="547">
        <v>12050000</v>
      </c>
      <c r="H173" s="547">
        <v>12309101</v>
      </c>
      <c r="I173" s="547">
        <v>5800</v>
      </c>
      <c r="J173" s="547"/>
      <c r="K173" s="547"/>
      <c r="L173" s="547"/>
      <c r="M173" s="547"/>
      <c r="N173" s="547"/>
      <c r="O173" s="547"/>
      <c r="P173" s="547">
        <v>10518.398360204514</v>
      </c>
      <c r="Q173" s="547">
        <v>10922.952143289305</v>
      </c>
      <c r="R173" s="547"/>
      <c r="S173" s="547"/>
      <c r="T173" s="376"/>
      <c r="U173" s="376"/>
      <c r="V173" s="376"/>
      <c r="W173" s="376"/>
    </row>
    <row r="174" spans="1:23" x14ac:dyDescent="0.25">
      <c r="A174" s="547"/>
      <c r="B174" s="547" t="s">
        <v>695</v>
      </c>
      <c r="C174" s="547">
        <v>19964000</v>
      </c>
      <c r="D174" s="547">
        <v>20102000</v>
      </c>
      <c r="E174" s="547">
        <v>17600000</v>
      </c>
      <c r="F174" s="547">
        <v>22568000</v>
      </c>
      <c r="G174" s="547">
        <v>21690000</v>
      </c>
      <c r="H174" s="547">
        <v>22144330</v>
      </c>
      <c r="I174" s="547">
        <v>12500</v>
      </c>
      <c r="J174" s="547">
        <v>6000</v>
      </c>
      <c r="K174" s="547">
        <v>5900</v>
      </c>
      <c r="L174" s="547">
        <v>5900</v>
      </c>
      <c r="M174" s="547">
        <v>6000</v>
      </c>
      <c r="N174" s="547">
        <v>6000</v>
      </c>
      <c r="O174" s="547">
        <v>5452.0059422045697</v>
      </c>
      <c r="P174" s="547">
        <v>292567.30253754038</v>
      </c>
      <c r="Q174" s="547">
        <v>303819.89109667658</v>
      </c>
      <c r="R174" s="547"/>
      <c r="S174" s="547"/>
      <c r="T174" s="376"/>
      <c r="U174" s="376"/>
      <c r="V174" s="376"/>
      <c r="W174" s="376"/>
    </row>
    <row r="175" spans="1:23" x14ac:dyDescent="0.25">
      <c r="A175" s="547"/>
      <c r="B175" s="547" t="s">
        <v>696</v>
      </c>
      <c r="C175" s="547">
        <v>154504000</v>
      </c>
      <c r="D175" s="547">
        <v>155572000</v>
      </c>
      <c r="E175" s="547">
        <v>157740000</v>
      </c>
      <c r="F175" s="547">
        <v>169476992</v>
      </c>
      <c r="G175" s="547">
        <v>192800000</v>
      </c>
      <c r="H175" s="547">
        <v>203774040</v>
      </c>
      <c r="I175" s="547">
        <v>148300</v>
      </c>
      <c r="J175" s="547">
        <v>14000</v>
      </c>
      <c r="K175" s="547">
        <v>15100</v>
      </c>
      <c r="L175" s="547">
        <v>16200</v>
      </c>
      <c r="M175" s="547">
        <v>18700</v>
      </c>
      <c r="N175" s="547">
        <v>18700</v>
      </c>
      <c r="O175" s="547">
        <v>16992.085186537577</v>
      </c>
      <c r="P175" s="547"/>
      <c r="Q175" s="547"/>
      <c r="R175" s="547"/>
      <c r="S175" s="547"/>
      <c r="T175" s="376"/>
      <c r="U175" s="376"/>
      <c r="V175" s="376"/>
      <c r="W175" s="376"/>
    </row>
    <row r="176" spans="1:23" x14ac:dyDescent="0.25">
      <c r="A176" s="547"/>
      <c r="B176" s="547" t="s">
        <v>697</v>
      </c>
      <c r="C176" s="547">
        <v>31465000</v>
      </c>
      <c r="D176" s="547">
        <v>31682500</v>
      </c>
      <c r="E176" s="547">
        <v>36080000</v>
      </c>
      <c r="F176" s="547">
        <v>14973000</v>
      </c>
      <c r="G176" s="547">
        <v>14460000</v>
      </c>
      <c r="H176" s="547">
        <v>11905659</v>
      </c>
      <c r="I176" s="547">
        <v>4200</v>
      </c>
      <c r="J176" s="547">
        <v>153900</v>
      </c>
      <c r="K176" s="547">
        <v>156600</v>
      </c>
      <c r="L176" s="547">
        <v>155800</v>
      </c>
      <c r="M176" s="547">
        <v>158800</v>
      </c>
      <c r="N176" s="547">
        <v>158800</v>
      </c>
      <c r="O176" s="547">
        <v>144296.42393701427</v>
      </c>
      <c r="P176" s="547"/>
      <c r="Q176" s="547"/>
      <c r="R176" s="547"/>
      <c r="S176" s="547"/>
      <c r="T176" s="376"/>
      <c r="U176" s="376"/>
      <c r="V176" s="376"/>
      <c r="W176" s="376"/>
    </row>
    <row r="177" spans="1:23" x14ac:dyDescent="0.25">
      <c r="A177" s="547"/>
      <c r="B177" s="547" t="s">
        <v>698</v>
      </c>
      <c r="C177" s="547" t="s">
        <v>701</v>
      </c>
      <c r="D177" s="547" t="s">
        <v>701</v>
      </c>
      <c r="E177" s="547" t="s">
        <v>701</v>
      </c>
      <c r="F177" s="547">
        <v>81000000</v>
      </c>
      <c r="G177" s="547">
        <v>84000000</v>
      </c>
      <c r="H177" s="547">
        <v>96994845</v>
      </c>
      <c r="I177" s="547">
        <v>84600</v>
      </c>
      <c r="J177" s="547">
        <v>4800</v>
      </c>
      <c r="K177" s="547">
        <v>5000</v>
      </c>
      <c r="L177" s="547">
        <v>4800</v>
      </c>
      <c r="M177" s="547">
        <v>5500</v>
      </c>
      <c r="N177" s="547">
        <v>5500</v>
      </c>
      <c r="O177" s="547">
        <v>4997.6721136875221</v>
      </c>
      <c r="P177" s="547"/>
      <c r="Q177" s="547"/>
      <c r="R177" s="547"/>
      <c r="S177" s="547"/>
      <c r="T177" s="376"/>
      <c r="U177" s="376"/>
      <c r="V177" s="376"/>
      <c r="W177" s="376"/>
    </row>
    <row r="178" spans="1:23" x14ac:dyDescent="0.25">
      <c r="A178" s="547"/>
      <c r="B178" s="547" t="s">
        <v>780</v>
      </c>
      <c r="C178" s="547"/>
      <c r="D178" s="547"/>
      <c r="E178" s="547"/>
      <c r="F178" s="547"/>
      <c r="G178" s="547"/>
      <c r="H178" s="547"/>
      <c r="I178" s="547">
        <v>10200</v>
      </c>
      <c r="J178" s="547">
        <v>93700</v>
      </c>
      <c r="K178" s="547">
        <v>99000</v>
      </c>
      <c r="L178" s="547">
        <v>98500</v>
      </c>
      <c r="M178" s="547">
        <v>100600</v>
      </c>
      <c r="N178" s="547">
        <v>100600</v>
      </c>
      <c r="O178" s="547">
        <v>91411.966297629959</v>
      </c>
      <c r="P178" s="547"/>
      <c r="Q178" s="547"/>
      <c r="R178" s="547"/>
      <c r="S178" s="547"/>
      <c r="T178" s="376"/>
      <c r="U178" s="376"/>
      <c r="V178" s="376"/>
      <c r="W178" s="376"/>
    </row>
    <row r="179" spans="1:23" x14ac:dyDescent="0.25">
      <c r="A179" s="547"/>
      <c r="B179" s="547" t="s">
        <v>48</v>
      </c>
      <c r="C179" s="547">
        <v>217000</v>
      </c>
      <c r="D179" s="547">
        <v>218500</v>
      </c>
      <c r="E179" s="547">
        <v>220000</v>
      </c>
      <c r="F179" s="547">
        <v>297999.99200000003</v>
      </c>
      <c r="G179" s="547">
        <v>325000</v>
      </c>
      <c r="H179" s="547">
        <v>347127.97499999998</v>
      </c>
      <c r="I179" s="547">
        <v>265600</v>
      </c>
      <c r="J179" s="547">
        <v>10700</v>
      </c>
      <c r="K179" s="547">
        <v>11400</v>
      </c>
      <c r="L179" s="547">
        <v>11300</v>
      </c>
      <c r="M179" s="547">
        <v>10800</v>
      </c>
      <c r="N179" s="547">
        <v>10800</v>
      </c>
      <c r="O179" s="547">
        <v>9813.6106959682256</v>
      </c>
      <c r="P179" s="547"/>
      <c r="Q179" s="547"/>
      <c r="R179" s="547"/>
      <c r="S179" s="547"/>
      <c r="T179" s="376"/>
      <c r="U179" s="376"/>
      <c r="V179" s="376"/>
      <c r="W179" s="376"/>
    </row>
    <row r="180" spans="1:23" x14ac:dyDescent="0.25">
      <c r="A180" s="547"/>
      <c r="B180" s="547"/>
      <c r="C180" s="547"/>
      <c r="D180" s="547"/>
      <c r="E180" s="547"/>
      <c r="F180" s="547"/>
      <c r="G180" s="547"/>
      <c r="H180" s="547"/>
      <c r="I180" s="547"/>
      <c r="J180" s="547">
        <v>283100</v>
      </c>
      <c r="K180" s="547">
        <v>293000</v>
      </c>
      <c r="L180" s="547">
        <v>292500</v>
      </c>
      <c r="M180" s="547">
        <v>300400</v>
      </c>
      <c r="N180" s="547">
        <v>300400</v>
      </c>
      <c r="O180" s="547">
        <v>272963.76417304215</v>
      </c>
      <c r="P180" s="547"/>
      <c r="Q180" s="547"/>
      <c r="R180" s="547"/>
      <c r="S180" s="547"/>
      <c r="T180" s="376"/>
      <c r="U180" s="376"/>
      <c r="V180" s="376"/>
      <c r="W180" s="376"/>
    </row>
    <row r="181" spans="1:23" x14ac:dyDescent="0.25">
      <c r="A181" s="547"/>
      <c r="B181" s="547"/>
      <c r="C181" s="547"/>
      <c r="D181" s="547"/>
      <c r="E181" s="547"/>
      <c r="F181" s="547"/>
      <c r="G181" s="547"/>
      <c r="H181" s="547"/>
      <c r="I181" s="547"/>
      <c r="J181" s="547"/>
      <c r="K181" s="547"/>
      <c r="L181" s="547"/>
      <c r="M181" s="547"/>
      <c r="N181" s="547"/>
      <c r="O181" s="547"/>
      <c r="P181" s="547"/>
      <c r="Q181" s="547"/>
      <c r="R181" s="547"/>
      <c r="S181" s="547"/>
      <c r="T181" s="376"/>
      <c r="U181" s="376"/>
      <c r="V181" s="376"/>
      <c r="W181" s="376"/>
    </row>
    <row r="182" spans="1:23" x14ac:dyDescent="0.25">
      <c r="A182" s="547"/>
      <c r="B182" s="547"/>
      <c r="C182" s="547"/>
      <c r="D182" s="547"/>
      <c r="E182" s="547"/>
      <c r="F182" s="547"/>
      <c r="G182" s="547"/>
      <c r="H182" s="547"/>
      <c r="I182" s="547"/>
      <c r="J182" s="547"/>
      <c r="K182" s="547"/>
      <c r="L182" s="547"/>
      <c r="M182" s="547"/>
      <c r="N182" s="547"/>
      <c r="O182" s="547"/>
      <c r="P182" s="547"/>
      <c r="Q182" s="547"/>
      <c r="R182" s="547"/>
      <c r="S182" s="547"/>
      <c r="T182" s="376"/>
      <c r="U182" s="376"/>
      <c r="V182" s="376"/>
      <c r="W182" s="376"/>
    </row>
    <row r="183" spans="1:23" x14ac:dyDescent="0.25">
      <c r="A183" s="547"/>
      <c r="B183" s="547"/>
      <c r="C183" s="547"/>
      <c r="D183" s="547"/>
      <c r="E183" s="547"/>
      <c r="F183" s="547"/>
      <c r="G183" s="547"/>
      <c r="H183" s="547"/>
      <c r="I183" s="547"/>
      <c r="J183" s="547"/>
      <c r="K183" s="547"/>
      <c r="L183" s="547"/>
      <c r="M183" s="547"/>
      <c r="N183" s="547"/>
      <c r="O183" s="547"/>
      <c r="P183" s="547"/>
      <c r="Q183" s="547"/>
      <c r="R183" s="547"/>
      <c r="S183" s="547"/>
      <c r="T183" s="376"/>
      <c r="U183" s="376"/>
      <c r="V183" s="376"/>
      <c r="W183" s="376"/>
    </row>
    <row r="184" spans="1:23" x14ac:dyDescent="0.25">
      <c r="A184" s="547"/>
      <c r="B184" s="547">
        <v>69</v>
      </c>
      <c r="C184" s="547">
        <v>69</v>
      </c>
      <c r="D184" s="547">
        <v>55</v>
      </c>
      <c r="E184" s="547">
        <v>58</v>
      </c>
      <c r="F184" s="547">
        <v>117</v>
      </c>
      <c r="G184" s="547">
        <v>120</v>
      </c>
      <c r="H184" s="547">
        <v>120</v>
      </c>
      <c r="I184" s="547">
        <v>121</v>
      </c>
      <c r="J184" s="547"/>
      <c r="K184" s="547"/>
      <c r="L184" s="547"/>
      <c r="M184" s="547"/>
      <c r="N184" s="547"/>
      <c r="O184" s="547"/>
      <c r="P184" s="547"/>
      <c r="Q184" s="547"/>
      <c r="R184" s="547"/>
      <c r="S184" s="547"/>
      <c r="T184" s="376"/>
      <c r="U184" s="376"/>
      <c r="V184" s="376"/>
      <c r="W184" s="376"/>
    </row>
    <row r="185" spans="1:23" x14ac:dyDescent="0.25">
      <c r="A185" s="547"/>
      <c r="B185" s="547">
        <v>30</v>
      </c>
      <c r="C185" s="547">
        <v>27</v>
      </c>
      <c r="D185" s="547">
        <v>21</v>
      </c>
      <c r="E185" s="547">
        <v>22</v>
      </c>
      <c r="F185" s="547">
        <v>21</v>
      </c>
      <c r="G185" s="547">
        <v>22</v>
      </c>
      <c r="H185" s="547">
        <v>22</v>
      </c>
      <c r="I185" s="547">
        <v>22</v>
      </c>
      <c r="J185" s="547">
        <v>110</v>
      </c>
      <c r="K185" s="547"/>
      <c r="L185" s="547"/>
      <c r="M185" s="547"/>
      <c r="N185" s="547"/>
      <c r="O185" s="547"/>
      <c r="P185" s="547"/>
      <c r="Q185" s="547"/>
      <c r="R185" s="547"/>
      <c r="S185" s="547"/>
      <c r="T185" s="376"/>
      <c r="U185" s="376"/>
      <c r="V185" s="376"/>
      <c r="W185" s="376"/>
    </row>
    <row r="186" spans="1:23" x14ac:dyDescent="0.25">
      <c r="A186" s="547"/>
      <c r="B186" s="547">
        <v>24</v>
      </c>
      <c r="C186" s="547">
        <v>25</v>
      </c>
      <c r="D186" s="547">
        <v>34</v>
      </c>
      <c r="E186" s="547">
        <v>36</v>
      </c>
      <c r="F186" s="547">
        <v>35</v>
      </c>
      <c r="G186" s="547">
        <v>36</v>
      </c>
      <c r="H186" s="547">
        <v>36</v>
      </c>
      <c r="I186" s="547">
        <v>36</v>
      </c>
      <c r="J186" s="547">
        <v>26</v>
      </c>
      <c r="K186" s="547"/>
      <c r="L186" s="547"/>
      <c r="M186" s="547"/>
      <c r="N186" s="547"/>
      <c r="O186" s="547"/>
      <c r="P186" s="547"/>
      <c r="Q186" s="547"/>
      <c r="R186" s="547"/>
      <c r="S186" s="547"/>
      <c r="T186" s="376"/>
      <c r="U186" s="376"/>
      <c r="V186" s="376"/>
      <c r="W186" s="376"/>
    </row>
    <row r="187" spans="1:23" x14ac:dyDescent="0.25">
      <c r="A187" s="547"/>
      <c r="B187" s="547">
        <v>24</v>
      </c>
      <c r="C187" s="547">
        <v>25</v>
      </c>
      <c r="D187" s="547">
        <v>34</v>
      </c>
      <c r="E187" s="547">
        <v>36</v>
      </c>
      <c r="F187" s="547">
        <v>35</v>
      </c>
      <c r="G187" s="547">
        <v>36</v>
      </c>
      <c r="H187" s="547">
        <v>36</v>
      </c>
      <c r="I187" s="547">
        <v>36</v>
      </c>
      <c r="J187" s="547">
        <v>43</v>
      </c>
      <c r="K187" s="547"/>
      <c r="L187" s="547"/>
      <c r="M187" s="547"/>
      <c r="N187" s="547"/>
      <c r="O187" s="547"/>
      <c r="P187" s="547"/>
      <c r="Q187" s="547"/>
      <c r="R187" s="547"/>
      <c r="S187" s="547"/>
      <c r="T187" s="376"/>
      <c r="U187" s="376"/>
      <c r="V187" s="376"/>
      <c r="W187" s="376"/>
    </row>
    <row r="188" spans="1:23" x14ac:dyDescent="0.25">
      <c r="A188" s="547"/>
      <c r="B188" s="547">
        <v>10</v>
      </c>
      <c r="C188" s="547">
        <v>10</v>
      </c>
      <c r="D188" s="547">
        <v>9</v>
      </c>
      <c r="E188" s="547">
        <v>11</v>
      </c>
      <c r="F188" s="547">
        <v>11</v>
      </c>
      <c r="G188" s="547">
        <v>12</v>
      </c>
      <c r="H188" s="547">
        <v>12</v>
      </c>
      <c r="I188" s="547">
        <v>13</v>
      </c>
      <c r="J188" s="547">
        <v>43</v>
      </c>
      <c r="K188" s="547"/>
      <c r="L188" s="547"/>
      <c r="M188" s="547"/>
      <c r="N188" s="547"/>
      <c r="O188" s="547"/>
      <c r="P188" s="547"/>
      <c r="Q188" s="547"/>
      <c r="R188" s="547"/>
      <c r="S188" s="547"/>
      <c r="T188" s="376"/>
      <c r="U188" s="376"/>
      <c r="V188" s="376"/>
      <c r="W188" s="376"/>
    </row>
    <row r="189" spans="1:23" x14ac:dyDescent="0.25">
      <c r="A189" s="547"/>
      <c r="B189" s="547">
        <v>15</v>
      </c>
      <c r="C189" s="547">
        <v>15</v>
      </c>
      <c r="D189" s="547">
        <v>14</v>
      </c>
      <c r="E189" s="547">
        <v>14</v>
      </c>
      <c r="F189" s="547">
        <v>14</v>
      </c>
      <c r="G189" s="547">
        <v>17</v>
      </c>
      <c r="H189" s="547">
        <v>17</v>
      </c>
      <c r="I189" s="547">
        <v>25</v>
      </c>
      <c r="J189" s="547">
        <v>13.69</v>
      </c>
      <c r="K189" s="547"/>
      <c r="L189" s="547"/>
      <c r="M189" s="547"/>
      <c r="N189" s="547"/>
      <c r="O189" s="547"/>
      <c r="P189" s="547"/>
      <c r="Q189" s="547"/>
      <c r="R189" s="547"/>
      <c r="S189" s="547"/>
      <c r="T189" s="376"/>
      <c r="U189" s="376"/>
      <c r="V189" s="376"/>
      <c r="W189" s="376"/>
    </row>
    <row r="190" spans="1:23" x14ac:dyDescent="0.25">
      <c r="A190" s="547"/>
      <c r="B190" s="547">
        <v>20.460090361445783</v>
      </c>
      <c r="C190" s="547">
        <v>20.128223242670433</v>
      </c>
      <c r="D190" s="547">
        <v>24.52764505119454</v>
      </c>
      <c r="E190" s="547">
        <v>26.4382905982906</v>
      </c>
      <c r="F190" s="547">
        <v>26.974034620505993</v>
      </c>
      <c r="G190" s="547">
        <v>28.085885486018643</v>
      </c>
      <c r="H190" s="547">
        <v>28.08588548601864</v>
      </c>
      <c r="I190" s="547">
        <v>29.087882822902792</v>
      </c>
      <c r="J190" s="547">
        <v>25</v>
      </c>
      <c r="K190" s="547"/>
      <c r="L190" s="547"/>
      <c r="M190" s="547"/>
      <c r="N190" s="547"/>
      <c r="O190" s="547"/>
      <c r="P190" s="547"/>
      <c r="Q190" s="547"/>
      <c r="R190" s="547"/>
      <c r="S190" s="547"/>
      <c r="T190" s="376"/>
      <c r="U190" s="376"/>
      <c r="V190" s="376"/>
      <c r="W190" s="376"/>
    </row>
    <row r="191" spans="1:23" x14ac:dyDescent="0.25">
      <c r="A191" s="547"/>
      <c r="B191" s="547"/>
      <c r="C191" s="547"/>
      <c r="D191" s="547"/>
      <c r="E191" s="547"/>
      <c r="F191" s="547"/>
      <c r="G191" s="547"/>
      <c r="H191" s="547"/>
      <c r="I191" s="547"/>
      <c r="J191" s="547">
        <v>32.817290279627166</v>
      </c>
      <c r="K191" s="547"/>
      <c r="L191" s="547"/>
      <c r="M191" s="547"/>
      <c r="N191" s="547"/>
      <c r="O191" s="547"/>
      <c r="P191" s="547"/>
      <c r="Q191" s="547"/>
      <c r="R191" s="547"/>
      <c r="S191" s="547"/>
      <c r="T191" s="376"/>
      <c r="U191" s="376"/>
      <c r="V191" s="376"/>
      <c r="W191" s="376"/>
    </row>
    <row r="192" spans="1:23" x14ac:dyDescent="0.25">
      <c r="A192" s="547"/>
      <c r="B192" s="547"/>
      <c r="C192" s="547"/>
      <c r="D192" s="547"/>
      <c r="E192" s="547"/>
      <c r="F192" s="547"/>
      <c r="G192" s="547"/>
      <c r="H192" s="547"/>
      <c r="I192" s="547"/>
      <c r="J192" s="547"/>
      <c r="K192" s="547"/>
      <c r="L192" s="547"/>
      <c r="M192" s="547"/>
      <c r="N192" s="547"/>
      <c r="O192" s="547"/>
      <c r="P192" s="547"/>
      <c r="Q192" s="547"/>
      <c r="R192" s="547"/>
      <c r="S192" s="547"/>
      <c r="T192" s="376"/>
      <c r="U192" s="376"/>
      <c r="V192" s="376"/>
      <c r="W192" s="376"/>
    </row>
    <row r="193" spans="1:23" x14ac:dyDescent="0.25">
      <c r="A193" s="547"/>
      <c r="B193" s="547"/>
      <c r="C193" s="547"/>
      <c r="D193" s="547"/>
      <c r="E193" s="547"/>
      <c r="F193" s="547"/>
      <c r="G193" s="547"/>
      <c r="H193" s="547"/>
      <c r="I193" s="547"/>
      <c r="J193" s="547"/>
      <c r="K193" s="547"/>
      <c r="L193" s="547"/>
      <c r="M193" s="547"/>
      <c r="N193" s="547"/>
      <c r="O193" s="547"/>
      <c r="P193" s="547"/>
      <c r="Q193" s="547"/>
      <c r="R193" s="547"/>
      <c r="S193" s="547"/>
      <c r="T193" s="376"/>
      <c r="U193" s="376"/>
      <c r="V193" s="376"/>
      <c r="W193" s="376"/>
    </row>
    <row r="194" spans="1:23" x14ac:dyDescent="0.25">
      <c r="A194" s="547"/>
      <c r="B194" s="547"/>
      <c r="C194" s="547"/>
      <c r="D194" s="547"/>
      <c r="E194" s="547"/>
      <c r="F194" s="547"/>
      <c r="G194" s="547"/>
      <c r="H194" s="547"/>
      <c r="I194" s="547"/>
      <c r="J194" s="547"/>
      <c r="K194" s="547"/>
      <c r="L194" s="547"/>
      <c r="M194" s="547"/>
      <c r="N194" s="547"/>
      <c r="O194" s="547"/>
      <c r="P194" s="547"/>
      <c r="Q194" s="547"/>
      <c r="R194" s="547"/>
      <c r="S194" s="547"/>
      <c r="T194" s="376"/>
      <c r="U194" s="376"/>
      <c r="V194" s="376"/>
      <c r="W194" s="376"/>
    </row>
    <row r="195" spans="1:23" x14ac:dyDescent="0.25">
      <c r="A195" s="547"/>
      <c r="B195" s="547"/>
      <c r="C195" s="547"/>
      <c r="D195" s="547"/>
      <c r="E195" s="547"/>
      <c r="F195" s="547"/>
      <c r="G195" s="547"/>
      <c r="H195" s="547"/>
      <c r="I195" s="547"/>
      <c r="J195" s="547"/>
      <c r="K195" s="547"/>
      <c r="L195" s="547"/>
      <c r="M195" s="547"/>
      <c r="N195" s="547"/>
      <c r="O195" s="547"/>
      <c r="P195" s="547"/>
      <c r="Q195" s="547"/>
      <c r="R195" s="547"/>
      <c r="S195" s="547"/>
      <c r="T195" s="376"/>
      <c r="U195" s="376"/>
      <c r="V195" s="376"/>
      <c r="W195" s="376"/>
    </row>
    <row r="196" spans="1:23" x14ac:dyDescent="0.25">
      <c r="A196" s="547"/>
      <c r="B196" s="547"/>
      <c r="C196" s="547"/>
      <c r="D196" s="547"/>
      <c r="E196" s="547"/>
      <c r="F196" s="547"/>
      <c r="G196" s="547"/>
      <c r="H196" s="547"/>
      <c r="I196" s="547"/>
      <c r="J196" s="547"/>
      <c r="K196" s="547"/>
      <c r="L196" s="547"/>
      <c r="M196" s="547"/>
      <c r="N196" s="547"/>
      <c r="O196" s="547"/>
      <c r="P196" s="547"/>
      <c r="Q196" s="547"/>
      <c r="R196" s="547"/>
      <c r="S196" s="547"/>
      <c r="T196" s="376"/>
      <c r="U196" s="376"/>
      <c r="V196" s="376"/>
      <c r="W196" s="376"/>
    </row>
    <row r="197" spans="1:23" x14ac:dyDescent="0.25">
      <c r="A197" s="547"/>
      <c r="B197" s="547"/>
      <c r="C197" s="547"/>
      <c r="D197" s="547"/>
      <c r="E197" s="547"/>
      <c r="F197" s="547"/>
      <c r="G197" s="547"/>
      <c r="H197" s="547"/>
      <c r="I197" s="547"/>
      <c r="J197" s="547"/>
      <c r="K197" s="547"/>
      <c r="L197" s="547"/>
      <c r="M197" s="547"/>
      <c r="N197" s="547"/>
      <c r="O197" s="547"/>
      <c r="P197" s="547"/>
      <c r="Q197" s="547"/>
      <c r="R197" s="547"/>
      <c r="S197" s="547"/>
      <c r="T197" s="376"/>
      <c r="U197" s="376"/>
      <c r="V197" s="376"/>
      <c r="W197" s="376"/>
    </row>
    <row r="198" spans="1:23" x14ac:dyDescent="0.25">
      <c r="A198" s="547"/>
      <c r="B198" s="547"/>
      <c r="C198" s="547"/>
      <c r="D198" s="547"/>
      <c r="E198" s="547"/>
      <c r="F198" s="547"/>
      <c r="G198" s="547"/>
      <c r="H198" s="547"/>
      <c r="I198" s="547"/>
      <c r="J198" s="547"/>
      <c r="K198" s="547"/>
      <c r="L198" s="547"/>
      <c r="M198" s="547"/>
      <c r="N198" s="547"/>
      <c r="O198" s="547"/>
      <c r="P198" s="547"/>
      <c r="Q198" s="547"/>
      <c r="R198" s="547"/>
      <c r="S198" s="547"/>
      <c r="T198" s="376"/>
      <c r="U198" s="376"/>
      <c r="V198" s="376"/>
      <c r="W198" s="376"/>
    </row>
    <row r="199" spans="1:23" x14ac:dyDescent="0.25">
      <c r="A199" s="547"/>
      <c r="B199" s="547"/>
      <c r="C199" s="547"/>
      <c r="D199" s="547"/>
      <c r="E199" s="547"/>
      <c r="F199" s="547"/>
      <c r="G199" s="547"/>
      <c r="H199" s="547"/>
      <c r="I199" s="547"/>
      <c r="J199" s="547"/>
      <c r="K199" s="547"/>
      <c r="L199" s="547"/>
      <c r="M199" s="547"/>
      <c r="N199" s="547"/>
      <c r="O199" s="547"/>
      <c r="P199" s="547"/>
      <c r="Q199" s="547"/>
      <c r="R199" s="547"/>
      <c r="S199" s="547"/>
      <c r="T199" s="376"/>
      <c r="U199" s="376"/>
      <c r="V199" s="376"/>
      <c r="W199" s="376"/>
    </row>
    <row r="200" spans="1:23" x14ac:dyDescent="0.25">
      <c r="A200" s="547"/>
      <c r="B200" s="547"/>
      <c r="C200" s="547"/>
      <c r="D200" s="547"/>
      <c r="E200" s="547"/>
      <c r="F200" s="547"/>
      <c r="G200" s="547"/>
      <c r="H200" s="547"/>
      <c r="I200" s="547"/>
      <c r="J200" s="547"/>
      <c r="K200" s="547"/>
      <c r="L200" s="547"/>
      <c r="M200" s="547"/>
      <c r="N200" s="547"/>
      <c r="O200" s="547"/>
      <c r="P200" s="547"/>
      <c r="Q200" s="547"/>
      <c r="R200" s="547"/>
      <c r="S200" s="547"/>
      <c r="T200" s="376"/>
      <c r="U200" s="376"/>
      <c r="V200" s="376"/>
      <c r="W200" s="376"/>
    </row>
    <row r="201" spans="1:23" x14ac:dyDescent="0.25">
      <c r="A201" s="547"/>
      <c r="B201" s="547"/>
      <c r="C201" s="547"/>
      <c r="D201" s="547"/>
      <c r="E201" s="547"/>
      <c r="F201" s="547"/>
      <c r="G201" s="547"/>
      <c r="H201" s="547"/>
      <c r="I201" s="547"/>
      <c r="J201" s="547"/>
      <c r="K201" s="547"/>
      <c r="L201" s="547"/>
      <c r="M201" s="547"/>
      <c r="N201" s="547"/>
      <c r="O201" s="547"/>
      <c r="P201" s="547"/>
      <c r="Q201" s="547"/>
      <c r="R201" s="547"/>
      <c r="S201" s="547"/>
      <c r="T201" s="376"/>
      <c r="U201" s="376"/>
      <c r="V201" s="376"/>
      <c r="W201" s="376"/>
    </row>
    <row r="202" spans="1:23" x14ac:dyDescent="0.25">
      <c r="A202" s="547"/>
      <c r="B202" s="547"/>
      <c r="C202" s="547"/>
      <c r="D202" s="547"/>
      <c r="E202" s="547"/>
      <c r="F202" s="547"/>
      <c r="G202" s="547"/>
      <c r="H202" s="547"/>
      <c r="I202" s="547"/>
      <c r="J202" s="547"/>
      <c r="K202" s="547"/>
      <c r="L202" s="547"/>
      <c r="M202" s="547"/>
      <c r="N202" s="547"/>
      <c r="O202" s="547"/>
      <c r="P202" s="547"/>
      <c r="Q202" s="547"/>
      <c r="R202" s="547"/>
      <c r="S202" s="547"/>
      <c r="T202" s="376"/>
      <c r="U202" s="376"/>
      <c r="V202" s="376"/>
      <c r="W202" s="376"/>
    </row>
    <row r="203" spans="1:23" x14ac:dyDescent="0.25">
      <c r="A203" s="547"/>
      <c r="B203" s="547"/>
      <c r="C203" s="547"/>
      <c r="D203" s="547"/>
      <c r="E203" s="547"/>
      <c r="F203" s="547"/>
      <c r="G203" s="547"/>
      <c r="H203" s="547"/>
      <c r="I203" s="547"/>
      <c r="J203" s="547"/>
      <c r="K203" s="547"/>
      <c r="L203" s="547"/>
      <c r="M203" s="547"/>
      <c r="N203" s="547"/>
      <c r="O203" s="547"/>
      <c r="P203" s="547"/>
      <c r="Q203" s="547"/>
      <c r="R203" s="547"/>
      <c r="S203" s="547"/>
      <c r="T203" s="376"/>
      <c r="U203" s="376"/>
      <c r="V203" s="376"/>
      <c r="W203" s="376"/>
    </row>
    <row r="204" spans="1:23" x14ac:dyDescent="0.25">
      <c r="A204" s="547"/>
      <c r="B204" s="547"/>
      <c r="C204" s="547"/>
      <c r="D204" s="547"/>
      <c r="E204" s="547"/>
      <c r="F204" s="547"/>
      <c r="G204" s="547"/>
      <c r="H204" s="547"/>
      <c r="I204" s="547"/>
      <c r="J204" s="547"/>
      <c r="K204" s="547"/>
      <c r="L204" s="547"/>
      <c r="M204" s="547"/>
      <c r="N204" s="547"/>
      <c r="O204" s="547"/>
      <c r="P204" s="547"/>
      <c r="Q204" s="547"/>
      <c r="R204" s="547"/>
      <c r="S204" s="547"/>
      <c r="T204" s="376"/>
      <c r="U204" s="376"/>
      <c r="V204" s="376"/>
      <c r="W204" s="376"/>
    </row>
    <row r="205" spans="1:23" x14ac:dyDescent="0.25">
      <c r="A205" s="547"/>
      <c r="B205" s="547"/>
      <c r="C205" s="547"/>
      <c r="D205" s="547"/>
      <c r="E205" s="547"/>
      <c r="F205" s="547"/>
      <c r="G205" s="547"/>
      <c r="H205" s="547"/>
      <c r="I205" s="547"/>
      <c r="J205" s="547"/>
      <c r="K205" s="547"/>
      <c r="L205" s="547"/>
      <c r="M205" s="547"/>
      <c r="N205" s="547"/>
      <c r="O205" s="547"/>
      <c r="P205" s="547"/>
      <c r="Q205" s="547"/>
      <c r="R205" s="547"/>
      <c r="S205" s="547"/>
      <c r="T205" s="376"/>
      <c r="U205" s="376"/>
      <c r="V205" s="376"/>
      <c r="W205" s="376"/>
    </row>
    <row r="206" spans="1:23" x14ac:dyDescent="0.25">
      <c r="A206" s="547"/>
      <c r="B206" s="547"/>
      <c r="C206" s="547"/>
      <c r="D206" s="547"/>
      <c r="E206" s="547"/>
      <c r="F206" s="547"/>
      <c r="G206" s="547"/>
      <c r="H206" s="547"/>
      <c r="I206" s="547"/>
      <c r="J206" s="547"/>
      <c r="K206" s="547"/>
      <c r="L206" s="547"/>
      <c r="M206" s="547"/>
      <c r="N206" s="547"/>
      <c r="O206" s="547"/>
      <c r="P206" s="547"/>
      <c r="Q206" s="547"/>
      <c r="R206" s="547"/>
      <c r="S206" s="547"/>
      <c r="T206" s="376"/>
      <c r="U206" s="376"/>
      <c r="V206" s="376"/>
      <c r="W206" s="376"/>
    </row>
    <row r="207" spans="1:23" x14ac:dyDescent="0.25">
      <c r="A207" s="547"/>
      <c r="B207" s="547" t="s">
        <v>218</v>
      </c>
      <c r="C207" s="547">
        <v>6.9124423963133896E-3</v>
      </c>
      <c r="D207" s="547">
        <v>-1.1101418226823201E-2</v>
      </c>
      <c r="E207" s="547">
        <v>-2.5258859784283549E-2</v>
      </c>
      <c r="F207" s="547">
        <v>0.10267422749291177</v>
      </c>
      <c r="G207" s="547">
        <v>4.9576024919993245E-2</v>
      </c>
      <c r="H207" s="547">
        <v>-2.106888063749035E-3</v>
      </c>
      <c r="I207" s="547">
        <v>5.6328438408597359E-2</v>
      </c>
      <c r="J207" s="547">
        <v>2.7042744984006939E-2</v>
      </c>
      <c r="K207" s="547">
        <v>-2.3376840230429075E-3</v>
      </c>
      <c r="L207" s="547">
        <v>2.7008547043914533E-2</v>
      </c>
      <c r="M207" s="547">
        <v>0</v>
      </c>
      <c r="N207" s="547">
        <v>-3.4482758563470384E-2</v>
      </c>
      <c r="O207" s="547">
        <v>3.8461538461537215E-2</v>
      </c>
      <c r="P207" s="547"/>
      <c r="Q207" s="547"/>
      <c r="R207" s="547"/>
      <c r="S207" s="547"/>
      <c r="T207" s="376"/>
      <c r="U207" s="376"/>
      <c r="V207" s="376"/>
      <c r="W207" s="376"/>
    </row>
    <row r="208" spans="1:23" x14ac:dyDescent="0.25">
      <c r="A208" s="547"/>
      <c r="B208" s="547" t="s">
        <v>616</v>
      </c>
      <c r="C208" s="547">
        <v>0</v>
      </c>
      <c r="D208" s="547">
        <v>0</v>
      </c>
      <c r="E208" s="547">
        <v>0</v>
      </c>
      <c r="F208" s="547">
        <v>0</v>
      </c>
      <c r="G208" s="547">
        <v>0</v>
      </c>
      <c r="H208" s="547">
        <v>4.5410964845163715E-2</v>
      </c>
      <c r="I208" s="547">
        <v>8.0214336676698528E-2</v>
      </c>
      <c r="J208" s="547">
        <v>4.6738488839055181E-2</v>
      </c>
      <c r="K208" s="547">
        <v>3.2550560081045843E-2</v>
      </c>
      <c r="L208" s="547">
        <v>2.792041212388563E-2</v>
      </c>
      <c r="M208" s="547">
        <v>5.5135423142793627E-4</v>
      </c>
      <c r="N208" s="547">
        <v>-3.3862776931691152E-2</v>
      </c>
      <c r="O208" s="547">
        <v>3.8876198132661299E-2</v>
      </c>
      <c r="P208" s="547"/>
      <c r="Q208" s="547"/>
      <c r="R208" s="547"/>
      <c r="S208" s="547"/>
      <c r="T208" s="376"/>
      <c r="U208" s="376"/>
      <c r="V208" s="376"/>
      <c r="W208" s="376"/>
    </row>
    <row r="209" spans="1:23" x14ac:dyDescent="0.25">
      <c r="A209" s="547"/>
      <c r="B209" s="547" t="s">
        <v>136</v>
      </c>
      <c r="C209" s="547">
        <v>2.2231649310092472E-2</v>
      </c>
      <c r="D209" s="547">
        <v>2.2575680483144511E-2</v>
      </c>
      <c r="E209" s="547">
        <v>3.7442776427267566E-2</v>
      </c>
      <c r="F209" s="547">
        <v>5.7818261544666072E-2</v>
      </c>
      <c r="G209" s="547">
        <v>4.926635149995251E-2</v>
      </c>
      <c r="H209" s="547">
        <v>6.4427956415980647E-2</v>
      </c>
      <c r="I209" s="547">
        <v>7.1108041068716377E-2</v>
      </c>
      <c r="J209" s="547">
        <v>6.4976766300360644E-2</v>
      </c>
      <c r="K209" s="547">
        <v>3.6553041824910038E-2</v>
      </c>
      <c r="L209" s="547">
        <v>5.7329999999999999E-2</v>
      </c>
      <c r="M209" s="547">
        <v>4.113E-2</v>
      </c>
      <c r="N209" s="547">
        <v>4.5747999999999997E-2</v>
      </c>
      <c r="O209" s="547">
        <v>3.1532999999999999E-2</v>
      </c>
      <c r="P209" s="547"/>
      <c r="Q209" s="547"/>
      <c r="R209" s="547"/>
      <c r="S209" s="547"/>
      <c r="T209" s="376"/>
      <c r="U209" s="376"/>
      <c r="V209" s="376"/>
      <c r="W209" s="376"/>
    </row>
    <row r="210" spans="1:23" x14ac:dyDescent="0.25">
      <c r="A210" s="547"/>
      <c r="B210" s="547"/>
      <c r="C210" s="547"/>
      <c r="D210" s="547"/>
      <c r="E210" s="547"/>
      <c r="F210" s="547"/>
      <c r="G210" s="547"/>
      <c r="H210" s="547"/>
      <c r="I210" s="547"/>
      <c r="J210" s="547"/>
      <c r="K210" s="547"/>
      <c r="L210" s="547"/>
      <c r="M210" s="547"/>
      <c r="N210" s="547"/>
      <c r="O210" s="547"/>
      <c r="P210" s="547"/>
      <c r="Q210" s="547"/>
      <c r="R210" s="547"/>
      <c r="S210" s="547"/>
      <c r="T210" s="376"/>
      <c r="U210" s="376"/>
      <c r="V210" s="376"/>
      <c r="W210" s="376"/>
    </row>
    <row r="211" spans="1:23" x14ac:dyDescent="0.25">
      <c r="A211" s="547"/>
      <c r="B211" s="547"/>
      <c r="C211" s="547"/>
      <c r="D211" s="547"/>
      <c r="E211" s="547"/>
      <c r="F211" s="547"/>
      <c r="G211" s="547"/>
      <c r="H211" s="547"/>
      <c r="I211" s="547"/>
      <c r="J211" s="547"/>
      <c r="K211" s="547"/>
      <c r="L211" s="547"/>
      <c r="M211" s="547"/>
      <c r="N211" s="547"/>
      <c r="O211" s="547"/>
      <c r="P211" s="547"/>
      <c r="Q211" s="547"/>
      <c r="R211" s="547"/>
      <c r="S211" s="547"/>
      <c r="T211" s="376"/>
      <c r="U211" s="376"/>
      <c r="V211" s="376"/>
      <c r="W211" s="376"/>
    </row>
    <row r="212" spans="1:23" x14ac:dyDescent="0.25">
      <c r="A212" s="547"/>
      <c r="B212" s="547">
        <v>1</v>
      </c>
      <c r="C212" s="547">
        <f>B212*(C207+1)</f>
        <v>1.0069124423963134</v>
      </c>
      <c r="D212" s="547">
        <f t="shared" ref="D212:O212" si="27">C212*(D207+1)</f>
        <v>0.99573428625547988</v>
      </c>
      <c r="E212" s="547">
        <f t="shared" si="27"/>
        <v>0.9705831735365491</v>
      </c>
      <c r="F212" s="547">
        <f t="shared" si="27"/>
        <v>1.0702370510970329</v>
      </c>
      <c r="G212" s="547">
        <f t="shared" si="27"/>
        <v>1.1232951498125194</v>
      </c>
      <c r="H212" s="547">
        <f t="shared" si="27"/>
        <v>1.1209284926693122</v>
      </c>
      <c r="I212" s="547">
        <f t="shared" si="27"/>
        <v>1.1840686442290773</v>
      </c>
      <c r="J212" s="547">
        <f t="shared" si="27"/>
        <v>1.216089110618523</v>
      </c>
      <c r="K212" s="547">
        <f t="shared" si="27"/>
        <v>1.2132462785340337</v>
      </c>
      <c r="L212" s="547">
        <f t="shared" si="27"/>
        <v>1.2460142977236743</v>
      </c>
      <c r="M212" s="547">
        <f t="shared" si="27"/>
        <v>1.2460142977236743</v>
      </c>
      <c r="N212" s="547">
        <f t="shared" si="27"/>
        <v>1.2030482875286368</v>
      </c>
      <c r="O212" s="547">
        <f t="shared" si="27"/>
        <v>1.2493193755105059</v>
      </c>
      <c r="P212" s="547"/>
      <c r="Q212" s="547"/>
      <c r="R212" s="547"/>
      <c r="S212" s="547"/>
      <c r="T212" s="376"/>
      <c r="U212" s="376"/>
      <c r="V212" s="376"/>
      <c r="W212" s="376"/>
    </row>
    <row r="213" spans="1:23" x14ac:dyDescent="0.25">
      <c r="A213" s="547"/>
      <c r="B213" s="547">
        <v>1</v>
      </c>
      <c r="C213" s="547">
        <f t="shared" ref="C213:O214" si="28">B213*(C208+1)</f>
        <v>1</v>
      </c>
      <c r="D213" s="547">
        <f t="shared" si="28"/>
        <v>1</v>
      </c>
      <c r="E213" s="547">
        <f t="shared" si="28"/>
        <v>1</v>
      </c>
      <c r="F213" s="547">
        <f t="shared" si="28"/>
        <v>1</v>
      </c>
      <c r="G213" s="547">
        <f t="shared" si="28"/>
        <v>1</v>
      </c>
      <c r="H213" s="547">
        <f t="shared" si="28"/>
        <v>1.0454109648451637</v>
      </c>
      <c r="I213" s="547">
        <f t="shared" si="28"/>
        <v>1.1292679119447659</v>
      </c>
      <c r="J213" s="547">
        <f t="shared" si="28"/>
        <v>1.1820481876434996</v>
      </c>
      <c r="K213" s="547">
        <f t="shared" si="28"/>
        <v>1.2205245181940807</v>
      </c>
      <c r="L213" s="547">
        <f t="shared" si="28"/>
        <v>1.2546020657493664</v>
      </c>
      <c r="M213" s="547">
        <f t="shared" si="28"/>
        <v>1.2552937959070756</v>
      </c>
      <c r="N213" s="547">
        <f t="shared" si="28"/>
        <v>1.2127860621125384</v>
      </c>
      <c r="O213" s="547">
        <f t="shared" si="28"/>
        <v>1.2599345733557554</v>
      </c>
      <c r="P213" s="547"/>
      <c r="Q213" s="547"/>
      <c r="R213" s="547"/>
      <c r="S213" s="547"/>
      <c r="T213" s="376"/>
      <c r="U213" s="376"/>
      <c r="V213" s="376"/>
      <c r="W213" s="376"/>
    </row>
    <row r="214" spans="1:23" x14ac:dyDescent="0.25">
      <c r="A214" s="547"/>
      <c r="B214" s="547">
        <v>1</v>
      </c>
      <c r="C214" s="547">
        <f t="shared" si="28"/>
        <v>1.0222316493100925</v>
      </c>
      <c r="D214" s="547">
        <f t="shared" si="28"/>
        <v>1.0453092244046749</v>
      </c>
      <c r="E214" s="547">
        <f t="shared" si="28"/>
        <v>1.0844485039914196</v>
      </c>
      <c r="F214" s="547">
        <f t="shared" si="28"/>
        <v>1.1471494312269173</v>
      </c>
      <c r="G214" s="547">
        <f t="shared" si="28"/>
        <v>1.2036652983287133</v>
      </c>
      <c r="H214" s="547">
        <f t="shared" si="28"/>
        <v>1.2812149937088639</v>
      </c>
      <c r="I214" s="547">
        <f t="shared" si="28"/>
        <v>1.3723196820993691</v>
      </c>
      <c r="J214" s="547">
        <f t="shared" si="28"/>
        <v>1.461488577372525</v>
      </c>
      <c r="K214" s="547">
        <f t="shared" si="28"/>
        <v>1.5149104304678511</v>
      </c>
      <c r="L214" s="547">
        <f t="shared" si="28"/>
        <v>1.6017602454465731</v>
      </c>
      <c r="M214" s="547">
        <f t="shared" si="28"/>
        <v>1.6676406443417906</v>
      </c>
      <c r="N214" s="547">
        <f t="shared" si="28"/>
        <v>1.7439318685391387</v>
      </c>
      <c r="O214" s="547">
        <f t="shared" si="28"/>
        <v>1.7989232721497834</v>
      </c>
      <c r="P214" s="547"/>
      <c r="Q214" s="547"/>
      <c r="R214" s="547"/>
      <c r="S214" s="547"/>
      <c r="T214" s="376"/>
      <c r="U214" s="376"/>
      <c r="V214" s="376"/>
      <c r="W214" s="376"/>
    </row>
    <row r="215" spans="1:23" x14ac:dyDescent="0.25">
      <c r="A215" s="547"/>
      <c r="B215" s="547"/>
      <c r="C215" s="547"/>
      <c r="D215" s="547"/>
      <c r="E215" s="547"/>
      <c r="F215" s="547"/>
      <c r="G215" s="547"/>
      <c r="H215" s="547"/>
      <c r="I215" s="547"/>
      <c r="J215" s="547"/>
      <c r="K215" s="547"/>
      <c r="L215" s="547"/>
      <c r="M215" s="547"/>
      <c r="N215" s="547"/>
      <c r="O215" s="547"/>
      <c r="P215" s="547"/>
      <c r="Q215" s="547"/>
      <c r="R215" s="547"/>
      <c r="S215" s="547"/>
      <c r="T215" s="376"/>
      <c r="U215" s="376"/>
      <c r="V215" s="376"/>
      <c r="W215" s="376"/>
    </row>
    <row r="216" spans="1:23" x14ac:dyDescent="0.25">
      <c r="A216" s="547"/>
      <c r="B216" s="547"/>
      <c r="C216" s="547"/>
      <c r="D216" s="547"/>
      <c r="E216" s="547"/>
      <c r="F216" s="547"/>
      <c r="G216" s="547"/>
      <c r="H216" s="547"/>
      <c r="I216" s="547"/>
      <c r="J216" s="547"/>
      <c r="K216" s="547"/>
      <c r="L216" s="547"/>
      <c r="M216" s="547"/>
      <c r="N216" s="547"/>
      <c r="O216" s="547"/>
      <c r="P216" s="547"/>
      <c r="Q216" s="547"/>
      <c r="R216" s="547"/>
      <c r="S216" s="547"/>
      <c r="T216" s="376"/>
      <c r="U216" s="376"/>
      <c r="V216" s="376"/>
      <c r="W216" s="376"/>
    </row>
    <row r="217" spans="1:23" x14ac:dyDescent="0.25">
      <c r="A217" s="547"/>
      <c r="B217" s="547"/>
      <c r="C217" s="547"/>
      <c r="D217" s="547"/>
      <c r="E217" s="547"/>
      <c r="F217" s="547"/>
      <c r="G217" s="547"/>
      <c r="H217" s="547"/>
      <c r="I217" s="547"/>
      <c r="J217" s="547"/>
      <c r="K217" s="547"/>
      <c r="L217" s="547"/>
      <c r="M217" s="547"/>
      <c r="N217" s="547"/>
      <c r="O217" s="547"/>
      <c r="P217" s="547"/>
      <c r="Q217" s="547"/>
      <c r="R217" s="547"/>
      <c r="S217" s="547"/>
      <c r="T217" s="376"/>
      <c r="U217" s="376"/>
      <c r="V217" s="376"/>
      <c r="W217" s="376"/>
    </row>
    <row r="218" spans="1:23" x14ac:dyDescent="0.25">
      <c r="A218" s="547"/>
      <c r="B218" s="547"/>
      <c r="C218" s="547"/>
      <c r="D218" s="547"/>
      <c r="E218" s="547"/>
      <c r="F218" s="547"/>
      <c r="G218" s="547"/>
      <c r="H218" s="547"/>
      <c r="I218" s="547"/>
      <c r="J218" s="547"/>
      <c r="K218" s="547"/>
      <c r="L218" s="547"/>
      <c r="M218" s="547"/>
      <c r="N218" s="547"/>
      <c r="O218" s="547"/>
      <c r="P218" s="547"/>
      <c r="Q218" s="547"/>
      <c r="R218" s="547"/>
      <c r="S218" s="547"/>
    </row>
    <row r="219" spans="1:23" x14ac:dyDescent="0.25">
      <c r="A219" s="547"/>
      <c r="B219" s="547"/>
      <c r="C219" s="547"/>
      <c r="D219" s="547"/>
      <c r="E219" s="547"/>
      <c r="F219" s="547"/>
      <c r="G219" s="547"/>
      <c r="H219" s="547"/>
      <c r="I219" s="547"/>
      <c r="J219" s="547"/>
      <c r="K219" s="547"/>
      <c r="L219" s="547"/>
      <c r="M219" s="547"/>
      <c r="N219" s="547"/>
      <c r="O219" s="547"/>
      <c r="P219" s="547"/>
      <c r="Q219" s="547"/>
      <c r="R219" s="547"/>
      <c r="S219" s="547"/>
    </row>
    <row r="220" spans="1:23" x14ac:dyDescent="0.25">
      <c r="A220" s="547"/>
      <c r="B220" s="547"/>
      <c r="C220" s="547"/>
      <c r="D220" s="547"/>
      <c r="E220" s="547"/>
      <c r="F220" s="547"/>
      <c r="G220" s="547"/>
      <c r="H220" s="547"/>
      <c r="I220" s="547"/>
      <c r="J220" s="547"/>
      <c r="K220" s="547"/>
      <c r="L220" s="547"/>
      <c r="M220" s="547"/>
      <c r="N220" s="547"/>
      <c r="O220" s="547"/>
      <c r="P220" s="547"/>
      <c r="Q220" s="547"/>
      <c r="R220" s="547"/>
      <c r="S220" s="547"/>
    </row>
    <row r="221" spans="1:23" x14ac:dyDescent="0.25">
      <c r="A221" s="547"/>
      <c r="B221" s="547"/>
      <c r="C221" s="547"/>
      <c r="D221" s="547"/>
      <c r="E221" s="547"/>
      <c r="F221" s="547"/>
      <c r="G221" s="547"/>
      <c r="H221" s="547"/>
      <c r="I221" s="547"/>
      <c r="J221" s="547"/>
      <c r="K221" s="547"/>
      <c r="L221" s="547"/>
      <c r="M221" s="547"/>
      <c r="N221" s="547"/>
      <c r="O221" s="547"/>
      <c r="P221" s="547"/>
      <c r="Q221" s="547"/>
      <c r="R221" s="547"/>
      <c r="S221" s="547"/>
    </row>
    <row r="222" spans="1:23" x14ac:dyDescent="0.25">
      <c r="A222" s="547"/>
      <c r="B222" s="547"/>
      <c r="C222" s="547"/>
      <c r="D222" s="547"/>
      <c r="E222" s="547"/>
      <c r="F222" s="547"/>
      <c r="G222" s="547"/>
      <c r="H222" s="547"/>
      <c r="I222" s="547"/>
      <c r="J222" s="547"/>
      <c r="K222" s="547"/>
      <c r="L222" s="547"/>
      <c r="M222" s="547"/>
      <c r="N222" s="547"/>
      <c r="O222" s="547"/>
      <c r="P222" s="547"/>
      <c r="Q222" s="547"/>
      <c r="R222" s="547"/>
      <c r="S222" s="547"/>
    </row>
    <row r="223" spans="1:23" x14ac:dyDescent="0.25">
      <c r="A223" s="547"/>
      <c r="B223" s="547"/>
      <c r="C223" s="547"/>
      <c r="D223" s="547"/>
      <c r="E223" s="547"/>
      <c r="F223" s="547"/>
      <c r="G223" s="547"/>
      <c r="H223" s="547"/>
      <c r="I223" s="547"/>
      <c r="J223" s="547"/>
      <c r="K223" s="547"/>
      <c r="L223" s="547"/>
      <c r="M223" s="547"/>
      <c r="N223" s="547"/>
      <c r="O223" s="547"/>
      <c r="P223" s="547"/>
      <c r="Q223" s="547"/>
      <c r="R223" s="547"/>
      <c r="S223" s="547"/>
    </row>
    <row r="224" spans="1:23" x14ac:dyDescent="0.25">
      <c r="A224" s="547"/>
      <c r="B224" s="547"/>
      <c r="C224" s="547"/>
      <c r="D224" s="547"/>
      <c r="E224" s="547"/>
      <c r="F224" s="547"/>
      <c r="G224" s="547"/>
      <c r="H224" s="547"/>
      <c r="I224" s="547"/>
      <c r="J224" s="547"/>
      <c r="K224" s="547"/>
      <c r="L224" s="547"/>
      <c r="M224" s="547"/>
      <c r="N224" s="547"/>
      <c r="O224" s="547"/>
      <c r="P224" s="547"/>
      <c r="Q224" s="547"/>
      <c r="R224" s="547"/>
      <c r="S224" s="547"/>
    </row>
    <row r="225" spans="1:19" x14ac:dyDescent="0.25">
      <c r="A225" s="547"/>
      <c r="B225" s="547"/>
      <c r="C225" s="547"/>
      <c r="D225" s="547"/>
      <c r="E225" s="547"/>
      <c r="F225" s="547"/>
      <c r="G225" s="547"/>
      <c r="H225" s="547"/>
      <c r="I225" s="547"/>
      <c r="J225" s="547"/>
      <c r="K225" s="547"/>
      <c r="L225" s="547"/>
      <c r="M225" s="547"/>
      <c r="N225" s="547"/>
      <c r="O225" s="547"/>
      <c r="P225" s="547"/>
      <c r="Q225" s="547"/>
      <c r="R225" s="547"/>
      <c r="S225" s="547"/>
    </row>
    <row r="226" spans="1:19" x14ac:dyDescent="0.25">
      <c r="A226" s="547"/>
      <c r="B226" s="547"/>
      <c r="C226" s="547"/>
      <c r="D226" s="547"/>
      <c r="E226" s="547"/>
      <c r="F226" s="547"/>
      <c r="G226" s="547"/>
      <c r="H226" s="547"/>
      <c r="I226" s="547"/>
      <c r="J226" s="547"/>
      <c r="K226" s="547"/>
      <c r="L226" s="547"/>
      <c r="M226" s="547"/>
      <c r="N226" s="547"/>
      <c r="O226" s="547"/>
      <c r="P226" s="547"/>
      <c r="Q226" s="547"/>
      <c r="R226" s="547"/>
      <c r="S226" s="547"/>
    </row>
    <row r="227" spans="1:19" x14ac:dyDescent="0.25">
      <c r="A227" s="547"/>
      <c r="B227" s="547"/>
      <c r="C227" s="547"/>
      <c r="D227" s="547"/>
      <c r="E227" s="547"/>
      <c r="F227" s="547"/>
      <c r="G227" s="547"/>
      <c r="H227" s="547"/>
      <c r="I227" s="547"/>
      <c r="J227" s="547"/>
      <c r="K227" s="547"/>
      <c r="L227" s="547"/>
      <c r="M227" s="547"/>
      <c r="N227" s="547"/>
      <c r="O227" s="547"/>
      <c r="P227" s="547"/>
      <c r="Q227" s="547"/>
      <c r="R227" s="547"/>
      <c r="S227" s="547"/>
    </row>
    <row r="228" spans="1:19" x14ac:dyDescent="0.25">
      <c r="A228" s="547"/>
      <c r="B228" s="547"/>
      <c r="C228" s="547"/>
      <c r="D228" s="547"/>
      <c r="E228" s="547"/>
      <c r="F228" s="547"/>
      <c r="G228" s="547"/>
      <c r="H228" s="547"/>
      <c r="I228" s="547"/>
      <c r="J228" s="547"/>
      <c r="K228" s="547"/>
      <c r="L228" s="547"/>
      <c r="M228" s="547"/>
      <c r="N228" s="547"/>
      <c r="O228" s="547"/>
      <c r="P228" s="547"/>
      <c r="Q228" s="547"/>
      <c r="R228" s="547"/>
      <c r="S228" s="547"/>
    </row>
    <row r="229" spans="1:19" x14ac:dyDescent="0.25">
      <c r="A229" s="547"/>
      <c r="B229" s="547"/>
      <c r="C229" s="547"/>
      <c r="D229" s="547"/>
      <c r="E229" s="547"/>
      <c r="F229" s="547"/>
      <c r="G229" s="547"/>
      <c r="H229" s="547"/>
      <c r="I229" s="547"/>
      <c r="J229" s="547"/>
      <c r="K229" s="547"/>
      <c r="L229" s="547"/>
      <c r="M229" s="547"/>
      <c r="N229" s="547"/>
      <c r="O229" s="547"/>
      <c r="P229" s="547"/>
      <c r="Q229" s="547"/>
      <c r="R229" s="547"/>
      <c r="S229" s="547"/>
    </row>
    <row r="230" spans="1:19" x14ac:dyDescent="0.25">
      <c r="A230" s="547"/>
      <c r="B230" s="547"/>
      <c r="C230" s="547"/>
      <c r="D230" s="547"/>
      <c r="E230" s="547"/>
      <c r="F230" s="547"/>
      <c r="G230" s="547"/>
      <c r="H230" s="547"/>
      <c r="I230" s="547"/>
      <c r="J230" s="547"/>
      <c r="K230" s="547"/>
      <c r="L230" s="547"/>
      <c r="M230" s="547"/>
      <c r="N230" s="547"/>
      <c r="O230" s="547"/>
      <c r="P230" s="547"/>
      <c r="Q230" s="547"/>
      <c r="R230" s="547"/>
      <c r="S230" s="547"/>
    </row>
    <row r="231" spans="1:19" x14ac:dyDescent="0.25">
      <c r="A231" s="547"/>
      <c r="B231" s="547"/>
      <c r="C231" s="547"/>
      <c r="D231" s="547"/>
      <c r="E231" s="547"/>
      <c r="F231" s="547"/>
      <c r="G231" s="547"/>
      <c r="H231" s="547"/>
      <c r="I231" s="547"/>
      <c r="J231" s="547"/>
      <c r="K231" s="547"/>
      <c r="L231" s="547"/>
      <c r="M231" s="547"/>
      <c r="N231" s="547"/>
      <c r="O231" s="547"/>
      <c r="P231" s="547"/>
      <c r="Q231" s="547"/>
      <c r="R231" s="547"/>
      <c r="S231" s="547"/>
    </row>
    <row r="232" spans="1:19" x14ac:dyDescent="0.25">
      <c r="A232" s="547"/>
      <c r="B232" s="547"/>
      <c r="C232" s="547"/>
      <c r="D232" s="547"/>
      <c r="E232" s="547"/>
      <c r="F232" s="547"/>
      <c r="G232" s="547"/>
      <c r="H232" s="547"/>
      <c r="I232" s="547"/>
      <c r="J232" s="547"/>
      <c r="K232" s="547"/>
      <c r="L232" s="547"/>
      <c r="M232" s="547"/>
      <c r="N232" s="547"/>
      <c r="O232" s="547"/>
      <c r="P232" s="547"/>
      <c r="Q232" s="547"/>
      <c r="R232" s="547"/>
      <c r="S232" s="547"/>
    </row>
    <row r="233" spans="1:19" x14ac:dyDescent="0.25">
      <c r="A233" s="547"/>
      <c r="B233" s="547" t="s">
        <v>68</v>
      </c>
      <c r="C233" s="547">
        <v>516341468</v>
      </c>
      <c r="D233" s="547">
        <v>50582460208</v>
      </c>
      <c r="E233" s="547">
        <v>4799456503</v>
      </c>
      <c r="F233" s="547">
        <v>9.2951211561415796</v>
      </c>
      <c r="G233" s="547"/>
      <c r="H233" s="547"/>
      <c r="I233" s="547"/>
      <c r="J233" s="547"/>
      <c r="K233" s="547"/>
      <c r="L233" s="547"/>
      <c r="M233" s="547"/>
      <c r="N233" s="547"/>
      <c r="O233" s="547"/>
      <c r="P233" s="547"/>
      <c r="Q233" s="547"/>
      <c r="R233" s="547"/>
      <c r="S233" s="547"/>
    </row>
    <row r="234" spans="1:19" x14ac:dyDescent="0.25">
      <c r="A234" s="547"/>
      <c r="B234" s="547" t="s">
        <v>69</v>
      </c>
      <c r="C234" s="547">
        <v>534119797</v>
      </c>
      <c r="D234" s="547">
        <v>52158169497</v>
      </c>
      <c r="E234" s="547">
        <v>5435175325</v>
      </c>
      <c r="F234" s="547">
        <v>10.175948084171088</v>
      </c>
      <c r="G234" s="547"/>
      <c r="H234" s="547"/>
      <c r="I234" s="547"/>
      <c r="J234" s="547"/>
      <c r="K234" s="547"/>
      <c r="L234" s="547"/>
      <c r="M234" s="547"/>
      <c r="N234" s="547"/>
      <c r="O234" s="547"/>
      <c r="P234" s="547"/>
      <c r="Q234" s="547"/>
      <c r="R234" s="547"/>
      <c r="S234" s="547"/>
    </row>
    <row r="235" spans="1:19" x14ac:dyDescent="0.25">
      <c r="A235" s="547"/>
      <c r="B235" s="547" t="s">
        <v>70</v>
      </c>
      <c r="C235" s="547">
        <v>561373380</v>
      </c>
      <c r="D235" s="547">
        <v>54089177055</v>
      </c>
      <c r="E235" s="547">
        <v>5651309236</v>
      </c>
      <c r="F235" s="547">
        <v>10.066934837558561</v>
      </c>
      <c r="G235" s="547"/>
      <c r="H235" s="547"/>
      <c r="I235" s="547"/>
      <c r="J235" s="547"/>
      <c r="K235" s="547"/>
      <c r="L235" s="547"/>
      <c r="M235" s="547"/>
      <c r="N235" s="547"/>
      <c r="O235" s="547"/>
      <c r="P235" s="547"/>
      <c r="Q235" s="547"/>
      <c r="R235" s="547"/>
      <c r="S235" s="547"/>
    </row>
    <row r="236" spans="1:19" x14ac:dyDescent="0.25">
      <c r="A236" s="547"/>
      <c r="B236" s="547" t="s">
        <v>71</v>
      </c>
      <c r="C236" s="547">
        <v>591871608</v>
      </c>
      <c r="D236" s="547">
        <v>56740912048</v>
      </c>
      <c r="E236" s="547">
        <v>6281071387</v>
      </c>
      <c r="F236" s="547">
        <v>10.612219444390041</v>
      </c>
      <c r="G236" s="547"/>
      <c r="H236" s="547"/>
      <c r="I236" s="547"/>
      <c r="J236" s="547"/>
      <c r="K236" s="547"/>
      <c r="L236" s="547"/>
      <c r="M236" s="547"/>
      <c r="N236" s="547"/>
      <c r="O236" s="547"/>
      <c r="P236" s="547"/>
      <c r="Q236" s="547"/>
      <c r="R236" s="547"/>
      <c r="S236" s="547"/>
    </row>
    <row r="237" spans="1:19" x14ac:dyDescent="0.25">
      <c r="A237" s="547"/>
      <c r="B237" s="547" t="s">
        <v>72</v>
      </c>
      <c r="C237" s="547">
        <v>624381798</v>
      </c>
      <c r="D237" s="547">
        <v>59190563180</v>
      </c>
      <c r="E237" s="547">
        <v>7018559073</v>
      </c>
      <c r="F237" s="547">
        <v>11.240813065790237</v>
      </c>
      <c r="G237" s="547"/>
      <c r="H237" s="547"/>
      <c r="I237" s="547"/>
      <c r="J237" s="547"/>
      <c r="K237" s="547"/>
      <c r="L237" s="547"/>
      <c r="M237" s="547"/>
      <c r="N237" s="547"/>
      <c r="O237" s="547"/>
      <c r="P237" s="547"/>
      <c r="Q237" s="547"/>
      <c r="R237" s="547"/>
      <c r="S237" s="547"/>
    </row>
    <row r="238" spans="1:19" x14ac:dyDescent="0.25">
      <c r="A238" s="547"/>
      <c r="B238" s="547" t="s">
        <v>73</v>
      </c>
      <c r="C238" s="547">
        <v>659400104</v>
      </c>
      <c r="D238" s="547">
        <v>61657885237</v>
      </c>
      <c r="E238" s="547">
        <v>7664991607</v>
      </c>
      <c r="F238" s="547">
        <v>11.624189260061142</v>
      </c>
      <c r="G238" s="547"/>
      <c r="H238" s="547"/>
      <c r="I238" s="547"/>
      <c r="J238" s="547"/>
      <c r="K238" s="547"/>
      <c r="L238" s="547"/>
      <c r="M238" s="547"/>
      <c r="N238" s="547"/>
      <c r="O238" s="547"/>
      <c r="P238" s="547"/>
      <c r="Q238" s="547"/>
      <c r="R238" s="547"/>
      <c r="S238" s="547"/>
    </row>
    <row r="239" spans="1:19" x14ac:dyDescent="0.25">
      <c r="A239" s="547"/>
      <c r="B239" s="547" t="s">
        <v>74</v>
      </c>
      <c r="C239" s="547">
        <v>691948868</v>
      </c>
      <c r="D239" s="547">
        <v>64042525435</v>
      </c>
      <c r="E239" s="547">
        <v>8094174944</v>
      </c>
      <c r="F239" s="547">
        <v>11.697648942464921</v>
      </c>
      <c r="G239" s="547"/>
      <c r="H239" s="547"/>
      <c r="I239" s="547"/>
      <c r="J239" s="547"/>
      <c r="K239" s="547"/>
      <c r="L239" s="547"/>
      <c r="M239" s="547"/>
      <c r="N239" s="547"/>
      <c r="O239" s="547"/>
      <c r="P239" s="547"/>
      <c r="Q239" s="547"/>
      <c r="R239" s="547"/>
      <c r="S239" s="547"/>
    </row>
    <row r="240" spans="1:19" x14ac:dyDescent="0.25">
      <c r="A240" s="547"/>
      <c r="B240" s="547" t="s">
        <v>75</v>
      </c>
      <c r="C240" s="547">
        <v>733010929</v>
      </c>
      <c r="D240" s="547">
        <v>67468607795</v>
      </c>
      <c r="E240" s="547">
        <v>8013483226</v>
      </c>
      <c r="F240" s="547">
        <v>10.932283420292633</v>
      </c>
      <c r="G240" s="547"/>
      <c r="H240" s="547"/>
      <c r="I240" s="547"/>
      <c r="J240" s="547"/>
      <c r="K240" s="547"/>
      <c r="L240" s="547"/>
      <c r="M240" s="547"/>
      <c r="N240" s="547"/>
      <c r="O240" s="547"/>
      <c r="P240" s="547"/>
      <c r="Q240" s="547"/>
      <c r="R240" s="547"/>
      <c r="S240" s="547"/>
    </row>
    <row r="241" spans="1:19" x14ac:dyDescent="0.25">
      <c r="A241" s="547"/>
      <c r="B241" s="547" t="s">
        <v>76</v>
      </c>
      <c r="C241" s="547">
        <v>762631738</v>
      </c>
      <c r="D241" s="547">
        <v>70369213090</v>
      </c>
      <c r="E241" s="547">
        <v>8250323893</v>
      </c>
      <c r="F241" s="547">
        <v>10.818227831215699</v>
      </c>
      <c r="G241" s="547"/>
      <c r="H241" s="547"/>
      <c r="I241" s="547"/>
      <c r="J241" s="547"/>
      <c r="K241" s="547"/>
      <c r="L241" s="547"/>
      <c r="M241" s="547"/>
      <c r="N241" s="547"/>
      <c r="O241" s="547"/>
      <c r="P241" s="547"/>
      <c r="Q241" s="547"/>
      <c r="R241" s="547"/>
      <c r="S241" s="547"/>
    </row>
    <row r="242" spans="1:19" x14ac:dyDescent="0.25">
      <c r="A242" s="547"/>
      <c r="B242" s="547" t="s">
        <v>4</v>
      </c>
      <c r="C242" s="547">
        <v>803297137</v>
      </c>
      <c r="D242" s="547">
        <v>73093309000</v>
      </c>
      <c r="E242" s="547">
        <v>8303500918</v>
      </c>
      <c r="F242" s="547">
        <v>10.336773947695521</v>
      </c>
      <c r="G242" s="547"/>
      <c r="H242" s="547"/>
      <c r="I242" s="547"/>
      <c r="J242" s="547"/>
      <c r="K242" s="547"/>
      <c r="L242" s="547"/>
      <c r="M242" s="547"/>
      <c r="N242" s="547"/>
      <c r="O242" s="547"/>
      <c r="P242" s="547"/>
      <c r="Q242" s="547"/>
      <c r="R242" s="547"/>
      <c r="S242" s="547"/>
    </row>
    <row r="243" spans="1:19" x14ac:dyDescent="0.25">
      <c r="A243" s="547"/>
      <c r="B243" s="547" t="s">
        <v>5</v>
      </c>
      <c r="C243" s="547">
        <v>852482281</v>
      </c>
      <c r="D243" s="547">
        <v>77363704790</v>
      </c>
      <c r="E243" s="547">
        <v>8376264432</v>
      </c>
      <c r="F243" s="547">
        <v>9.8257343509524517</v>
      </c>
      <c r="G243" s="547"/>
      <c r="H243" s="547"/>
      <c r="I243" s="547"/>
      <c r="J243" s="547"/>
      <c r="K243" s="547"/>
      <c r="L243" s="547"/>
      <c r="M243" s="547"/>
      <c r="N243" s="547"/>
      <c r="O243" s="547"/>
      <c r="P243" s="547"/>
      <c r="Q243" s="547"/>
      <c r="R243" s="547"/>
      <c r="S243" s="547"/>
    </row>
    <row r="244" spans="1:19" x14ac:dyDescent="0.25">
      <c r="A244" s="547"/>
      <c r="B244" s="547" t="s">
        <v>6</v>
      </c>
      <c r="C244" s="547">
        <v>897727347</v>
      </c>
      <c r="D244" s="547">
        <v>81139818758</v>
      </c>
      <c r="E244" s="547">
        <v>8621421130</v>
      </c>
      <c r="F244" s="547">
        <v>9.6036075527952036</v>
      </c>
      <c r="G244" s="547"/>
      <c r="H244" s="547"/>
      <c r="I244" s="547"/>
      <c r="J244" s="547"/>
      <c r="K244" s="547"/>
      <c r="L244" s="547"/>
      <c r="M244" s="547"/>
      <c r="N244" s="547"/>
      <c r="O244" s="547"/>
      <c r="P244" s="547"/>
      <c r="Q244" s="547"/>
      <c r="R244" s="547"/>
      <c r="S244" s="547"/>
    </row>
    <row r="245" spans="1:19" x14ac:dyDescent="0.25">
      <c r="A245" s="547"/>
      <c r="B245" s="547" t="s">
        <v>7</v>
      </c>
      <c r="C245" s="547">
        <v>936743859</v>
      </c>
      <c r="D245" s="547">
        <v>83740259688</v>
      </c>
      <c r="E245" s="547">
        <v>8880735344</v>
      </c>
      <c r="F245" s="547">
        <v>9.4804308121970831</v>
      </c>
      <c r="G245" s="547"/>
      <c r="H245" s="547"/>
      <c r="I245" s="547"/>
      <c r="J245" s="547"/>
      <c r="K245" s="547"/>
      <c r="L245" s="547"/>
      <c r="M245" s="547"/>
      <c r="N245" s="547"/>
      <c r="O245" s="547"/>
      <c r="P245" s="547"/>
      <c r="Q245" s="547"/>
      <c r="R245" s="547"/>
      <c r="S245" s="547"/>
    </row>
    <row r="246" spans="1:19" x14ac:dyDescent="0.25">
      <c r="A246" s="547"/>
      <c r="B246" s="547" t="s">
        <v>489</v>
      </c>
      <c r="C246" s="547">
        <v>973381568</v>
      </c>
      <c r="D246" s="547">
        <v>84155589191</v>
      </c>
      <c r="E246" s="547">
        <v>8777964802</v>
      </c>
      <c r="F246" s="547">
        <v>9.0180100903657134</v>
      </c>
      <c r="G246" s="547"/>
      <c r="H246" s="547"/>
      <c r="I246" s="547"/>
      <c r="J246" s="547"/>
      <c r="K246" s="547"/>
      <c r="L246" s="547"/>
      <c r="M246" s="547"/>
      <c r="N246" s="547"/>
      <c r="O246" s="547"/>
      <c r="P246" s="547"/>
      <c r="Q246" s="547"/>
      <c r="R246" s="547"/>
      <c r="S246" s="547"/>
    </row>
    <row r="247" spans="1:19" x14ac:dyDescent="0.25">
      <c r="A247" s="547"/>
      <c r="B247" s="547"/>
      <c r="C247" s="547"/>
      <c r="D247" s="547"/>
      <c r="E247" s="547"/>
      <c r="F247" s="547"/>
      <c r="G247" s="547"/>
      <c r="H247" s="547"/>
      <c r="I247" s="547"/>
      <c r="J247" s="547"/>
      <c r="K247" s="547"/>
      <c r="L247" s="547"/>
      <c r="M247" s="547"/>
      <c r="N247" s="547"/>
      <c r="O247" s="547"/>
      <c r="P247" s="547"/>
      <c r="Q247" s="547"/>
      <c r="R247" s="547"/>
      <c r="S247" s="547"/>
    </row>
    <row r="248" spans="1:19" x14ac:dyDescent="0.25">
      <c r="A248" s="547"/>
      <c r="B248" s="547"/>
      <c r="C248" s="547"/>
      <c r="D248" s="547"/>
      <c r="E248" s="547"/>
      <c r="F248" s="547"/>
      <c r="G248" s="547"/>
      <c r="H248" s="547"/>
      <c r="I248" s="547"/>
      <c r="J248" s="547"/>
      <c r="K248" s="547"/>
      <c r="L248" s="547"/>
      <c r="M248" s="547"/>
      <c r="N248" s="547"/>
      <c r="O248" s="547"/>
      <c r="P248" s="547"/>
      <c r="Q248" s="547"/>
      <c r="R248" s="547"/>
      <c r="S248" s="547"/>
    </row>
    <row r="249" spans="1:19" x14ac:dyDescent="0.25">
      <c r="A249" s="547"/>
      <c r="B249" s="547"/>
      <c r="C249" s="547"/>
      <c r="D249" s="547"/>
      <c r="E249" s="547"/>
      <c r="F249" s="547"/>
      <c r="G249" s="547"/>
      <c r="H249" s="547"/>
      <c r="I249" s="547"/>
      <c r="J249" s="547"/>
      <c r="K249" s="547"/>
      <c r="L249" s="547"/>
      <c r="M249" s="547"/>
      <c r="N249" s="547"/>
      <c r="O249" s="547"/>
      <c r="P249" s="547"/>
      <c r="Q249" s="547"/>
      <c r="R249" s="547"/>
      <c r="S249" s="547"/>
    </row>
    <row r="250" spans="1:19" x14ac:dyDescent="0.25">
      <c r="A250" s="547"/>
      <c r="B250" s="547"/>
      <c r="C250" s="547"/>
      <c r="D250" s="547"/>
      <c r="E250" s="547"/>
      <c r="F250" s="547"/>
      <c r="G250" s="547"/>
      <c r="H250" s="547"/>
      <c r="I250" s="547"/>
      <c r="J250" s="547"/>
      <c r="K250" s="547"/>
      <c r="L250" s="547"/>
      <c r="M250" s="547"/>
      <c r="N250" s="547"/>
      <c r="O250" s="547"/>
      <c r="P250" s="547"/>
      <c r="Q250" s="547"/>
      <c r="R250" s="547"/>
      <c r="S250" s="547"/>
    </row>
    <row r="251" spans="1:19" x14ac:dyDescent="0.25">
      <c r="A251" s="547"/>
      <c r="B251" s="547"/>
      <c r="C251" s="547"/>
      <c r="D251" s="547"/>
      <c r="E251" s="547"/>
      <c r="F251" s="547"/>
      <c r="G251" s="547"/>
      <c r="H251" s="547"/>
      <c r="I251" s="547"/>
      <c r="J251" s="547"/>
      <c r="K251" s="547"/>
      <c r="L251" s="547"/>
      <c r="M251" s="547"/>
      <c r="N251" s="547"/>
      <c r="O251" s="547"/>
      <c r="P251" s="547"/>
      <c r="Q251" s="547"/>
      <c r="R251" s="547"/>
      <c r="S251" s="547"/>
    </row>
    <row r="252" spans="1:19" x14ac:dyDescent="0.25">
      <c r="A252" s="547"/>
      <c r="B252" s="547"/>
      <c r="C252" s="547"/>
      <c r="D252" s="547"/>
      <c r="E252" s="547"/>
      <c r="F252" s="547"/>
      <c r="G252" s="547"/>
      <c r="H252" s="547"/>
      <c r="I252" s="547"/>
      <c r="J252" s="547"/>
      <c r="K252" s="547"/>
      <c r="L252" s="547"/>
      <c r="M252" s="547"/>
      <c r="N252" s="547"/>
      <c r="O252" s="547"/>
      <c r="P252" s="547"/>
      <c r="Q252" s="547"/>
      <c r="R252" s="547"/>
      <c r="S252" s="547"/>
    </row>
    <row r="253" spans="1:19" x14ac:dyDescent="0.25">
      <c r="A253" s="547"/>
      <c r="B253" s="547"/>
      <c r="C253" s="547"/>
      <c r="D253" s="547"/>
      <c r="E253" s="547"/>
      <c r="F253" s="547"/>
      <c r="G253" s="547"/>
      <c r="H253" s="547"/>
      <c r="I253" s="547"/>
      <c r="J253" s="547"/>
      <c r="K253" s="547"/>
      <c r="L253" s="547"/>
      <c r="M253" s="547"/>
      <c r="N253" s="547"/>
      <c r="O253" s="547"/>
      <c r="P253" s="547"/>
      <c r="Q253" s="547"/>
      <c r="R253" s="547"/>
      <c r="S253" s="547"/>
    </row>
    <row r="254" spans="1:19" x14ac:dyDescent="0.25">
      <c r="A254" s="547"/>
      <c r="B254" s="547"/>
      <c r="C254" s="547"/>
      <c r="D254" s="547"/>
      <c r="E254" s="547"/>
      <c r="F254" s="547"/>
      <c r="G254" s="547"/>
      <c r="H254" s="547"/>
      <c r="I254" s="547"/>
      <c r="J254" s="547"/>
      <c r="K254" s="547"/>
      <c r="L254" s="547"/>
      <c r="M254" s="547"/>
      <c r="N254" s="547"/>
      <c r="O254" s="547"/>
      <c r="P254" s="547"/>
      <c r="Q254" s="547"/>
      <c r="R254" s="547"/>
      <c r="S254" s="547"/>
    </row>
    <row r="255" spans="1:19" x14ac:dyDescent="0.25">
      <c r="A255" s="547"/>
      <c r="B255" s="547"/>
      <c r="C255" s="547"/>
      <c r="D255" s="547"/>
      <c r="E255" s="547"/>
      <c r="F255" s="547"/>
      <c r="G255" s="547"/>
      <c r="H255" s="547"/>
      <c r="I255" s="547"/>
      <c r="J255" s="547"/>
      <c r="K255" s="547"/>
      <c r="L255" s="547"/>
      <c r="M255" s="547"/>
      <c r="N255" s="547"/>
      <c r="O255" s="547"/>
      <c r="P255" s="547"/>
      <c r="Q255" s="547"/>
      <c r="R255" s="547"/>
      <c r="S255" s="547"/>
    </row>
    <row r="256" spans="1:19" x14ac:dyDescent="0.25">
      <c r="A256" s="547"/>
      <c r="B256" s="547"/>
      <c r="C256" s="547"/>
      <c r="D256" s="547"/>
      <c r="E256" s="547"/>
      <c r="F256" s="547"/>
      <c r="G256" s="547"/>
      <c r="H256" s="547"/>
      <c r="I256" s="547"/>
      <c r="J256" s="547"/>
      <c r="K256" s="547"/>
      <c r="L256" s="547"/>
      <c r="M256" s="547"/>
      <c r="N256" s="547"/>
      <c r="O256" s="547"/>
      <c r="P256" s="547"/>
      <c r="Q256" s="547"/>
      <c r="R256" s="547"/>
      <c r="S256" s="547"/>
    </row>
    <row r="257" spans="1:19" x14ac:dyDescent="0.25">
      <c r="A257" s="547"/>
      <c r="B257" s="547"/>
      <c r="C257" s="547"/>
      <c r="D257" s="547"/>
      <c r="E257" s="547"/>
      <c r="F257" s="547"/>
      <c r="G257" s="547"/>
      <c r="H257" s="547"/>
      <c r="I257" s="547"/>
      <c r="J257" s="547"/>
      <c r="K257" s="547"/>
      <c r="L257" s="547"/>
      <c r="M257" s="547"/>
      <c r="N257" s="547"/>
      <c r="O257" s="547"/>
      <c r="P257" s="547"/>
      <c r="Q257" s="547"/>
      <c r="R257" s="547"/>
      <c r="S257" s="547"/>
    </row>
    <row r="258" spans="1:19" x14ac:dyDescent="0.25">
      <c r="A258" s="547"/>
      <c r="B258" s="547"/>
      <c r="C258" s="547"/>
      <c r="D258" s="547"/>
      <c r="E258" s="547"/>
      <c r="F258" s="547"/>
      <c r="G258" s="547"/>
      <c r="H258" s="547"/>
      <c r="I258" s="547"/>
      <c r="J258" s="547"/>
      <c r="K258" s="547"/>
      <c r="L258" s="547"/>
      <c r="M258" s="547"/>
      <c r="N258" s="547"/>
      <c r="O258" s="547"/>
      <c r="P258" s="547"/>
      <c r="Q258" s="547"/>
      <c r="R258" s="547"/>
      <c r="S258" s="547"/>
    </row>
    <row r="259" spans="1:19" x14ac:dyDescent="0.25">
      <c r="A259" s="547"/>
      <c r="B259" s="547"/>
      <c r="C259" s="547"/>
      <c r="D259" s="547"/>
      <c r="E259" s="547"/>
      <c r="F259" s="547"/>
      <c r="G259" s="547"/>
      <c r="H259" s="547"/>
      <c r="I259" s="547"/>
      <c r="J259" s="547"/>
      <c r="K259" s="547"/>
      <c r="L259" s="547"/>
      <c r="M259" s="547"/>
      <c r="N259" s="547"/>
      <c r="O259" s="547"/>
      <c r="P259" s="547"/>
      <c r="Q259" s="547"/>
      <c r="R259" s="547"/>
      <c r="S259" s="547"/>
    </row>
    <row r="260" spans="1:19" x14ac:dyDescent="0.25">
      <c r="A260" s="547"/>
      <c r="B260" s="547"/>
      <c r="C260" s="547"/>
      <c r="D260" s="547"/>
      <c r="E260" s="547"/>
      <c r="F260" s="547"/>
      <c r="G260" s="547"/>
      <c r="H260" s="547"/>
      <c r="I260" s="547"/>
      <c r="J260" s="547"/>
      <c r="K260" s="547"/>
      <c r="L260" s="547"/>
      <c r="M260" s="547"/>
      <c r="N260" s="547"/>
      <c r="O260" s="547"/>
      <c r="P260" s="547"/>
      <c r="Q260" s="547"/>
      <c r="R260" s="547"/>
      <c r="S260" s="547"/>
    </row>
    <row r="261" spans="1:19" x14ac:dyDescent="0.25">
      <c r="A261" s="547"/>
      <c r="B261" s="547"/>
      <c r="C261" s="547"/>
      <c r="D261" s="547"/>
      <c r="E261" s="547"/>
      <c r="F261" s="547"/>
      <c r="G261" s="547"/>
      <c r="H261" s="547"/>
      <c r="I261" s="547"/>
      <c r="J261" s="547"/>
      <c r="K261" s="547"/>
      <c r="L261" s="547"/>
      <c r="M261" s="547"/>
      <c r="N261" s="547"/>
      <c r="O261" s="547"/>
      <c r="P261" s="547"/>
      <c r="Q261" s="547"/>
      <c r="R261" s="547"/>
      <c r="S261" s="547"/>
    </row>
    <row r="262" spans="1:19" x14ac:dyDescent="0.25">
      <c r="A262" s="547"/>
      <c r="B262" s="547"/>
      <c r="C262" s="547"/>
      <c r="D262" s="547"/>
      <c r="E262" s="547"/>
      <c r="F262" s="547"/>
      <c r="G262" s="547"/>
      <c r="H262" s="547"/>
      <c r="I262" s="547"/>
      <c r="J262" s="547"/>
      <c r="K262" s="547"/>
      <c r="L262" s="547"/>
      <c r="M262" s="547"/>
      <c r="N262" s="547"/>
      <c r="O262" s="547"/>
      <c r="P262" s="547"/>
      <c r="Q262" s="547"/>
      <c r="R262" s="547"/>
      <c r="S262" s="547"/>
    </row>
    <row r="263" spans="1:19" x14ac:dyDescent="0.25">
      <c r="A263" s="547"/>
      <c r="B263" s="547"/>
      <c r="C263" s="547"/>
      <c r="D263" s="547"/>
      <c r="E263" s="547"/>
      <c r="F263" s="547"/>
      <c r="G263" s="547"/>
      <c r="H263" s="547"/>
      <c r="I263" s="547"/>
      <c r="J263" s="547"/>
      <c r="K263" s="547"/>
      <c r="L263" s="547"/>
      <c r="M263" s="547"/>
      <c r="N263" s="547"/>
      <c r="O263" s="547"/>
      <c r="P263" s="547"/>
      <c r="Q263" s="547"/>
      <c r="R263" s="547"/>
      <c r="S263" s="547"/>
    </row>
    <row r="264" spans="1:19" x14ac:dyDescent="0.25">
      <c r="A264" s="547"/>
      <c r="B264" s="547"/>
      <c r="C264" s="547"/>
      <c r="D264" s="547"/>
      <c r="E264" s="547"/>
      <c r="F264" s="547"/>
      <c r="G264" s="547"/>
      <c r="H264" s="547"/>
      <c r="I264" s="547"/>
      <c r="J264" s="547"/>
      <c r="K264" s="547"/>
      <c r="L264" s="547"/>
      <c r="M264" s="547"/>
      <c r="N264" s="547"/>
      <c r="O264" s="547"/>
      <c r="P264" s="547"/>
      <c r="Q264" s="547"/>
      <c r="R264" s="547"/>
      <c r="S264" s="547"/>
    </row>
    <row r="265" spans="1:19" x14ac:dyDescent="0.25">
      <c r="A265" s="547"/>
      <c r="B265" s="547"/>
      <c r="C265" s="547"/>
      <c r="D265" s="547"/>
      <c r="E265" s="547"/>
      <c r="F265" s="547"/>
      <c r="G265" s="547"/>
      <c r="H265" s="547"/>
      <c r="I265" s="547"/>
      <c r="J265" s="547"/>
      <c r="K265" s="547"/>
      <c r="L265" s="547"/>
      <c r="M265" s="547"/>
      <c r="N265" s="547"/>
      <c r="O265" s="547"/>
      <c r="P265" s="547"/>
      <c r="Q265" s="547"/>
      <c r="R265" s="547"/>
      <c r="S265" s="547"/>
    </row>
    <row r="266" spans="1:19" x14ac:dyDescent="0.25">
      <c r="A266" s="547"/>
      <c r="B266" s="547"/>
      <c r="C266" s="547"/>
      <c r="D266" s="547"/>
      <c r="E266" s="547"/>
      <c r="F266" s="547"/>
      <c r="G266" s="547"/>
      <c r="H266" s="547"/>
      <c r="I266" s="547"/>
      <c r="J266" s="547"/>
      <c r="K266" s="547"/>
      <c r="L266" s="547"/>
      <c r="M266" s="547"/>
      <c r="N266" s="547"/>
      <c r="O266" s="547"/>
      <c r="P266" s="547"/>
      <c r="Q266" s="547"/>
      <c r="R266" s="547"/>
      <c r="S266" s="547"/>
    </row>
    <row r="267" spans="1:19" x14ac:dyDescent="0.25">
      <c r="A267" s="547"/>
      <c r="B267" s="547"/>
      <c r="C267" s="547"/>
      <c r="D267" s="547"/>
      <c r="E267" s="547"/>
      <c r="F267" s="547"/>
      <c r="G267" s="547"/>
      <c r="H267" s="547"/>
      <c r="I267" s="547"/>
      <c r="J267" s="547"/>
      <c r="K267" s="547"/>
      <c r="L267" s="547"/>
      <c r="M267" s="547"/>
      <c r="N267" s="547"/>
      <c r="O267" s="547"/>
      <c r="P267" s="547"/>
      <c r="Q267" s="547"/>
      <c r="R267" s="547"/>
      <c r="S267" s="547"/>
    </row>
    <row r="268" spans="1:19" x14ac:dyDescent="0.25">
      <c r="A268" s="547"/>
      <c r="B268" s="547"/>
      <c r="C268" s="547"/>
      <c r="D268" s="547"/>
      <c r="E268" s="547"/>
      <c r="F268" s="547"/>
      <c r="G268" s="547"/>
      <c r="H268" s="547"/>
      <c r="I268" s="547"/>
      <c r="J268" s="547"/>
      <c r="K268" s="547"/>
      <c r="L268" s="547"/>
      <c r="M268" s="547"/>
      <c r="N268" s="547"/>
      <c r="O268" s="547"/>
      <c r="P268" s="547"/>
      <c r="Q268" s="547"/>
      <c r="R268" s="547"/>
      <c r="S268" s="547"/>
    </row>
    <row r="269" spans="1:19" x14ac:dyDescent="0.25">
      <c r="A269" s="547"/>
      <c r="B269" s="547"/>
      <c r="C269" s="547"/>
      <c r="D269" s="547"/>
      <c r="E269" s="547"/>
      <c r="F269" s="547"/>
      <c r="G269" s="547"/>
      <c r="H269" s="547"/>
      <c r="I269" s="547"/>
      <c r="J269" s="547"/>
      <c r="K269" s="547"/>
      <c r="L269" s="547"/>
      <c r="M269" s="547"/>
      <c r="N269" s="547"/>
      <c r="O269" s="547"/>
      <c r="P269" s="547"/>
      <c r="Q269" s="547"/>
      <c r="R269" s="547"/>
      <c r="S269" s="547"/>
    </row>
    <row r="270" spans="1:19" x14ac:dyDescent="0.25">
      <c r="A270" s="547"/>
      <c r="B270" s="547"/>
      <c r="C270" s="547"/>
      <c r="D270" s="547"/>
      <c r="E270" s="547"/>
      <c r="F270" s="547"/>
      <c r="G270" s="547"/>
      <c r="H270" s="547"/>
      <c r="I270" s="547"/>
      <c r="J270" s="547"/>
      <c r="K270" s="547"/>
      <c r="L270" s="547"/>
      <c r="M270" s="547"/>
      <c r="N270" s="547"/>
      <c r="O270" s="547"/>
      <c r="P270" s="547"/>
      <c r="Q270" s="547"/>
      <c r="R270" s="547"/>
      <c r="S270" s="547"/>
    </row>
    <row r="271" spans="1:19" x14ac:dyDescent="0.25">
      <c r="A271" s="547"/>
      <c r="B271" s="547"/>
      <c r="C271" s="547"/>
      <c r="D271" s="547"/>
      <c r="E271" s="547"/>
      <c r="F271" s="547"/>
      <c r="G271" s="547"/>
      <c r="H271" s="547"/>
      <c r="I271" s="547"/>
      <c r="J271" s="547"/>
      <c r="K271" s="547"/>
      <c r="L271" s="547"/>
      <c r="M271" s="547"/>
      <c r="N271" s="547"/>
      <c r="O271" s="547"/>
      <c r="P271" s="547"/>
      <c r="Q271" s="547"/>
      <c r="R271" s="547"/>
      <c r="S271" s="547"/>
    </row>
    <row r="272" spans="1:19" x14ac:dyDescent="0.25">
      <c r="A272" s="547"/>
      <c r="B272" s="547"/>
      <c r="C272" s="547"/>
      <c r="D272" s="547"/>
      <c r="E272" s="547"/>
      <c r="F272" s="547"/>
      <c r="G272" s="547"/>
      <c r="H272" s="547"/>
      <c r="I272" s="547"/>
      <c r="J272" s="547"/>
      <c r="K272" s="547"/>
      <c r="L272" s="547"/>
      <c r="M272" s="547"/>
      <c r="N272" s="547"/>
      <c r="O272" s="547"/>
      <c r="P272" s="547"/>
      <c r="Q272" s="547"/>
      <c r="R272" s="547"/>
      <c r="S272" s="547"/>
    </row>
    <row r="273" spans="1:19" x14ac:dyDescent="0.25">
      <c r="A273" s="547"/>
      <c r="B273" s="547"/>
      <c r="C273" s="547"/>
      <c r="D273" s="547"/>
      <c r="E273" s="547"/>
      <c r="F273" s="547"/>
      <c r="G273" s="547"/>
      <c r="H273" s="547"/>
      <c r="I273" s="547"/>
      <c r="J273" s="547"/>
      <c r="K273" s="547"/>
      <c r="L273" s="547"/>
      <c r="M273" s="547"/>
      <c r="N273" s="547"/>
      <c r="O273" s="547"/>
      <c r="P273" s="547"/>
      <c r="Q273" s="547"/>
      <c r="R273" s="547"/>
      <c r="S273" s="547"/>
    </row>
    <row r="274" spans="1:19" x14ac:dyDescent="0.25">
      <c r="A274" s="547"/>
      <c r="B274" s="547"/>
      <c r="C274" s="547"/>
      <c r="D274" s="547"/>
      <c r="E274" s="547"/>
      <c r="F274" s="547"/>
      <c r="G274" s="547"/>
      <c r="H274" s="547"/>
      <c r="I274" s="547"/>
      <c r="J274" s="547"/>
      <c r="K274" s="547"/>
      <c r="L274" s="547"/>
      <c r="M274" s="547"/>
      <c r="N274" s="547"/>
      <c r="O274" s="547"/>
      <c r="P274" s="547"/>
      <c r="Q274" s="547"/>
      <c r="R274" s="547"/>
      <c r="S274" s="547"/>
    </row>
    <row r="275" spans="1:19" x14ac:dyDescent="0.25">
      <c r="A275" s="547"/>
      <c r="B275" s="547"/>
      <c r="C275" s="547"/>
      <c r="D275" s="547"/>
      <c r="E275" s="547"/>
      <c r="F275" s="547"/>
      <c r="G275" s="547"/>
      <c r="H275" s="547"/>
      <c r="I275" s="547"/>
      <c r="J275" s="547"/>
      <c r="K275" s="547"/>
      <c r="L275" s="547"/>
      <c r="M275" s="547"/>
      <c r="N275" s="547"/>
      <c r="O275" s="547"/>
      <c r="P275" s="547"/>
      <c r="Q275" s="547"/>
      <c r="R275" s="547"/>
      <c r="S275" s="547"/>
    </row>
    <row r="276" spans="1:19" x14ac:dyDescent="0.25">
      <c r="A276" s="547"/>
      <c r="B276" s="547"/>
      <c r="C276" s="547"/>
      <c r="D276" s="547"/>
      <c r="E276" s="547"/>
      <c r="F276" s="547"/>
      <c r="G276" s="547"/>
      <c r="H276" s="547"/>
      <c r="I276" s="547"/>
      <c r="J276" s="547"/>
      <c r="K276" s="547"/>
      <c r="L276" s="547"/>
      <c r="M276" s="547"/>
      <c r="N276" s="547"/>
      <c r="O276" s="547"/>
      <c r="P276" s="547"/>
      <c r="Q276" s="547"/>
      <c r="R276" s="547"/>
      <c r="S276" s="547"/>
    </row>
    <row r="277" spans="1:19" x14ac:dyDescent="0.25">
      <c r="A277" s="547"/>
      <c r="B277" s="547"/>
      <c r="C277" s="547"/>
      <c r="D277" s="547"/>
      <c r="E277" s="547"/>
      <c r="F277" s="547"/>
      <c r="G277" s="547"/>
      <c r="H277" s="547"/>
      <c r="I277" s="547"/>
      <c r="J277" s="547"/>
      <c r="K277" s="547"/>
      <c r="L277" s="547"/>
      <c r="M277" s="547"/>
      <c r="N277" s="547"/>
      <c r="O277" s="547"/>
      <c r="P277" s="547"/>
      <c r="Q277" s="547"/>
      <c r="R277" s="547"/>
      <c r="S277" s="547"/>
    </row>
    <row r="278" spans="1:19" x14ac:dyDescent="0.25">
      <c r="A278" s="547"/>
      <c r="B278" s="547"/>
      <c r="C278" s="547"/>
      <c r="D278" s="547"/>
      <c r="E278" s="547"/>
      <c r="F278" s="547"/>
      <c r="G278" s="547"/>
      <c r="H278" s="547"/>
      <c r="I278" s="547"/>
      <c r="J278" s="547"/>
      <c r="K278" s="547"/>
      <c r="L278" s="547"/>
      <c r="M278" s="547"/>
      <c r="N278" s="547"/>
      <c r="O278" s="547"/>
      <c r="P278" s="547"/>
      <c r="Q278" s="547"/>
      <c r="R278" s="547"/>
      <c r="S278" s="547"/>
    </row>
    <row r="279" spans="1:19" x14ac:dyDescent="0.25">
      <c r="A279" s="547"/>
      <c r="B279" s="547"/>
      <c r="C279" s="547"/>
      <c r="D279" s="547"/>
      <c r="E279" s="547"/>
      <c r="F279" s="547"/>
      <c r="G279" s="547"/>
      <c r="H279" s="547"/>
      <c r="I279" s="547"/>
      <c r="J279" s="547"/>
      <c r="K279" s="547"/>
      <c r="L279" s="547"/>
      <c r="M279" s="547"/>
      <c r="N279" s="547"/>
      <c r="O279" s="547"/>
      <c r="P279" s="547"/>
      <c r="Q279" s="547"/>
      <c r="R279" s="547"/>
      <c r="S279" s="547"/>
    </row>
    <row r="280" spans="1:19" x14ac:dyDescent="0.25">
      <c r="A280" s="547"/>
      <c r="B280" s="547"/>
      <c r="C280" s="547"/>
      <c r="D280" s="547"/>
      <c r="E280" s="547"/>
      <c r="F280" s="547"/>
      <c r="G280" s="547"/>
      <c r="H280" s="547"/>
      <c r="I280" s="547"/>
      <c r="J280" s="547"/>
      <c r="K280" s="547"/>
      <c r="L280" s="547"/>
      <c r="M280" s="547"/>
      <c r="N280" s="547"/>
      <c r="O280" s="547"/>
      <c r="P280" s="547"/>
      <c r="Q280" s="547"/>
      <c r="R280" s="547"/>
      <c r="S280" s="547"/>
    </row>
    <row r="281" spans="1:19" x14ac:dyDescent="0.25">
      <c r="A281" s="547"/>
      <c r="B281" s="547"/>
      <c r="C281" s="547"/>
      <c r="D281" s="547"/>
      <c r="E281" s="547"/>
      <c r="F281" s="547"/>
      <c r="G281" s="547"/>
      <c r="H281" s="547"/>
      <c r="I281" s="547"/>
      <c r="J281" s="547"/>
      <c r="K281" s="547"/>
      <c r="L281" s="547"/>
      <c r="M281" s="547"/>
      <c r="N281" s="547"/>
      <c r="O281" s="547"/>
      <c r="P281" s="547"/>
      <c r="Q281" s="547"/>
      <c r="R281" s="547"/>
      <c r="S281" s="547"/>
    </row>
    <row r="282" spans="1:19" x14ac:dyDescent="0.25">
      <c r="A282" s="547"/>
      <c r="B282" s="547"/>
      <c r="C282" s="547"/>
      <c r="D282" s="547"/>
      <c r="E282" s="547"/>
      <c r="F282" s="547"/>
      <c r="G282" s="547"/>
      <c r="H282" s="547"/>
      <c r="I282" s="547"/>
      <c r="J282" s="547"/>
      <c r="K282" s="547"/>
      <c r="L282" s="547"/>
      <c r="M282" s="547"/>
      <c r="N282" s="547"/>
      <c r="O282" s="547"/>
      <c r="P282" s="547"/>
      <c r="Q282" s="547"/>
      <c r="R282" s="547"/>
      <c r="S282" s="547"/>
    </row>
    <row r="283" spans="1:19" x14ac:dyDescent="0.25">
      <c r="A283" s="547"/>
      <c r="B283" s="547"/>
      <c r="C283" s="547"/>
      <c r="D283" s="547"/>
      <c r="E283" s="547"/>
      <c r="F283" s="547"/>
      <c r="G283" s="547"/>
      <c r="H283" s="547"/>
      <c r="I283" s="547"/>
      <c r="J283" s="547"/>
      <c r="K283" s="547"/>
      <c r="L283" s="547"/>
      <c r="M283" s="547"/>
      <c r="N283" s="547"/>
      <c r="O283" s="547"/>
      <c r="P283" s="547"/>
      <c r="Q283" s="547"/>
      <c r="R283" s="547"/>
      <c r="S283" s="547"/>
    </row>
    <row r="284" spans="1:19" x14ac:dyDescent="0.25">
      <c r="A284" s="547"/>
      <c r="B284" s="547"/>
      <c r="C284" s="547"/>
      <c r="D284" s="547"/>
      <c r="E284" s="547"/>
      <c r="F284" s="547"/>
      <c r="G284" s="547"/>
      <c r="H284" s="547"/>
      <c r="I284" s="547"/>
      <c r="J284" s="547"/>
      <c r="K284" s="547"/>
      <c r="L284" s="547"/>
      <c r="M284" s="547"/>
      <c r="N284" s="547"/>
      <c r="O284" s="547"/>
      <c r="P284" s="547"/>
      <c r="Q284" s="547"/>
      <c r="R284" s="547"/>
      <c r="S284" s="547"/>
    </row>
    <row r="285" spans="1:19" x14ac:dyDescent="0.25">
      <c r="A285" s="547"/>
      <c r="B285" s="547"/>
      <c r="C285" s="547"/>
      <c r="D285" s="547"/>
      <c r="E285" s="547"/>
      <c r="F285" s="547"/>
      <c r="G285" s="547"/>
      <c r="H285" s="547"/>
      <c r="I285" s="547"/>
      <c r="J285" s="547"/>
      <c r="K285" s="547"/>
      <c r="L285" s="547"/>
      <c r="M285" s="547"/>
      <c r="N285" s="547"/>
      <c r="O285" s="547"/>
      <c r="P285" s="547"/>
      <c r="Q285" s="547"/>
      <c r="R285" s="547"/>
      <c r="S285" s="547"/>
    </row>
    <row r="286" spans="1:19" x14ac:dyDescent="0.25">
      <c r="A286" s="547"/>
      <c r="B286" s="547"/>
      <c r="C286" s="547"/>
      <c r="D286" s="547"/>
      <c r="E286" s="547"/>
      <c r="F286" s="547"/>
      <c r="G286" s="547"/>
      <c r="H286" s="547"/>
      <c r="I286" s="547"/>
      <c r="J286" s="547"/>
      <c r="K286" s="547"/>
      <c r="L286" s="547"/>
      <c r="M286" s="547"/>
      <c r="N286" s="547"/>
      <c r="O286" s="547"/>
      <c r="P286" s="547"/>
      <c r="Q286" s="547"/>
      <c r="R286" s="547"/>
      <c r="S286" s="547"/>
    </row>
    <row r="287" spans="1:19" x14ac:dyDescent="0.25">
      <c r="A287" s="547"/>
      <c r="B287" s="547"/>
      <c r="C287" s="547"/>
      <c r="D287" s="547"/>
      <c r="E287" s="547"/>
      <c r="F287" s="547"/>
      <c r="G287" s="547"/>
      <c r="H287" s="547"/>
      <c r="I287" s="547"/>
      <c r="J287" s="547"/>
      <c r="K287" s="547"/>
      <c r="L287" s="547"/>
      <c r="M287" s="547"/>
      <c r="N287" s="547"/>
      <c r="O287" s="547"/>
      <c r="P287" s="547"/>
      <c r="Q287" s="547"/>
      <c r="R287" s="547"/>
      <c r="S287" s="547"/>
    </row>
    <row r="288" spans="1:19" x14ac:dyDescent="0.25">
      <c r="A288" s="547"/>
      <c r="B288" s="547"/>
      <c r="C288" s="547"/>
      <c r="D288" s="547"/>
      <c r="E288" s="547"/>
      <c r="F288" s="547"/>
      <c r="G288" s="547"/>
      <c r="H288" s="547"/>
      <c r="I288" s="547"/>
      <c r="J288" s="547"/>
      <c r="K288" s="547"/>
      <c r="L288" s="547"/>
      <c r="M288" s="547"/>
      <c r="N288" s="547"/>
      <c r="O288" s="547"/>
      <c r="P288" s="547"/>
      <c r="Q288" s="547"/>
      <c r="R288" s="547"/>
      <c r="S288" s="547"/>
    </row>
    <row r="289" spans="1:19" x14ac:dyDescent="0.25">
      <c r="A289" s="547"/>
      <c r="B289" s="547"/>
      <c r="C289" s="547"/>
      <c r="D289" s="547"/>
      <c r="E289" s="547"/>
      <c r="F289" s="547"/>
      <c r="G289" s="547"/>
      <c r="H289" s="547"/>
      <c r="I289" s="547"/>
      <c r="J289" s="547"/>
      <c r="K289" s="547"/>
      <c r="L289" s="547"/>
      <c r="M289" s="547"/>
      <c r="N289" s="547"/>
      <c r="O289" s="547"/>
      <c r="P289" s="547"/>
      <c r="Q289" s="547"/>
      <c r="R289" s="547"/>
      <c r="S289" s="547"/>
    </row>
    <row r="290" spans="1:19" x14ac:dyDescent="0.25">
      <c r="A290" s="547"/>
      <c r="B290" s="547"/>
      <c r="C290" s="547"/>
      <c r="D290" s="547"/>
      <c r="E290" s="547"/>
      <c r="F290" s="547"/>
      <c r="G290" s="547"/>
      <c r="H290" s="547"/>
      <c r="I290" s="547"/>
      <c r="J290" s="547"/>
      <c r="K290" s="547"/>
      <c r="L290" s="547"/>
      <c r="M290" s="547"/>
      <c r="N290" s="547"/>
      <c r="O290" s="547"/>
      <c r="P290" s="547"/>
      <c r="Q290" s="547"/>
      <c r="R290" s="547"/>
      <c r="S290" s="547"/>
    </row>
    <row r="291" spans="1:19" x14ac:dyDescent="0.25">
      <c r="A291" s="547"/>
      <c r="B291" s="547"/>
      <c r="C291" s="547"/>
      <c r="D291" s="547"/>
      <c r="E291" s="547"/>
      <c r="F291" s="547"/>
      <c r="G291" s="547"/>
      <c r="H291" s="547"/>
      <c r="I291" s="547"/>
      <c r="J291" s="547"/>
      <c r="K291" s="547"/>
      <c r="L291" s="547"/>
      <c r="M291" s="547"/>
      <c r="N291" s="547"/>
      <c r="O291" s="547"/>
      <c r="P291" s="547"/>
      <c r="Q291" s="547"/>
      <c r="R291" s="547"/>
      <c r="S291" s="547"/>
    </row>
    <row r="292" spans="1:19" x14ac:dyDescent="0.25">
      <c r="A292" s="547"/>
      <c r="B292" s="547"/>
      <c r="C292" s="547"/>
      <c r="D292" s="547"/>
      <c r="E292" s="547"/>
      <c r="F292" s="547"/>
      <c r="G292" s="547"/>
      <c r="H292" s="547"/>
      <c r="I292" s="547"/>
      <c r="J292" s="547"/>
      <c r="K292" s="547"/>
      <c r="L292" s="547"/>
      <c r="M292" s="547"/>
      <c r="N292" s="547"/>
      <c r="O292" s="547"/>
      <c r="P292" s="547"/>
      <c r="Q292" s="547"/>
      <c r="R292" s="547"/>
      <c r="S292" s="547"/>
    </row>
    <row r="293" spans="1:19" x14ac:dyDescent="0.25">
      <c r="A293" s="547"/>
      <c r="B293" s="547"/>
      <c r="C293" s="547"/>
      <c r="D293" s="547"/>
      <c r="E293" s="547"/>
      <c r="F293" s="547"/>
      <c r="G293" s="547"/>
      <c r="H293" s="547"/>
      <c r="I293" s="547"/>
      <c r="J293" s="547"/>
      <c r="K293" s="547"/>
      <c r="L293" s="547"/>
      <c r="M293" s="547"/>
      <c r="N293" s="547"/>
      <c r="O293" s="547"/>
      <c r="P293" s="547"/>
      <c r="Q293" s="547"/>
      <c r="R293" s="547"/>
      <c r="S293" s="547"/>
    </row>
    <row r="294" spans="1:19" x14ac:dyDescent="0.25">
      <c r="A294" s="547"/>
      <c r="B294" s="547"/>
      <c r="C294" s="547"/>
      <c r="D294" s="547"/>
      <c r="E294" s="547"/>
      <c r="F294" s="547"/>
      <c r="G294" s="547"/>
      <c r="H294" s="547"/>
      <c r="I294" s="547"/>
      <c r="J294" s="547"/>
      <c r="K294" s="547"/>
      <c r="L294" s="547"/>
      <c r="M294" s="547"/>
      <c r="N294" s="547"/>
      <c r="O294" s="547"/>
      <c r="P294" s="547"/>
      <c r="Q294" s="547"/>
      <c r="R294" s="547"/>
      <c r="S294" s="547"/>
    </row>
    <row r="295" spans="1:19" x14ac:dyDescent="0.25">
      <c r="A295" s="547"/>
      <c r="B295" s="547"/>
      <c r="C295" s="547"/>
      <c r="D295" s="547"/>
      <c r="E295" s="547"/>
      <c r="F295" s="547"/>
      <c r="G295" s="547"/>
      <c r="H295" s="547"/>
      <c r="I295" s="547"/>
      <c r="J295" s="547"/>
      <c r="K295" s="547"/>
      <c r="L295" s="547"/>
      <c r="M295" s="547"/>
      <c r="N295" s="547"/>
      <c r="O295" s="547"/>
      <c r="P295" s="547"/>
      <c r="Q295" s="547"/>
      <c r="R295" s="547"/>
      <c r="S295" s="547"/>
    </row>
    <row r="296" spans="1:19" x14ac:dyDescent="0.25">
      <c r="A296" s="547"/>
      <c r="B296" s="547"/>
      <c r="C296" s="547"/>
      <c r="D296" s="547"/>
      <c r="E296" s="547"/>
      <c r="F296" s="547"/>
      <c r="G296" s="547"/>
      <c r="H296" s="547"/>
      <c r="I296" s="547"/>
      <c r="J296" s="547"/>
      <c r="K296" s="547"/>
      <c r="L296" s="547"/>
      <c r="M296" s="547"/>
      <c r="N296" s="547"/>
      <c r="O296" s="547"/>
      <c r="P296" s="547"/>
      <c r="Q296" s="547"/>
      <c r="R296" s="547"/>
      <c r="S296" s="547"/>
    </row>
    <row r="297" spans="1:19" x14ac:dyDescent="0.25">
      <c r="A297" s="547"/>
      <c r="B297" s="547"/>
      <c r="C297" s="547"/>
      <c r="D297" s="547"/>
      <c r="E297" s="547"/>
      <c r="F297" s="547"/>
      <c r="G297" s="547"/>
      <c r="H297" s="547"/>
      <c r="I297" s="547"/>
      <c r="J297" s="547"/>
      <c r="K297" s="547"/>
      <c r="L297" s="547"/>
      <c r="M297" s="547"/>
      <c r="N297" s="547"/>
      <c r="O297" s="547"/>
      <c r="P297" s="547"/>
      <c r="Q297" s="547"/>
      <c r="R297" s="547"/>
      <c r="S297" s="547"/>
    </row>
    <row r="298" spans="1:19" x14ac:dyDescent="0.25">
      <c r="A298" s="547"/>
      <c r="B298" s="547"/>
      <c r="C298" s="547"/>
      <c r="D298" s="547"/>
      <c r="E298" s="547"/>
      <c r="F298" s="547"/>
      <c r="G298" s="547"/>
      <c r="H298" s="547"/>
      <c r="I298" s="547"/>
      <c r="J298" s="547"/>
      <c r="K298" s="547"/>
      <c r="L298" s="547"/>
      <c r="M298" s="547"/>
      <c r="N298" s="547"/>
      <c r="O298" s="547"/>
      <c r="P298" s="547"/>
      <c r="Q298" s="547"/>
      <c r="R298" s="547"/>
      <c r="S298" s="547"/>
    </row>
    <row r="299" spans="1:19" x14ac:dyDescent="0.25">
      <c r="A299" s="547"/>
      <c r="B299" s="547"/>
      <c r="C299" s="547"/>
      <c r="D299" s="547"/>
      <c r="E299" s="547"/>
      <c r="F299" s="547"/>
      <c r="G299" s="547"/>
      <c r="H299" s="547"/>
      <c r="I299" s="547"/>
      <c r="J299" s="547"/>
      <c r="K299" s="547"/>
      <c r="L299" s="547"/>
      <c r="M299" s="547"/>
      <c r="N299" s="547"/>
      <c r="O299" s="547"/>
      <c r="P299" s="547"/>
      <c r="Q299" s="547"/>
      <c r="R299" s="547"/>
      <c r="S299" s="547"/>
    </row>
    <row r="300" spans="1:19" x14ac:dyDescent="0.25">
      <c r="A300" s="547"/>
      <c r="B300" s="547"/>
      <c r="C300" s="547"/>
      <c r="D300" s="547"/>
      <c r="E300" s="547"/>
      <c r="F300" s="547"/>
      <c r="G300" s="547"/>
      <c r="H300" s="547"/>
      <c r="I300" s="547"/>
      <c r="J300" s="547"/>
      <c r="K300" s="547"/>
      <c r="L300" s="547"/>
      <c r="M300" s="547"/>
      <c r="N300" s="547"/>
      <c r="O300" s="547"/>
      <c r="P300" s="547"/>
      <c r="Q300" s="547"/>
      <c r="R300" s="547"/>
      <c r="S300" s="547"/>
    </row>
    <row r="301" spans="1:19" x14ac:dyDescent="0.25">
      <c r="A301" s="547"/>
      <c r="B301" s="547"/>
      <c r="C301" s="547"/>
      <c r="D301" s="547"/>
      <c r="E301" s="547"/>
      <c r="F301" s="547"/>
      <c r="G301" s="547"/>
      <c r="H301" s="547"/>
      <c r="I301" s="547"/>
      <c r="J301" s="547"/>
      <c r="K301" s="547"/>
      <c r="L301" s="547"/>
      <c r="M301" s="547"/>
      <c r="N301" s="547"/>
      <c r="O301" s="547"/>
      <c r="P301" s="547"/>
      <c r="Q301" s="547"/>
      <c r="R301" s="547"/>
      <c r="S301" s="547"/>
    </row>
    <row r="302" spans="1:19" x14ac:dyDescent="0.25">
      <c r="A302" s="547"/>
      <c r="B302" s="547"/>
      <c r="C302" s="547"/>
      <c r="D302" s="547"/>
      <c r="E302" s="547"/>
      <c r="F302" s="547"/>
      <c r="G302" s="547"/>
      <c r="H302" s="547"/>
      <c r="I302" s="547"/>
      <c r="J302" s="547"/>
      <c r="K302" s="547"/>
      <c r="L302" s="547"/>
      <c r="M302" s="547"/>
      <c r="N302" s="547"/>
      <c r="O302" s="547"/>
      <c r="P302" s="547"/>
      <c r="Q302" s="547"/>
      <c r="R302" s="547"/>
      <c r="S302" s="547"/>
    </row>
    <row r="303" spans="1:19" x14ac:dyDescent="0.25">
      <c r="A303" s="259"/>
      <c r="B303" s="259"/>
      <c r="C303" s="259"/>
      <c r="D303" s="259"/>
      <c r="E303" s="259"/>
      <c r="F303" s="259"/>
      <c r="G303" s="259"/>
      <c r="H303" s="259"/>
      <c r="I303" s="259"/>
    </row>
  </sheetData>
  <mergeCells count="1">
    <mergeCell ref="I24:I26"/>
  </mergeCells>
  <conditionalFormatting sqref="E18:E20">
    <cfRule type="iconSet" priority="2">
      <iconSet iconSet="3Arrows" showValue="0">
        <cfvo type="percent" val="0"/>
        <cfvo type="num" val="0"/>
        <cfvo type="num" val="0" gte="0"/>
      </iconSet>
    </cfRule>
  </conditionalFormatting>
  <conditionalFormatting sqref="E10:E16">
    <cfRule type="iconSet" priority="1">
      <iconSet iconSet="3Arrows" showValue="0">
        <cfvo type="percent" val="0"/>
        <cfvo type="num" val="0"/>
        <cfvo type="num" val="0" gte="0"/>
      </iconSet>
    </cfRule>
  </conditionalFormatting>
  <dataValidations count="2">
    <dataValidation type="list" allowBlank="1" showInputMessage="1" showErrorMessage="1" sqref="B31">
      <formula1>primary</formula1>
    </dataValidation>
    <dataValidation allowBlank="1" showInputMessage="1" showErrorMessage="1" promptTitle="Source" prompt="General Practice Trends in _x000a_the UK Produced by the  Technical Steering Committee,March 2011_x000a_" sqref="L31:N31"/>
  </dataValidations>
  <pageMargins left="0.7" right="0.7" top="0.75" bottom="0.75" header="0.3" footer="0.3"/>
  <pageSetup paperSize="9" orientation="portrait" r:id="rId1"/>
  <ignoredErrors>
    <ignoredError sqref="B49:I49"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182281" r:id="rId4" name="Check Box 9">
              <controlPr defaultSize="0" autoFill="0" autoLine="0" autoPict="0">
                <anchor moveWithCells="1">
                  <from>
                    <xdr:col>1</xdr:col>
                    <xdr:colOff>161925</xdr:colOff>
                    <xdr:row>31</xdr:row>
                    <xdr:rowOff>66675</xdr:rowOff>
                  </from>
                  <to>
                    <xdr:col>1</xdr:col>
                    <xdr:colOff>1143000</xdr:colOff>
                    <xdr:row>32</xdr:row>
                    <xdr:rowOff>95250</xdr:rowOff>
                  </to>
                </anchor>
              </controlPr>
            </control>
          </mc:Choice>
        </mc:AlternateContent>
      </controls>
    </mc:Choice>
  </mc:AlternateContent>
  <extLst>
    <ext xmlns:x14="http://schemas.microsoft.com/office/spreadsheetml/2009/9/main" uri="{05C60535-1F16-4fd2-B633-F4F36F0B64E0}">
      <x14:sparklineGroups xmlns:xm="http://schemas.microsoft.com/office/excel/2006/main">
        <x14:sparklineGroup displayEmptyCellsAs="gap" markers="1" high="1">
          <x14:colorSeries theme="8"/>
          <x14:colorNegative theme="9"/>
          <x14:colorAxis rgb="FF000000"/>
          <x14:colorMarkers theme="8" tint="-0.249977111117893"/>
          <x14:colorFirst theme="8" tint="-0.249977111117893"/>
          <x14:colorLast theme="8" tint="-0.249977111117893"/>
          <x14:colorHigh rgb="FFFF0000"/>
          <x14:colorLow theme="8" tint="-0.249977111117893"/>
          <x14:sparklines>
            <x14:sparkline>
              <xm:f>Primary_care_and_Prescribing!C207:O207</xm:f>
              <xm:sqref>I18</xm:sqref>
            </x14:sparkline>
            <x14:sparkline>
              <xm:f>Primary_care_and_Prescribing!C208:O208</xm:f>
              <xm:sqref>I19</xm:sqref>
            </x14:sparkline>
            <x14:sparkline>
              <xm:f>Primary_care_and_Prescribing!C209:O209</xm:f>
              <xm:sqref>I20</xm:sqref>
            </x14:sparkline>
          </x14:sparklines>
        </x14:sparklineGroup>
        <x14:sparklineGroup displayEmptyCellsAs="gap" markers="1" high="1">
          <x14:colorSeries theme="8"/>
          <x14:colorNegative theme="9"/>
          <x14:colorAxis rgb="FF000000"/>
          <x14:colorMarkers theme="8" tint="-0.249977111117893"/>
          <x14:colorFirst theme="8" tint="-0.249977111117893"/>
          <x14:colorLast theme="8" tint="-0.249977111117893"/>
          <x14:colorHigh rgb="FFFF0000"/>
          <x14:colorLow theme="8" tint="-0.249977111117893"/>
          <x14:sparklines>
            <x14:sparkline>
              <xm:f>Primary_care_and_Prescribing!C233:C246</xm:f>
              <xm:sqref>I13</xm:sqref>
            </x14:sparkline>
          </x14:sparklines>
        </x14:sparklineGroup>
        <x14:sparklineGroup displayEmptyCellsAs="gap" markers="1" high="1">
          <x14:colorSeries theme="8"/>
          <x14:colorNegative theme="9"/>
          <x14:colorAxis rgb="FF000000"/>
          <x14:colorMarkers theme="8" tint="-0.249977111117893"/>
          <x14:colorFirst theme="8" tint="-0.249977111117893"/>
          <x14:colorLast theme="8" tint="-0.249977111117893"/>
          <x14:colorHigh rgb="FFFF0000"/>
          <x14:colorLow theme="8" tint="-0.249977111117893"/>
          <x14:sparklines>
            <x14:sparkline>
              <xm:f>Primary_care_and_Prescribing!E233:E246</xm:f>
              <xm:sqref>I14</xm:sqref>
            </x14:sparkline>
          </x14:sparklines>
        </x14:sparklineGroup>
        <x14:sparklineGroup displayEmptyCellsAs="gap" markers="1" high="1">
          <x14:colorSeries theme="8"/>
          <x14:colorNegative theme="9"/>
          <x14:colorAxis rgb="FF000000"/>
          <x14:colorMarkers theme="8" tint="-0.249977111117893"/>
          <x14:colorFirst theme="8" tint="-0.249977111117893"/>
          <x14:colorLast theme="8" tint="-0.249977111117893"/>
          <x14:colorHigh rgb="FFFF0000"/>
          <x14:colorLow theme="8" tint="-0.249977111117893"/>
          <x14:sparklines>
            <x14:sparkline>
              <xm:f>Primary_care_and_Prescribing!F233:F246</xm:f>
              <xm:sqref>I15</xm:sqref>
            </x14:sparkline>
          </x14:sparklines>
        </x14:sparklineGroup>
        <x14:sparklineGroup displayEmptyCellsAs="gap" markers="1" high="1">
          <x14:colorSeries theme="8"/>
          <x14:colorNegative theme="9"/>
          <x14:colorAxis rgb="FF000000"/>
          <x14:colorMarkers theme="8" tint="-0.249977111117893"/>
          <x14:colorFirst theme="8" tint="-0.249977111117893"/>
          <x14:colorLast theme="8" tint="-0.249977111117893"/>
          <x14:colorHigh rgb="FFFF0000"/>
          <x14:colorLow theme="8" tint="-0.249977111117893"/>
          <x14:sparklines>
            <x14:sparkline>
              <xm:f>Primary_care_and_Prescribing!A34:A48</xm:f>
              <xm:sqref>I10</xm:sqref>
            </x14:sparkline>
          </x14:sparklines>
        </x14:sparklineGroup>
      </x14:sparklineGroup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6" tint="0.39997558519241921"/>
  </sheetPr>
  <dimension ref="A1:I36"/>
  <sheetViews>
    <sheetView showGridLines="0" showRowColHeaders="0" topLeftCell="A10" zoomScaleNormal="100" workbookViewId="0">
      <selection activeCell="L23" sqref="L23"/>
    </sheetView>
  </sheetViews>
  <sheetFormatPr defaultRowHeight="15" x14ac:dyDescent="0.25"/>
  <cols>
    <col min="1" max="16384" width="9.140625" style="233"/>
  </cols>
  <sheetData>
    <row r="1" spans="1:9" x14ac:dyDescent="0.25">
      <c r="B1" s="658"/>
      <c r="C1" s="658"/>
      <c r="D1" s="658"/>
      <c r="E1" s="658"/>
    </row>
    <row r="4" spans="1:9" ht="36" x14ac:dyDescent="0.55000000000000004">
      <c r="B4" s="684" t="s">
        <v>320</v>
      </c>
    </row>
    <row r="5" spans="1:9" ht="18" customHeight="1" x14ac:dyDescent="0.5">
      <c r="B5" s="626"/>
    </row>
    <row r="6" spans="1:9" ht="18" customHeight="1" x14ac:dyDescent="0.5">
      <c r="B6" s="626"/>
    </row>
    <row r="7" spans="1:9" ht="18" customHeight="1" x14ac:dyDescent="0.25"/>
    <row r="8" spans="1:9" ht="18" customHeight="1" x14ac:dyDescent="0.5">
      <c r="B8" s="685" t="s">
        <v>321</v>
      </c>
      <c r="C8" s="376"/>
      <c r="D8" s="686"/>
      <c r="E8" s="686"/>
      <c r="F8" s="376"/>
      <c r="G8" s="376"/>
      <c r="H8" s="376"/>
      <c r="I8" s="376"/>
    </row>
    <row r="9" spans="1:9" ht="18" customHeight="1" x14ac:dyDescent="0.35">
      <c r="B9" s="687" t="s">
        <v>873</v>
      </c>
      <c r="C9" s="687"/>
      <c r="D9" s="688"/>
      <c r="E9" s="688"/>
      <c r="F9" s="688"/>
      <c r="G9" s="688"/>
      <c r="H9" s="376"/>
      <c r="I9" s="376"/>
    </row>
    <row r="10" spans="1:9" ht="18" customHeight="1" x14ac:dyDescent="0.35">
      <c r="A10" s="10"/>
      <c r="B10" s="689" t="s">
        <v>388</v>
      </c>
      <c r="C10" s="376"/>
      <c r="D10" s="688"/>
      <c r="E10" s="688"/>
      <c r="F10" s="688"/>
      <c r="G10" s="688"/>
      <c r="H10" s="376"/>
      <c r="I10" s="376"/>
    </row>
    <row r="11" spans="1:9" ht="18" customHeight="1" x14ac:dyDescent="0.35">
      <c r="A11" s="10"/>
      <c r="D11" s="10"/>
      <c r="E11" s="10"/>
      <c r="F11" s="10"/>
      <c r="G11" s="10"/>
    </row>
    <row r="12" spans="1:9" ht="18" customHeight="1" x14ac:dyDescent="0.5">
      <c r="A12" s="10"/>
      <c r="B12" s="9" t="s">
        <v>322</v>
      </c>
      <c r="D12" s="690"/>
      <c r="E12" s="690"/>
    </row>
    <row r="13" spans="1:9" ht="18" customHeight="1" x14ac:dyDescent="0.5">
      <c r="A13" s="10"/>
      <c r="B13" t="s">
        <v>662</v>
      </c>
      <c r="D13" s="690"/>
      <c r="E13" s="690"/>
    </row>
    <row r="14" spans="1:9" ht="18" customHeight="1" x14ac:dyDescent="0.35">
      <c r="B14" s="604" t="s">
        <v>647</v>
      </c>
      <c r="C14" s="604"/>
      <c r="D14" s="10"/>
      <c r="E14" s="10"/>
    </row>
    <row r="15" spans="1:9" ht="18" customHeight="1" x14ac:dyDescent="0.35">
      <c r="A15" s="10"/>
      <c r="B15" s="605" t="s">
        <v>648</v>
      </c>
      <c r="D15" s="10"/>
      <c r="E15" s="10"/>
      <c r="H15" s="691"/>
    </row>
    <row r="16" spans="1:9" ht="18" customHeight="1" x14ac:dyDescent="0.35">
      <c r="A16" s="10"/>
      <c r="D16" s="10"/>
      <c r="E16" s="10"/>
    </row>
    <row r="17" spans="2:9" ht="18" customHeight="1" x14ac:dyDescent="0.5">
      <c r="B17" s="690"/>
      <c r="D17" s="690"/>
      <c r="E17" s="690"/>
    </row>
    <row r="18" spans="2:9" ht="18" customHeight="1" x14ac:dyDescent="0.5">
      <c r="B18" s="377" t="s">
        <v>385</v>
      </c>
      <c r="C18" s="690"/>
      <c r="D18" s="690"/>
      <c r="E18" s="690"/>
    </row>
    <row r="19" spans="2:9" ht="33.75" x14ac:dyDescent="0.5">
      <c r="C19" s="690"/>
      <c r="D19" s="690"/>
      <c r="E19" s="690"/>
    </row>
    <row r="22" spans="2:9" x14ac:dyDescent="0.25">
      <c r="I22" s="296"/>
    </row>
    <row r="23" spans="2:9" x14ac:dyDescent="0.25">
      <c r="H23" s="276" t="s">
        <v>334</v>
      </c>
    </row>
    <row r="24" spans="2:9" x14ac:dyDescent="0.25">
      <c r="I24" s="276"/>
    </row>
    <row r="26" spans="2:9" x14ac:dyDescent="0.25">
      <c r="C26" s="276" t="s">
        <v>649</v>
      </c>
    </row>
    <row r="28" spans="2:9" x14ac:dyDescent="0.25">
      <c r="B28" s="377"/>
    </row>
    <row r="29" spans="2:9" ht="46.5" x14ac:dyDescent="0.7">
      <c r="B29" s="683"/>
    </row>
    <row r="30" spans="2:9" x14ac:dyDescent="0.25">
      <c r="B30" s="700">
        <v>11</v>
      </c>
      <c r="F30" s="701">
        <v>12</v>
      </c>
      <c r="H30" s="276" t="s">
        <v>638</v>
      </c>
      <c r="I30" s="276"/>
    </row>
    <row r="31" spans="2:9" x14ac:dyDescent="0.25">
      <c r="H31" s="276" t="s">
        <v>650</v>
      </c>
    </row>
    <row r="32" spans="2:9" x14ac:dyDescent="0.25">
      <c r="H32" s="276" t="s">
        <v>651</v>
      </c>
    </row>
    <row r="36" spans="6:6" x14ac:dyDescent="0.25">
      <c r="F36" s="537" t="s">
        <v>639</v>
      </c>
    </row>
  </sheetData>
  <customSheetViews>
    <customSheetView guid="{9EA95E61-FCA5-4867-AEB4-B8C24058ACDD}" showGridLines="0" showRowCol="0">
      <selection activeCell="I8" sqref="I8"/>
      <pageMargins left="0.7" right="0.7" top="0.75" bottom="0.75" header="0.3" footer="0.3"/>
      <pageSetup paperSize="9" orientation="portrait" r:id="rId1"/>
    </customSheetView>
  </customSheetView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theme="5" tint="0.39997558519241921"/>
  </sheetPr>
  <dimension ref="A1:O132"/>
  <sheetViews>
    <sheetView showGridLines="0" showRowColHeaders="0" topLeftCell="A19" zoomScaleNormal="100" workbookViewId="0">
      <selection activeCell="D45" sqref="B38:E45"/>
    </sheetView>
  </sheetViews>
  <sheetFormatPr defaultRowHeight="12.75" x14ac:dyDescent="0.2"/>
  <cols>
    <col min="1" max="1" width="9.140625" style="276"/>
    <col min="2" max="3" width="13.140625" style="276" customWidth="1"/>
    <col min="4" max="5" width="10.7109375" style="276" customWidth="1"/>
    <col min="6" max="6" width="6.85546875" style="276" customWidth="1"/>
    <col min="7" max="7" width="30.7109375" style="276" customWidth="1"/>
    <col min="8" max="8" width="6.85546875" style="276" customWidth="1"/>
    <col min="9" max="9" width="7.7109375" style="276" customWidth="1"/>
    <col min="10" max="10" width="12.7109375" style="276" customWidth="1"/>
    <col min="11" max="11" width="7.7109375" style="276" customWidth="1"/>
    <col min="12" max="12" width="4.7109375" style="276" customWidth="1"/>
    <col min="13" max="13" width="6.85546875" style="276" customWidth="1"/>
    <col min="14" max="14" width="30.7109375" style="276" customWidth="1"/>
    <col min="15" max="15" width="7.7109375" style="276" customWidth="1"/>
    <col min="16" max="16" width="22.5703125" style="276" bestFit="1" customWidth="1"/>
    <col min="17" max="17" width="21.28515625" style="276" bestFit="1" customWidth="1"/>
    <col min="18" max="18" width="22.28515625" style="276" bestFit="1" customWidth="1"/>
    <col min="19" max="16384" width="9.140625" style="276"/>
  </cols>
  <sheetData>
    <row r="1" spans="1:15" x14ac:dyDescent="0.2">
      <c r="B1" s="525"/>
      <c r="C1" s="525"/>
      <c r="D1" s="525"/>
      <c r="E1" s="525"/>
    </row>
    <row r="3" spans="1:15" ht="15" x14ac:dyDescent="0.25">
      <c r="A3" s="233"/>
      <c r="B3" s="233"/>
      <c r="C3" s="233"/>
      <c r="D3" s="233"/>
      <c r="E3" s="233"/>
      <c r="F3" s="233"/>
      <c r="G3" s="233"/>
      <c r="H3" s="233"/>
      <c r="I3" s="233"/>
    </row>
    <row r="4" spans="1:15" ht="31.5" x14ac:dyDescent="0.5">
      <c r="A4" s="233"/>
      <c r="B4" s="626" t="s">
        <v>358</v>
      </c>
      <c r="C4" s="233"/>
      <c r="D4" s="233"/>
      <c r="E4" s="233"/>
      <c r="F4" s="233"/>
      <c r="G4" s="233"/>
      <c r="H4" s="233"/>
      <c r="I4" s="233"/>
    </row>
    <row r="5" spans="1:15" ht="15" x14ac:dyDescent="0.25">
      <c r="A5" s="233"/>
      <c r="B5" s="233"/>
      <c r="C5" s="233"/>
      <c r="D5" s="233"/>
      <c r="E5" s="233"/>
      <c r="F5" s="233"/>
      <c r="G5" s="233"/>
      <c r="H5" s="233"/>
      <c r="I5" s="233"/>
    </row>
    <row r="6" spans="1:15" ht="23.25" customHeight="1" x14ac:dyDescent="0.25">
      <c r="A6" s="233"/>
      <c r="B6" s="377" t="s">
        <v>636</v>
      </c>
      <c r="C6" s="233"/>
      <c r="D6" s="233"/>
      <c r="E6" s="233"/>
      <c r="F6" s="233"/>
      <c r="G6" s="233"/>
      <c r="H6" s="233"/>
      <c r="I6" s="233"/>
    </row>
    <row r="7" spans="1:15" ht="15" x14ac:dyDescent="0.25">
      <c r="A7" s="233"/>
      <c r="B7" s="233"/>
      <c r="C7" s="233"/>
      <c r="D7" s="233"/>
      <c r="E7" s="233"/>
      <c r="F7" s="233"/>
      <c r="G7" s="233"/>
      <c r="H7" s="233"/>
      <c r="I7" s="233"/>
    </row>
    <row r="8" spans="1:15" ht="15" x14ac:dyDescent="0.25">
      <c r="A8" s="233"/>
      <c r="B8" s="377" t="s">
        <v>637</v>
      </c>
      <c r="C8" s="233"/>
      <c r="D8" s="233"/>
      <c r="E8" s="233"/>
      <c r="F8" s="233"/>
      <c r="G8" s="233"/>
      <c r="H8" s="233"/>
      <c r="I8" s="233"/>
    </row>
    <row r="9" spans="1:15" ht="24.95" customHeight="1" x14ac:dyDescent="0.25">
      <c r="A9" s="233"/>
      <c r="B9" s="377"/>
      <c r="C9" s="1304"/>
      <c r="D9" s="233"/>
      <c r="E9" s="233"/>
      <c r="F9" s="233"/>
      <c r="G9" s="233"/>
      <c r="H9" s="233"/>
      <c r="I9" s="233"/>
    </row>
    <row r="10" spans="1:15" ht="20.100000000000001" customHeight="1" x14ac:dyDescent="0.3">
      <c r="A10" s="233"/>
      <c r="B10" s="377"/>
      <c r="C10" s="1926" t="s">
        <v>359</v>
      </c>
      <c r="D10" s="1926"/>
      <c r="E10" s="1926"/>
      <c r="F10" s="1926"/>
      <c r="G10" s="1926"/>
      <c r="H10" s="1926"/>
      <c r="I10" s="658"/>
      <c r="J10" s="1926" t="s">
        <v>399</v>
      </c>
      <c r="K10" s="1926"/>
      <c r="L10" s="1926"/>
      <c r="M10" s="1926"/>
      <c r="N10" s="1926"/>
      <c r="O10" s="1926"/>
    </row>
    <row r="11" spans="1:15" ht="24.95" customHeight="1" x14ac:dyDescent="0.25">
      <c r="A11" s="233"/>
      <c r="B11" s="937"/>
      <c r="C11" s="938"/>
      <c r="D11" s="930"/>
      <c r="E11" s="596"/>
      <c r="F11" s="596"/>
      <c r="G11" s="596"/>
      <c r="H11" s="596"/>
      <c r="I11" s="596"/>
    </row>
    <row r="12" spans="1:15" ht="24.95" customHeight="1" x14ac:dyDescent="0.2">
      <c r="B12" s="929"/>
      <c r="C12" s="1478" t="s">
        <v>505</v>
      </c>
      <c r="D12" s="1930" t="s">
        <v>654</v>
      </c>
      <c r="E12" s="1930"/>
      <c r="F12" s="1474" t="s">
        <v>556</v>
      </c>
      <c r="G12" s="1479" t="s">
        <v>503</v>
      </c>
      <c r="H12" s="1474" t="s">
        <v>536</v>
      </c>
      <c r="I12" s="772"/>
      <c r="J12" s="1478" t="s">
        <v>505</v>
      </c>
      <c r="K12" s="1930" t="s">
        <v>654</v>
      </c>
      <c r="L12" s="1930"/>
      <c r="M12" s="1474" t="s">
        <v>556</v>
      </c>
      <c r="N12" s="1479" t="s">
        <v>503</v>
      </c>
      <c r="O12" s="1474" t="s">
        <v>536</v>
      </c>
    </row>
    <row r="13" spans="1:15" ht="24.95" customHeight="1" x14ac:dyDescent="0.2">
      <c r="B13" s="1369" t="s">
        <v>361</v>
      </c>
      <c r="C13" s="936">
        <f>C78</f>
        <v>3.3777996839000002</v>
      </c>
      <c r="D13" s="727">
        <f>C78/C77-1</f>
        <v>-6.5295047352940117E-3</v>
      </c>
      <c r="E13" s="731">
        <f>D13</f>
        <v>-6.5295047352940117E-3</v>
      </c>
      <c r="F13" s="934">
        <f>C71</f>
        <v>3.57</v>
      </c>
      <c r="G13" s="595"/>
      <c r="H13" s="935">
        <f>C78</f>
        <v>3.3777996839000002</v>
      </c>
      <c r="I13" s="935"/>
      <c r="J13" s="936">
        <f>G78</f>
        <v>90.136384149600801</v>
      </c>
      <c r="K13" s="727">
        <f>G78/G77-1</f>
        <v>-2.6193267967167255E-4</v>
      </c>
      <c r="L13" s="731">
        <f>K13</f>
        <v>-2.6193267967167255E-4</v>
      </c>
      <c r="M13" s="934">
        <f>G71</f>
        <v>78.599999999999994</v>
      </c>
      <c r="N13" s="1923"/>
      <c r="O13" s="935">
        <f>G78</f>
        <v>90.136384149600801</v>
      </c>
    </row>
    <row r="14" spans="1:15" ht="24.95" customHeight="1" x14ac:dyDescent="0.2">
      <c r="B14" s="1369" t="s">
        <v>362</v>
      </c>
      <c r="C14" s="936">
        <f>D78</f>
        <v>1.7366236612999999</v>
      </c>
      <c r="D14" s="727">
        <f>D78/D77-1</f>
        <v>1.5569392573099305E-2</v>
      </c>
      <c r="E14" s="731">
        <f>D14</f>
        <v>1.5569392573099305E-2</v>
      </c>
      <c r="F14" s="934">
        <f>D71</f>
        <v>1.63</v>
      </c>
      <c r="G14" s="595"/>
      <c r="H14" s="935">
        <f>D78</f>
        <v>1.7366236612999999</v>
      </c>
      <c r="I14" s="935"/>
      <c r="J14" s="936">
        <f>H78</f>
        <v>88.613747794746402</v>
      </c>
      <c r="K14" s="727">
        <f>H78/H77-1</f>
        <v>4.9393468156733178E-4</v>
      </c>
      <c r="L14" s="731">
        <f>K14</f>
        <v>4.9393468156733178E-4</v>
      </c>
      <c r="M14" s="934">
        <f>H71</f>
        <v>73.13</v>
      </c>
      <c r="N14" s="1923"/>
      <c r="O14" s="935">
        <f>H78</f>
        <v>88.613747794746402</v>
      </c>
    </row>
    <row r="15" spans="1:15" ht="24.95" customHeight="1" x14ac:dyDescent="0.2">
      <c r="B15" s="1369" t="s">
        <v>363</v>
      </c>
      <c r="C15" s="936">
        <f>E78</f>
        <v>13.629653725000001</v>
      </c>
      <c r="D15" s="727">
        <f>E78/E77-1</f>
        <v>8.1104826183433509E-3</v>
      </c>
      <c r="E15" s="731">
        <f>D15</f>
        <v>8.1104826183433509E-3</v>
      </c>
      <c r="F15" s="934">
        <f>E71</f>
        <v>10.41</v>
      </c>
      <c r="G15" s="595"/>
      <c r="H15" s="935">
        <f>E78</f>
        <v>13.629653725000001</v>
      </c>
      <c r="I15" s="935"/>
      <c r="J15" s="936">
        <f>I78</f>
        <v>79.653871572325897</v>
      </c>
      <c r="K15" s="727">
        <f>I78/I77-1</f>
        <v>4.462441012937024E-3</v>
      </c>
      <c r="L15" s="731">
        <f>K15</f>
        <v>4.462441012937024E-3</v>
      </c>
      <c r="M15" s="934">
        <f>I71</f>
        <v>64.33</v>
      </c>
      <c r="N15" s="1923"/>
      <c r="O15" s="935">
        <f>I78</f>
        <v>79.653871572325897</v>
      </c>
    </row>
    <row r="16" spans="1:15" ht="15" x14ac:dyDescent="0.25">
      <c r="A16" s="233"/>
      <c r="B16" s="931"/>
      <c r="C16" s="932"/>
      <c r="D16" s="933"/>
      <c r="E16" s="233"/>
      <c r="F16" s="233"/>
      <c r="G16" s="661"/>
      <c r="H16" s="662"/>
      <c r="I16" s="233"/>
    </row>
    <row r="17" spans="1:9" ht="15" x14ac:dyDescent="0.25">
      <c r="A17" s="233"/>
      <c r="B17" s="931"/>
      <c r="C17" s="932"/>
      <c r="D17" s="933"/>
      <c r="E17" s="233"/>
      <c r="F17" s="276" t="s">
        <v>557</v>
      </c>
      <c r="G17" s="661"/>
      <c r="H17" s="662"/>
      <c r="I17" s="233"/>
    </row>
    <row r="18" spans="1:9" ht="15" x14ac:dyDescent="0.25">
      <c r="A18" s="233"/>
      <c r="B18" s="665" t="s">
        <v>398</v>
      </c>
      <c r="C18" s="666"/>
      <c r="D18" s="666"/>
      <c r="E18" s="233"/>
      <c r="F18" s="233"/>
      <c r="G18" s="661"/>
      <c r="H18" s="662"/>
      <c r="I18" s="233"/>
    </row>
    <row r="19" spans="1:9" ht="15" x14ac:dyDescent="0.25">
      <c r="A19" s="233"/>
      <c r="B19" s="667"/>
      <c r="C19" s="668"/>
      <c r="D19" s="668"/>
      <c r="E19" s="233"/>
      <c r="F19" s="233"/>
      <c r="G19" s="661"/>
      <c r="H19" s="662"/>
      <c r="I19" s="233"/>
    </row>
    <row r="20" spans="1:9" ht="15" x14ac:dyDescent="0.25">
      <c r="A20" s="233"/>
      <c r="B20" s="676"/>
      <c r="C20" s="663"/>
      <c r="D20" s="663"/>
      <c r="E20" s="233"/>
      <c r="F20" s="233"/>
      <c r="G20" s="661"/>
      <c r="H20" s="662"/>
      <c r="I20" s="233"/>
    </row>
    <row r="21" spans="1:9" ht="15" x14ac:dyDescent="0.25">
      <c r="A21" s="233"/>
      <c r="B21" s="676"/>
      <c r="C21" s="663"/>
      <c r="D21" s="663"/>
      <c r="E21" s="233"/>
      <c r="F21" s="233"/>
      <c r="G21" s="661"/>
      <c r="H21" s="662"/>
      <c r="I21" s="233"/>
    </row>
    <row r="22" spans="1:9" x14ac:dyDescent="0.2">
      <c r="B22" s="659"/>
      <c r="C22" s="655"/>
      <c r="D22" s="656"/>
      <c r="G22" s="632"/>
      <c r="H22" s="498"/>
    </row>
    <row r="23" spans="1:9" x14ac:dyDescent="0.2">
      <c r="B23" s="659"/>
      <c r="C23" s="655"/>
      <c r="D23" s="656"/>
      <c r="G23" s="632"/>
      <c r="H23" s="498"/>
    </row>
    <row r="24" spans="1:9" x14ac:dyDescent="0.2">
      <c r="B24" s="659"/>
      <c r="C24" s="655"/>
      <c r="D24" s="656"/>
      <c r="G24" s="632"/>
      <c r="H24" s="498"/>
    </row>
    <row r="25" spans="1:9" ht="27.95" customHeight="1" x14ac:dyDescent="0.2">
      <c r="B25" s="659"/>
      <c r="C25" s="655"/>
      <c r="D25" s="656"/>
      <c r="G25" s="632"/>
      <c r="H25" s="498"/>
    </row>
    <row r="26" spans="1:9" x14ac:dyDescent="0.2">
      <c r="B26" s="659"/>
      <c r="C26" s="384"/>
      <c r="D26" s="279"/>
    </row>
    <row r="27" spans="1:9" x14ac:dyDescent="0.2">
      <c r="B27" s="659"/>
      <c r="C27" s="384"/>
      <c r="D27" s="279"/>
    </row>
    <row r="28" spans="1:9" x14ac:dyDescent="0.2">
      <c r="A28" s="567"/>
      <c r="B28" s="659"/>
      <c r="C28" s="384"/>
      <c r="D28" s="279"/>
    </row>
    <row r="29" spans="1:9" x14ac:dyDescent="0.2">
      <c r="A29" s="567" t="b">
        <v>1</v>
      </c>
      <c r="B29" s="659"/>
      <c r="C29" s="384"/>
      <c r="D29" s="279"/>
    </row>
    <row r="30" spans="1:9" x14ac:dyDescent="0.2">
      <c r="A30" s="567"/>
      <c r="B30" s="659"/>
      <c r="C30" s="384"/>
      <c r="D30" s="279"/>
    </row>
    <row r="31" spans="1:9" x14ac:dyDescent="0.2">
      <c r="B31" s="659"/>
      <c r="C31" s="384"/>
      <c r="D31" s="279"/>
    </row>
    <row r="32" spans="1:9" x14ac:dyDescent="0.2">
      <c r="B32" s="659"/>
      <c r="C32" s="384"/>
      <c r="D32" s="279"/>
    </row>
    <row r="33" spans="1:14" x14ac:dyDescent="0.2">
      <c r="B33" s="659"/>
      <c r="C33" s="384"/>
      <c r="D33" s="279"/>
    </row>
    <row r="34" spans="1:14" x14ac:dyDescent="0.2">
      <c r="B34" s="659"/>
      <c r="C34" s="384"/>
      <c r="D34" s="279"/>
    </row>
    <row r="35" spans="1:14" x14ac:dyDescent="0.2">
      <c r="B35" s="659" t="str">
        <f>IF($A$29=TRUE,B84,"")</f>
        <v>Volume of consultations:</v>
      </c>
      <c r="C35" s="659"/>
      <c r="D35" s="659"/>
      <c r="E35" s="659"/>
    </row>
    <row r="36" spans="1:14" x14ac:dyDescent="0.2">
      <c r="B36" s="659"/>
      <c r="C36" s="928"/>
      <c r="D36" s="1469"/>
      <c r="E36" s="928"/>
    </row>
    <row r="37" spans="1:14" ht="15" customHeight="1" x14ac:dyDescent="0.2">
      <c r="B37" s="659" t="str">
        <f>IF($A$29=TRUE,B85,"")</f>
        <v>Year</v>
      </c>
      <c r="C37" s="929" t="str">
        <f>IF($A$29=TRUE,C85,"")</f>
        <v>Unadjusted</v>
      </c>
      <c r="D37" s="1928" t="str">
        <f>IF($A$29=TRUE,D85,"")</f>
        <v>Value of QA=1.5</v>
      </c>
      <c r="E37" s="1928"/>
    </row>
    <row r="38" spans="1:14" x14ac:dyDescent="0.2">
      <c r="B38" s="659" t="str">
        <f t="shared" ref="B38:B45" si="0">IF($A$29=TRUE,B86,"")</f>
        <v>2004/05</v>
      </c>
      <c r="C38" s="944">
        <f t="shared" ref="C38:D45" si="1">IF($A$29=TRUE,C86,"")</f>
        <v>265600</v>
      </c>
      <c r="D38" s="1927">
        <f t="shared" si="1"/>
        <v>279802.68377599999</v>
      </c>
      <c r="E38" s="1927"/>
      <c r="G38" s="1458"/>
    </row>
    <row r="39" spans="1:14" x14ac:dyDescent="0.2">
      <c r="B39" s="659" t="str">
        <f t="shared" si="0"/>
        <v>2005/06</v>
      </c>
      <c r="C39" s="944">
        <f t="shared" si="1"/>
        <v>283100</v>
      </c>
      <c r="D39" s="1927">
        <f t="shared" si="1"/>
        <v>300821.06915000005</v>
      </c>
      <c r="E39" s="1927"/>
    </row>
    <row r="40" spans="1:14" x14ac:dyDescent="0.2">
      <c r="B40" s="659" t="str">
        <f t="shared" si="0"/>
        <v>2006/07</v>
      </c>
      <c r="C40" s="944">
        <f t="shared" si="1"/>
        <v>293000</v>
      </c>
      <c r="D40" s="1927">
        <f t="shared" si="1"/>
        <v>313861.29820999998</v>
      </c>
      <c r="E40" s="1927"/>
    </row>
    <row r="41" spans="1:14" x14ac:dyDescent="0.2">
      <c r="B41" s="659" t="str">
        <f t="shared" si="0"/>
        <v>2007/08</v>
      </c>
      <c r="C41" s="944">
        <f t="shared" si="1"/>
        <v>292500</v>
      </c>
      <c r="D41" s="1927">
        <f t="shared" si="1"/>
        <v>313818.46470000001</v>
      </c>
      <c r="E41" s="1927"/>
    </row>
    <row r="42" spans="1:14" x14ac:dyDescent="0.2">
      <c r="B42" s="659" t="str">
        <f t="shared" si="0"/>
        <v>2008/09</v>
      </c>
      <c r="C42" s="944">
        <f t="shared" si="1"/>
        <v>300400</v>
      </c>
      <c r="D42" s="1927">
        <f t="shared" si="1"/>
        <v>322758.21926400007</v>
      </c>
      <c r="E42" s="1927"/>
    </row>
    <row r="43" spans="1:14" x14ac:dyDescent="0.2">
      <c r="B43" s="659" t="str">
        <f t="shared" si="0"/>
        <v>2009/10</v>
      </c>
      <c r="C43" s="944">
        <f t="shared" si="1"/>
        <v>300400</v>
      </c>
      <c r="D43" s="1927">
        <f t="shared" si="1"/>
        <v>323046.59124799998</v>
      </c>
      <c r="E43" s="1927"/>
    </row>
    <row r="44" spans="1:14" x14ac:dyDescent="0.2">
      <c r="B44" s="659" t="str">
        <f t="shared" si="0"/>
        <v>2010/11</v>
      </c>
      <c r="C44" s="944">
        <f t="shared" si="1"/>
        <v>292567</v>
      </c>
      <c r="D44" s="1927">
        <f t="shared" si="1"/>
        <v>314950.67104377894</v>
      </c>
      <c r="E44" s="1927"/>
    </row>
    <row r="45" spans="1:14" x14ac:dyDescent="0.2">
      <c r="A45" s="380"/>
      <c r="B45" s="659" t="str">
        <f t="shared" si="0"/>
        <v>2011/12</v>
      </c>
      <c r="C45" s="944">
        <f t="shared" si="1"/>
        <v>303819.891</v>
      </c>
      <c r="D45" s="1927">
        <f t="shared" si="1"/>
        <v>327274.87877040845</v>
      </c>
      <c r="E45" s="1927"/>
      <c r="F45" s="380"/>
      <c r="G45" s="276" t="str">
        <f>IF(A39=TRUE,B79,"")</f>
        <v/>
      </c>
      <c r="H45" s="380"/>
      <c r="I45" s="380"/>
      <c r="J45" s="380"/>
      <c r="K45" s="380"/>
      <c r="L45" s="380"/>
      <c r="M45" s="380"/>
      <c r="N45" s="380"/>
    </row>
    <row r="46" spans="1:14" x14ac:dyDescent="0.2">
      <c r="A46" s="380"/>
      <c r="B46" s="928"/>
      <c r="C46" s="652"/>
      <c r="D46" s="652"/>
      <c r="E46" s="883"/>
      <c r="F46" s="380"/>
      <c r="G46" s="276" t="str">
        <f>IF(A40=TRUE,B80,"")</f>
        <v/>
      </c>
      <c r="H46" s="380"/>
      <c r="I46" s="380"/>
      <c r="J46" s="380"/>
      <c r="K46" s="380"/>
      <c r="L46" s="380"/>
      <c r="M46" s="380"/>
      <c r="N46" s="380"/>
    </row>
    <row r="47" spans="1:14" x14ac:dyDescent="0.2">
      <c r="A47" s="380"/>
      <c r="B47" s="659"/>
      <c r="C47" s="939"/>
      <c r="D47" s="379"/>
      <c r="E47" s="380"/>
      <c r="F47" s="380"/>
      <c r="G47" s="380"/>
      <c r="H47" s="380"/>
      <c r="I47" s="380"/>
      <c r="J47" s="380"/>
      <c r="K47" s="380"/>
      <c r="L47" s="380"/>
      <c r="M47" s="380"/>
      <c r="N47" s="380"/>
    </row>
    <row r="48" spans="1:14" x14ac:dyDescent="0.2">
      <c r="A48" s="380"/>
      <c r="B48" s="659"/>
      <c r="C48" s="939"/>
      <c r="D48" s="379"/>
      <c r="E48" s="380"/>
      <c r="F48" s="380"/>
      <c r="G48" s="380"/>
      <c r="H48" s="380"/>
      <c r="I48" s="380"/>
      <c r="J48" s="380"/>
      <c r="K48" s="380"/>
      <c r="L48" s="380"/>
      <c r="M48" s="380"/>
      <c r="N48" s="380"/>
    </row>
    <row r="49" spans="1:14" x14ac:dyDescent="0.2">
      <c r="A49" s="380"/>
      <c r="B49" s="659"/>
      <c r="C49" s="1924" t="str">
        <f>IF($A$29=TRUE,C69,"")</f>
        <v>Prevalence</v>
      </c>
      <c r="D49" s="1924"/>
      <c r="E49" s="1924"/>
      <c r="F49" s="1924"/>
      <c r="G49" s="1924" t="str">
        <f>IF($A$29=TRUE,G69,"")</f>
        <v>Proportion with low blood pressure</v>
      </c>
      <c r="H49" s="1924"/>
      <c r="I49" s="1924"/>
      <c r="J49" s="1924"/>
      <c r="K49" s="1924"/>
      <c r="L49" s="1924"/>
      <c r="M49" s="1924"/>
      <c r="N49" s="380"/>
    </row>
    <row r="50" spans="1:14" x14ac:dyDescent="0.2">
      <c r="A50" s="380"/>
      <c r="B50" s="659"/>
      <c r="C50" s="652" t="str">
        <f t="shared" ref="B50:I58" si="2">IF($A$29=TRUE,C70,"")</f>
        <v>CHD</v>
      </c>
      <c r="D50" s="939" t="str">
        <f t="shared" si="2"/>
        <v>Stroke</v>
      </c>
      <c r="E50" s="1931" t="str">
        <f t="shared" si="2"/>
        <v>Hypertension</v>
      </c>
      <c r="F50" s="1931"/>
      <c r="G50" s="945" t="str">
        <f t="shared" si="2"/>
        <v>CHD</v>
      </c>
      <c r="H50" s="652" t="str">
        <f t="shared" si="2"/>
        <v>Stroke</v>
      </c>
      <c r="I50" s="943" t="str">
        <f t="shared" si="2"/>
        <v>Hypertension</v>
      </c>
      <c r="J50" s="380"/>
      <c r="K50" s="380"/>
      <c r="L50" s="380"/>
      <c r="M50" s="380"/>
      <c r="N50" s="380"/>
    </row>
    <row r="51" spans="1:14" x14ac:dyDescent="0.2">
      <c r="A51" s="380"/>
      <c r="B51" s="659" t="str">
        <f t="shared" si="2"/>
        <v>2004/05</v>
      </c>
      <c r="C51" s="946">
        <f t="shared" si="2"/>
        <v>3.57</v>
      </c>
      <c r="D51" s="947">
        <f t="shared" si="2"/>
        <v>1.63</v>
      </c>
      <c r="E51" s="1925">
        <f t="shared" si="2"/>
        <v>10.41</v>
      </c>
      <c r="F51" s="1925"/>
      <c r="G51" s="948">
        <f t="shared" si="2"/>
        <v>78.599999999999994</v>
      </c>
      <c r="H51" s="947">
        <f t="shared" si="2"/>
        <v>73.13</v>
      </c>
      <c r="I51" s="947">
        <f t="shared" si="2"/>
        <v>64.33</v>
      </c>
      <c r="J51" s="380"/>
      <c r="K51" s="380"/>
      <c r="L51" s="380"/>
      <c r="M51" s="380"/>
      <c r="N51" s="380"/>
    </row>
    <row r="52" spans="1:14" x14ac:dyDescent="0.2">
      <c r="A52" s="380"/>
      <c r="B52" s="659" t="str">
        <f t="shared" si="2"/>
        <v>2005/06</v>
      </c>
      <c r="C52" s="946">
        <f t="shared" si="2"/>
        <v>3.57</v>
      </c>
      <c r="D52" s="947">
        <f t="shared" si="2"/>
        <v>1.66</v>
      </c>
      <c r="E52" s="1925">
        <f t="shared" si="2"/>
        <v>11.48</v>
      </c>
      <c r="F52" s="1925"/>
      <c r="G52" s="948">
        <f t="shared" si="2"/>
        <v>84.44</v>
      </c>
      <c r="H52" s="947">
        <f t="shared" si="2"/>
        <v>81.22</v>
      </c>
      <c r="I52" s="947">
        <f t="shared" si="2"/>
        <v>71.05</v>
      </c>
      <c r="J52" s="380"/>
      <c r="K52" s="380"/>
      <c r="L52" s="380"/>
      <c r="M52" s="380"/>
      <c r="N52" s="380"/>
    </row>
    <row r="53" spans="1:14" x14ac:dyDescent="0.2">
      <c r="A53" s="380"/>
      <c r="B53" s="659" t="str">
        <f t="shared" si="2"/>
        <v>2006/07</v>
      </c>
      <c r="C53" s="946">
        <f t="shared" si="2"/>
        <v>3.54</v>
      </c>
      <c r="D53" s="947">
        <f t="shared" si="2"/>
        <v>1.61</v>
      </c>
      <c r="E53" s="1925">
        <f t="shared" si="2"/>
        <v>12.49</v>
      </c>
      <c r="F53" s="1925"/>
      <c r="G53" s="948">
        <f t="shared" si="2"/>
        <v>88.86</v>
      </c>
      <c r="H53" s="947">
        <f t="shared" si="2"/>
        <v>86.92</v>
      </c>
      <c r="I53" s="947">
        <f t="shared" si="2"/>
        <v>77.62</v>
      </c>
      <c r="J53" s="380"/>
      <c r="K53" s="940"/>
      <c r="L53" s="380"/>
      <c r="M53" s="380"/>
      <c r="N53" s="380"/>
    </row>
    <row r="54" spans="1:14" x14ac:dyDescent="0.2">
      <c r="A54" s="380"/>
      <c r="B54" s="659" t="str">
        <f t="shared" si="2"/>
        <v>2007/08</v>
      </c>
      <c r="C54" s="946">
        <f t="shared" si="2"/>
        <v>3.5</v>
      </c>
      <c r="D54" s="947">
        <f t="shared" si="2"/>
        <v>1.63</v>
      </c>
      <c r="E54" s="1925">
        <f t="shared" si="2"/>
        <v>12.79</v>
      </c>
      <c r="F54" s="1925"/>
      <c r="G54" s="948">
        <f t="shared" si="2"/>
        <v>89.41</v>
      </c>
      <c r="H54" s="947">
        <f t="shared" si="2"/>
        <v>87.51</v>
      </c>
      <c r="I54" s="947">
        <f t="shared" si="2"/>
        <v>78.349999999999994</v>
      </c>
      <c r="J54" s="380"/>
      <c r="K54" s="677"/>
      <c r="L54" s="380"/>
      <c r="M54" s="380"/>
      <c r="N54" s="380"/>
    </row>
    <row r="55" spans="1:14" x14ac:dyDescent="0.2">
      <c r="A55" s="380"/>
      <c r="B55" s="659" t="str">
        <f t="shared" si="2"/>
        <v>2008/09</v>
      </c>
      <c r="C55" s="946">
        <f t="shared" si="2"/>
        <v>3.47</v>
      </c>
      <c r="D55" s="947">
        <f t="shared" si="2"/>
        <v>1.66</v>
      </c>
      <c r="E55" s="1925">
        <f t="shared" si="2"/>
        <v>13.13</v>
      </c>
      <c r="F55" s="1925"/>
      <c r="G55" s="948">
        <f t="shared" si="2"/>
        <v>89.68</v>
      </c>
      <c r="H55" s="947">
        <f t="shared" si="2"/>
        <v>87.88</v>
      </c>
      <c r="I55" s="947">
        <f t="shared" si="2"/>
        <v>78.56</v>
      </c>
      <c r="J55" s="380"/>
      <c r="K55" s="677"/>
      <c r="L55" s="380"/>
      <c r="M55" s="380"/>
      <c r="N55" s="380"/>
    </row>
    <row r="56" spans="1:14" x14ac:dyDescent="0.2">
      <c r="A56" s="380"/>
      <c r="B56" s="659" t="str">
        <f t="shared" si="2"/>
        <v>2009/10</v>
      </c>
      <c r="C56" s="946">
        <f t="shared" si="2"/>
        <v>3.44</v>
      </c>
      <c r="D56" s="947">
        <f t="shared" si="2"/>
        <v>1.68</v>
      </c>
      <c r="E56" s="1925">
        <f t="shared" si="2"/>
        <v>13.35</v>
      </c>
      <c r="F56" s="1925"/>
      <c r="G56" s="948">
        <f t="shared" si="2"/>
        <v>89.77</v>
      </c>
      <c r="H56" s="947">
        <f t="shared" si="2"/>
        <v>88.12</v>
      </c>
      <c r="I56" s="947">
        <f t="shared" si="2"/>
        <v>78.72</v>
      </c>
      <c r="J56" s="380"/>
      <c r="K56" s="677"/>
      <c r="L56" s="380"/>
      <c r="M56" s="380"/>
      <c r="N56" s="380"/>
    </row>
    <row r="57" spans="1:14" x14ac:dyDescent="0.2">
      <c r="A57" s="380"/>
      <c r="B57" s="659" t="str">
        <f t="shared" si="2"/>
        <v>2010/11</v>
      </c>
      <c r="C57" s="946">
        <f t="shared" si="2"/>
        <v>3.4</v>
      </c>
      <c r="D57" s="947">
        <f t="shared" si="2"/>
        <v>1.71</v>
      </c>
      <c r="E57" s="1925">
        <f t="shared" si="2"/>
        <v>13.52</v>
      </c>
      <c r="F57" s="1925"/>
      <c r="G57" s="948">
        <f t="shared" si="2"/>
        <v>90.16</v>
      </c>
      <c r="H57" s="947">
        <f t="shared" si="2"/>
        <v>88.57</v>
      </c>
      <c r="I57" s="947">
        <f t="shared" si="2"/>
        <v>79.3</v>
      </c>
      <c r="J57" s="380"/>
      <c r="K57" s="677"/>
      <c r="L57" s="380"/>
      <c r="M57" s="380"/>
      <c r="N57" s="380"/>
    </row>
    <row r="58" spans="1:14" x14ac:dyDescent="0.2">
      <c r="A58" s="380"/>
      <c r="B58" s="659" t="str">
        <f t="shared" si="2"/>
        <v>2011/12</v>
      </c>
      <c r="C58" s="946">
        <f t="shared" si="2"/>
        <v>3.3777996839000002</v>
      </c>
      <c r="D58" s="947">
        <f t="shared" si="2"/>
        <v>1.7366236612999999</v>
      </c>
      <c r="E58" s="1925">
        <f t="shared" si="2"/>
        <v>13.629653725000001</v>
      </c>
      <c r="F58" s="1925"/>
      <c r="G58" s="948">
        <f t="shared" si="2"/>
        <v>90.136384149600801</v>
      </c>
      <c r="H58" s="947">
        <f t="shared" si="2"/>
        <v>88.613747794746402</v>
      </c>
      <c r="I58" s="947">
        <f t="shared" si="2"/>
        <v>79.653871572325897</v>
      </c>
      <c r="J58" s="380"/>
      <c r="K58" s="677"/>
      <c r="L58" s="380"/>
      <c r="M58" s="380"/>
      <c r="N58" s="380"/>
    </row>
    <row r="59" spans="1:14" x14ac:dyDescent="0.2">
      <c r="A59" s="380"/>
      <c r="B59" s="659"/>
      <c r="C59" s="939"/>
      <c r="D59" s="379"/>
      <c r="E59" s="380"/>
      <c r="F59" s="380"/>
      <c r="G59" s="380"/>
      <c r="H59" s="380"/>
      <c r="I59" s="380"/>
      <c r="J59" s="380"/>
      <c r="K59" s="677"/>
      <c r="L59" s="380"/>
      <c r="M59" s="380"/>
      <c r="N59" s="380"/>
    </row>
    <row r="60" spans="1:14" x14ac:dyDescent="0.2">
      <c r="A60" s="380"/>
      <c r="B60" s="659"/>
      <c r="C60" s="939"/>
      <c r="D60" s="379"/>
      <c r="E60" s="380"/>
      <c r="F60" s="380"/>
      <c r="G60" s="380"/>
      <c r="H60" s="380"/>
      <c r="I60" s="380"/>
      <c r="J60" s="380"/>
      <c r="K60" s="941"/>
      <c r="L60" s="380"/>
      <c r="M60" s="380"/>
      <c r="N60" s="380"/>
    </row>
    <row r="61" spans="1:14" x14ac:dyDescent="0.2">
      <c r="A61" s="380"/>
      <c r="B61" s="659"/>
      <c r="C61" s="939"/>
      <c r="D61" s="379"/>
      <c r="E61" s="380"/>
      <c r="F61" s="380"/>
      <c r="G61" s="380"/>
      <c r="H61" s="380"/>
      <c r="I61" s="380"/>
      <c r="J61" s="380"/>
      <c r="K61" s="942"/>
      <c r="L61" s="942"/>
      <c r="M61" s="380"/>
      <c r="N61" s="380"/>
    </row>
    <row r="62" spans="1:14" x14ac:dyDescent="0.2">
      <c r="A62" s="380"/>
      <c r="B62" s="659"/>
      <c r="C62" s="939"/>
      <c r="D62" s="379"/>
      <c r="E62" s="380"/>
      <c r="F62" s="380"/>
      <c r="G62" s="380"/>
      <c r="H62" s="380"/>
      <c r="I62" s="380"/>
      <c r="J62" s="380"/>
      <c r="K62" s="942"/>
      <c r="L62" s="942"/>
      <c r="M62" s="380"/>
      <c r="N62" s="380"/>
    </row>
    <row r="63" spans="1:14" x14ac:dyDescent="0.2">
      <c r="A63" s="380"/>
      <c r="B63" s="659"/>
      <c r="C63" s="939"/>
      <c r="D63" s="379"/>
      <c r="E63" s="380"/>
      <c r="F63" s="380"/>
      <c r="G63" s="380"/>
      <c r="H63" s="380"/>
      <c r="I63" s="380"/>
      <c r="J63" s="380"/>
      <c r="K63" s="942"/>
      <c r="L63" s="942"/>
      <c r="M63" s="380"/>
      <c r="N63" s="380"/>
    </row>
    <row r="64" spans="1:14" x14ac:dyDescent="0.2">
      <c r="A64" s="380"/>
      <c r="B64" s="659"/>
      <c r="C64" s="939"/>
      <c r="D64" s="379"/>
      <c r="E64" s="380"/>
      <c r="F64" s="380"/>
      <c r="G64" s="380"/>
      <c r="H64" s="380"/>
      <c r="I64" s="380"/>
      <c r="J64" s="380"/>
      <c r="K64" s="942"/>
      <c r="L64" s="942"/>
      <c r="M64" s="380"/>
      <c r="N64" s="380"/>
    </row>
    <row r="65" spans="1:15" x14ac:dyDescent="0.2">
      <c r="A65" s="380"/>
      <c r="B65" s="659"/>
      <c r="C65" s="939"/>
      <c r="D65" s="379"/>
      <c r="E65" s="380"/>
      <c r="F65" s="380"/>
      <c r="G65" s="380"/>
      <c r="H65" s="380"/>
      <c r="I65" s="380"/>
      <c r="J65" s="380"/>
      <c r="K65" s="380"/>
      <c r="L65" s="380"/>
      <c r="M65" s="380"/>
      <c r="N65" s="380"/>
    </row>
    <row r="66" spans="1:15" x14ac:dyDescent="0.2">
      <c r="A66" s="380"/>
      <c r="B66" s="659"/>
      <c r="C66" s="939"/>
      <c r="D66" s="379"/>
      <c r="E66" s="380"/>
      <c r="F66" s="380"/>
      <c r="G66" s="380"/>
      <c r="H66" s="380"/>
      <c r="I66" s="380"/>
      <c r="J66" s="380"/>
      <c r="K66" s="380"/>
      <c r="L66" s="380"/>
      <c r="M66" s="380"/>
      <c r="N66" s="380"/>
    </row>
    <row r="67" spans="1:15" x14ac:dyDescent="0.2">
      <c r="A67" s="380"/>
      <c r="B67" s="659"/>
      <c r="C67" s="939"/>
      <c r="D67" s="379"/>
      <c r="E67" s="380"/>
      <c r="F67" s="380"/>
      <c r="G67" s="380"/>
      <c r="H67" s="380"/>
      <c r="I67" s="380"/>
      <c r="J67" s="380"/>
      <c r="K67" s="380"/>
      <c r="L67" s="380"/>
      <c r="M67" s="380"/>
      <c r="N67" s="380"/>
      <c r="O67" s="380"/>
    </row>
    <row r="68" spans="1:15" x14ac:dyDescent="0.2">
      <c r="A68" s="567"/>
      <c r="B68" s="748"/>
      <c r="C68" s="737"/>
      <c r="D68" s="567"/>
      <c r="E68" s="567"/>
      <c r="F68" s="567"/>
      <c r="G68" s="379"/>
      <c r="H68" s="379"/>
      <c r="I68" s="379"/>
      <c r="J68" s="379"/>
      <c r="K68" s="379"/>
      <c r="L68" s="379"/>
      <c r="M68" s="379"/>
      <c r="N68" s="567"/>
      <c r="O68" s="380"/>
    </row>
    <row r="69" spans="1:15" x14ac:dyDescent="0.2">
      <c r="A69" s="567"/>
      <c r="B69" s="809"/>
      <c r="C69" s="644" t="s">
        <v>359</v>
      </c>
      <c r="D69" s="644"/>
      <c r="E69" s="644"/>
      <c r="F69" s="951"/>
      <c r="G69" s="1929" t="s">
        <v>399</v>
      </c>
      <c r="H69" s="1929"/>
      <c r="I69" s="1929"/>
      <c r="J69" s="940"/>
      <c r="K69" s="379"/>
      <c r="L69" s="379"/>
      <c r="M69" s="379"/>
      <c r="N69" s="567"/>
      <c r="O69" s="380"/>
    </row>
    <row r="70" spans="1:15" x14ac:dyDescent="0.2">
      <c r="A70" s="567"/>
      <c r="B70" s="809"/>
      <c r="C70" s="952" t="s">
        <v>361</v>
      </c>
      <c r="D70" s="953" t="s">
        <v>362</v>
      </c>
      <c r="E70" s="954" t="s">
        <v>363</v>
      </c>
      <c r="F70" s="953" t="s">
        <v>364</v>
      </c>
      <c r="G70" s="1715" t="s">
        <v>361</v>
      </c>
      <c r="H70" s="1715" t="s">
        <v>362</v>
      </c>
      <c r="I70" s="1716" t="s">
        <v>363</v>
      </c>
      <c r="J70" s="1717"/>
      <c r="K70" s="379"/>
      <c r="L70" s="379"/>
      <c r="M70" s="379"/>
      <c r="N70" s="567"/>
      <c r="O70" s="380"/>
    </row>
    <row r="71" spans="1:15" x14ac:dyDescent="0.2">
      <c r="A71" s="567"/>
      <c r="B71" s="809" t="s">
        <v>74</v>
      </c>
      <c r="C71" s="955">
        <v>3.57</v>
      </c>
      <c r="D71" s="956">
        <v>1.63</v>
      </c>
      <c r="E71" s="956">
        <v>10.41</v>
      </c>
      <c r="F71" s="956"/>
      <c r="G71" s="1718">
        <v>78.599999999999994</v>
      </c>
      <c r="H71" s="1719">
        <v>73.13</v>
      </c>
      <c r="I71" s="1719">
        <v>64.33</v>
      </c>
      <c r="J71" s="1717"/>
      <c r="K71" s="379"/>
      <c r="L71" s="379"/>
      <c r="M71" s="379"/>
      <c r="N71" s="567"/>
      <c r="O71" s="380"/>
    </row>
    <row r="72" spans="1:15" x14ac:dyDescent="0.2">
      <c r="A72" s="567"/>
      <c r="B72" s="809" t="s">
        <v>75</v>
      </c>
      <c r="C72" s="955">
        <v>3.57</v>
      </c>
      <c r="D72" s="956">
        <v>1.66</v>
      </c>
      <c r="E72" s="956">
        <v>11.48</v>
      </c>
      <c r="F72" s="956"/>
      <c r="G72" s="1718">
        <v>84.44</v>
      </c>
      <c r="H72" s="1719">
        <v>81.22</v>
      </c>
      <c r="I72" s="1719">
        <v>71.05</v>
      </c>
      <c r="J72" s="1717"/>
      <c r="K72" s="379"/>
      <c r="L72" s="379"/>
      <c r="M72" s="379"/>
      <c r="N72" s="567"/>
      <c r="O72" s="380"/>
    </row>
    <row r="73" spans="1:15" x14ac:dyDescent="0.2">
      <c r="A73" s="567"/>
      <c r="B73" s="809" t="s">
        <v>76</v>
      </c>
      <c r="C73" s="955">
        <v>3.54</v>
      </c>
      <c r="D73" s="956">
        <v>1.61</v>
      </c>
      <c r="E73" s="956">
        <v>12.49</v>
      </c>
      <c r="F73" s="956"/>
      <c r="G73" s="1718">
        <v>88.86</v>
      </c>
      <c r="H73" s="1719">
        <v>86.92</v>
      </c>
      <c r="I73" s="1719">
        <v>77.62</v>
      </c>
      <c r="J73" s="1717"/>
      <c r="K73" s="379"/>
      <c r="L73" s="379"/>
      <c r="M73" s="379"/>
      <c r="N73" s="567"/>
      <c r="O73" s="380"/>
    </row>
    <row r="74" spans="1:15" x14ac:dyDescent="0.2">
      <c r="A74" s="567"/>
      <c r="B74" s="809" t="s">
        <v>4</v>
      </c>
      <c r="C74" s="955">
        <v>3.5</v>
      </c>
      <c r="D74" s="956">
        <v>1.63</v>
      </c>
      <c r="E74" s="956">
        <v>12.79</v>
      </c>
      <c r="F74" s="956"/>
      <c r="G74" s="1718">
        <v>89.41</v>
      </c>
      <c r="H74" s="1719">
        <v>87.51</v>
      </c>
      <c r="I74" s="1719">
        <v>78.349999999999994</v>
      </c>
      <c r="J74" s="1717"/>
      <c r="K74" s="379"/>
      <c r="L74" s="379"/>
      <c r="M74" s="379"/>
      <c r="N74" s="567"/>
      <c r="O74" s="380"/>
    </row>
    <row r="75" spans="1:15" x14ac:dyDescent="0.2">
      <c r="A75" s="567"/>
      <c r="B75" s="809" t="s">
        <v>5</v>
      </c>
      <c r="C75" s="955">
        <v>3.47</v>
      </c>
      <c r="D75" s="956">
        <v>1.66</v>
      </c>
      <c r="E75" s="956">
        <v>13.13</v>
      </c>
      <c r="F75" s="956"/>
      <c r="G75" s="1718">
        <v>89.68</v>
      </c>
      <c r="H75" s="1719">
        <v>87.88</v>
      </c>
      <c r="I75" s="1719">
        <v>78.56</v>
      </c>
      <c r="J75" s="1717"/>
      <c r="K75" s="1262"/>
      <c r="L75" s="1262"/>
      <c r="M75" s="379"/>
      <c r="N75" s="567"/>
      <c r="O75" s="380"/>
    </row>
    <row r="76" spans="1:15" x14ac:dyDescent="0.2">
      <c r="A76" s="567"/>
      <c r="B76" s="809" t="s">
        <v>6</v>
      </c>
      <c r="C76" s="955">
        <v>3.44</v>
      </c>
      <c r="D76" s="956">
        <v>1.68</v>
      </c>
      <c r="E76" s="956">
        <v>13.35</v>
      </c>
      <c r="F76" s="956"/>
      <c r="G76" s="1718">
        <v>89.77</v>
      </c>
      <c r="H76" s="1719">
        <v>88.12</v>
      </c>
      <c r="I76" s="1719">
        <v>78.72</v>
      </c>
      <c r="J76" s="1717"/>
      <c r="K76" s="1262"/>
      <c r="L76" s="1262"/>
      <c r="M76" s="379"/>
      <c r="N76" s="567"/>
      <c r="O76" s="380"/>
    </row>
    <row r="77" spans="1:15" x14ac:dyDescent="0.2">
      <c r="A77" s="567"/>
      <c r="B77" s="809" t="s">
        <v>7</v>
      </c>
      <c r="C77" s="955">
        <v>3.4</v>
      </c>
      <c r="D77" s="956">
        <v>1.71</v>
      </c>
      <c r="E77" s="956">
        <v>13.52</v>
      </c>
      <c r="F77" s="956"/>
      <c r="G77" s="1718">
        <v>90.16</v>
      </c>
      <c r="H77" s="1719">
        <v>88.57</v>
      </c>
      <c r="I77" s="1719">
        <v>79.3</v>
      </c>
      <c r="J77" s="940"/>
      <c r="K77" s="1720"/>
      <c r="L77" s="1262"/>
      <c r="M77" s="379"/>
      <c r="N77" s="567"/>
      <c r="O77" s="380"/>
    </row>
    <row r="78" spans="1:15" x14ac:dyDescent="0.2">
      <c r="A78" s="567"/>
      <c r="B78" s="809" t="s">
        <v>489</v>
      </c>
      <c r="C78" s="957">
        <v>3.3777996839000002</v>
      </c>
      <c r="D78" s="958">
        <v>1.7366236612999999</v>
      </c>
      <c r="E78" s="958">
        <v>13.629653725000001</v>
      </c>
      <c r="F78" s="959"/>
      <c r="G78" s="1721">
        <v>90.136384149600801</v>
      </c>
      <c r="H78" s="1722">
        <v>88.613747794746402</v>
      </c>
      <c r="I78" s="1722">
        <v>79.653871572325897</v>
      </c>
      <c r="J78" s="1262"/>
      <c r="K78" s="1720"/>
      <c r="L78" s="1262"/>
      <c r="M78" s="379"/>
      <c r="N78" s="567"/>
      <c r="O78" s="380"/>
    </row>
    <row r="79" spans="1:15" x14ac:dyDescent="0.2">
      <c r="A79" s="567">
        <v>2</v>
      </c>
      <c r="B79" s="787"/>
      <c r="C79" s="787"/>
      <c r="D79" s="787"/>
      <c r="E79" s="787"/>
      <c r="F79" s="787"/>
      <c r="G79" s="1262"/>
      <c r="H79" s="1262"/>
      <c r="I79" s="1262"/>
      <c r="J79" s="1262"/>
      <c r="K79" s="1720"/>
      <c r="L79" s="1262"/>
      <c r="M79" s="379"/>
      <c r="N79" s="567"/>
      <c r="O79" s="380"/>
    </row>
    <row r="80" spans="1:15" ht="23.25" customHeight="1" x14ac:dyDescent="0.2">
      <c r="A80" s="567"/>
      <c r="B80" s="810"/>
      <c r="C80" s="787"/>
      <c r="D80" s="787"/>
      <c r="E80" s="787"/>
      <c r="F80" s="787"/>
      <c r="G80" s="1262"/>
      <c r="H80" s="1262"/>
      <c r="I80" s="1262"/>
      <c r="J80" s="1262"/>
      <c r="K80" s="1720"/>
      <c r="L80" s="1262"/>
      <c r="M80" s="379"/>
      <c r="N80" s="567"/>
      <c r="O80" s="380"/>
    </row>
    <row r="81" spans="1:15" x14ac:dyDescent="0.2">
      <c r="A81" s="567"/>
      <c r="B81" s="810"/>
      <c r="C81" s="787"/>
      <c r="D81" s="787"/>
      <c r="E81" s="787"/>
      <c r="F81" s="787"/>
      <c r="G81" s="1262"/>
      <c r="H81" s="1262"/>
      <c r="I81" s="1262"/>
      <c r="J81" s="379"/>
      <c r="K81" s="379"/>
      <c r="L81" s="379"/>
      <c r="M81" s="379"/>
      <c r="N81" s="567"/>
      <c r="O81" s="380"/>
    </row>
    <row r="82" spans="1:15" x14ac:dyDescent="0.2">
      <c r="A82" s="567"/>
      <c r="B82" s="809"/>
      <c r="C82" s="678"/>
      <c r="D82" s="678"/>
      <c r="E82" s="567"/>
      <c r="F82" s="567"/>
      <c r="G82" s="379"/>
      <c r="H82" s="379"/>
      <c r="I82" s="379"/>
      <c r="J82" s="379"/>
      <c r="K82" s="379"/>
      <c r="L82" s="379"/>
      <c r="M82" s="379"/>
      <c r="N82" s="567"/>
      <c r="O82" s="380"/>
    </row>
    <row r="83" spans="1:15" x14ac:dyDescent="0.2">
      <c r="A83" s="567"/>
      <c r="B83" s="809"/>
      <c r="C83" s="678"/>
      <c r="D83" s="678"/>
      <c r="E83" s="567"/>
      <c r="F83" s="567"/>
      <c r="G83" s="379"/>
      <c r="H83" s="379"/>
      <c r="I83" s="379"/>
      <c r="J83" s="379"/>
      <c r="K83" s="379"/>
      <c r="L83" s="379"/>
      <c r="M83" s="379"/>
      <c r="N83" s="567"/>
      <c r="O83" s="380"/>
    </row>
    <row r="84" spans="1:15" x14ac:dyDescent="0.2">
      <c r="A84" s="567"/>
      <c r="B84" s="810" t="s">
        <v>497</v>
      </c>
      <c r="C84" s="787"/>
      <c r="D84" s="787"/>
      <c r="E84" s="567"/>
      <c r="F84" s="567"/>
      <c r="G84" s="379"/>
      <c r="H84" s="379"/>
      <c r="I84" s="379"/>
      <c r="J84" s="379"/>
      <c r="K84" s="379"/>
      <c r="L84" s="379"/>
      <c r="M84" s="379"/>
      <c r="N84" s="567"/>
      <c r="O84" s="380"/>
    </row>
    <row r="85" spans="1:15" x14ac:dyDescent="0.2">
      <c r="A85" s="567"/>
      <c r="B85" s="810" t="s">
        <v>1</v>
      </c>
      <c r="C85" s="787" t="s">
        <v>250</v>
      </c>
      <c r="D85" s="787" t="str">
        <f>IF(A79=1, "Value of QA=1.3","Value of QA=1.5")</f>
        <v>Value of QA=1.5</v>
      </c>
      <c r="E85" s="567"/>
      <c r="F85" s="567"/>
      <c r="G85" s="379"/>
      <c r="H85" s="379"/>
      <c r="I85" s="379"/>
      <c r="J85" s="379"/>
      <c r="K85" s="379"/>
      <c r="L85" s="379"/>
      <c r="M85" s="379"/>
      <c r="N85" s="567"/>
      <c r="O85" s="380"/>
    </row>
    <row r="86" spans="1:15" x14ac:dyDescent="0.2">
      <c r="A86" s="567"/>
      <c r="B86" s="809" t="s">
        <v>74</v>
      </c>
      <c r="C86" s="882">
        <v>265600</v>
      </c>
      <c r="D86" s="678">
        <f t="shared" ref="D86:D93" si="3">IF($D$85=1.3,D95/1000,E95/1000)</f>
        <v>279802.68377599999</v>
      </c>
      <c r="E86" s="567"/>
      <c r="F86" s="567"/>
      <c r="G86" s="379"/>
      <c r="H86" s="379"/>
      <c r="I86" s="379"/>
      <c r="J86" s="379"/>
      <c r="K86" s="379"/>
      <c r="L86" s="379"/>
      <c r="M86" s="379"/>
      <c r="N86" s="567"/>
      <c r="O86" s="380"/>
    </row>
    <row r="87" spans="1:15" x14ac:dyDescent="0.2">
      <c r="A87" s="567"/>
      <c r="B87" s="809" t="s">
        <v>75</v>
      </c>
      <c r="C87" s="882">
        <v>283100</v>
      </c>
      <c r="D87" s="678">
        <f t="shared" si="3"/>
        <v>300821.06915000005</v>
      </c>
      <c r="E87" s="567"/>
      <c r="F87" s="567"/>
      <c r="G87" s="379"/>
      <c r="H87" s="379"/>
      <c r="I87" s="379"/>
      <c r="J87" s="379"/>
      <c r="K87" s="379"/>
      <c r="L87" s="379"/>
      <c r="M87" s="379"/>
      <c r="N87" s="567"/>
      <c r="O87" s="380"/>
    </row>
    <row r="88" spans="1:15" x14ac:dyDescent="0.2">
      <c r="A88" s="567"/>
      <c r="B88" s="809" t="s">
        <v>76</v>
      </c>
      <c r="C88" s="882">
        <v>293000</v>
      </c>
      <c r="D88" s="678">
        <f t="shared" si="3"/>
        <v>313861.29820999998</v>
      </c>
      <c r="E88" s="567"/>
      <c r="F88" s="567"/>
      <c r="G88" s="379"/>
      <c r="H88" s="379"/>
      <c r="I88" s="379"/>
      <c r="J88" s="379"/>
      <c r="K88" s="379"/>
      <c r="L88" s="379"/>
      <c r="M88" s="379"/>
      <c r="N88" s="567"/>
      <c r="O88" s="380"/>
    </row>
    <row r="89" spans="1:15" x14ac:dyDescent="0.2">
      <c r="A89" s="567"/>
      <c r="B89" s="809" t="s">
        <v>4</v>
      </c>
      <c r="C89" s="882">
        <v>292500</v>
      </c>
      <c r="D89" s="678">
        <f t="shared" si="3"/>
        <v>313818.46470000001</v>
      </c>
      <c r="E89" s="567"/>
      <c r="F89" s="567"/>
      <c r="G89" s="379"/>
      <c r="H89" s="379"/>
      <c r="I89" s="379"/>
      <c r="J89" s="379"/>
      <c r="K89" s="379"/>
      <c r="L89" s="379"/>
      <c r="M89" s="379"/>
      <c r="N89" s="567"/>
      <c r="O89" s="380"/>
    </row>
    <row r="90" spans="1:15" x14ac:dyDescent="0.2">
      <c r="A90" s="567"/>
      <c r="B90" s="809" t="s">
        <v>5</v>
      </c>
      <c r="C90" s="882">
        <v>300400</v>
      </c>
      <c r="D90" s="678">
        <f t="shared" si="3"/>
        <v>322758.21926400007</v>
      </c>
      <c r="E90" s="567"/>
      <c r="F90" s="567"/>
      <c r="G90" s="379"/>
      <c r="H90" s="379"/>
      <c r="I90" s="379"/>
      <c r="J90" s="379"/>
      <c r="K90" s="379"/>
      <c r="L90" s="379"/>
      <c r="M90" s="379"/>
      <c r="N90" s="567"/>
      <c r="O90" s="380"/>
    </row>
    <row r="91" spans="1:15" x14ac:dyDescent="0.2">
      <c r="A91" s="567"/>
      <c r="B91" s="809" t="s">
        <v>6</v>
      </c>
      <c r="C91" s="882">
        <v>300400</v>
      </c>
      <c r="D91" s="678">
        <f t="shared" si="3"/>
        <v>323046.59124799998</v>
      </c>
      <c r="E91" s="567"/>
      <c r="F91" s="567"/>
      <c r="G91" s="379"/>
      <c r="H91" s="379"/>
      <c r="I91" s="379"/>
      <c r="J91" s="1262"/>
      <c r="K91" s="379"/>
      <c r="L91" s="379"/>
      <c r="M91" s="379"/>
      <c r="N91" s="567"/>
      <c r="O91" s="380"/>
    </row>
    <row r="92" spans="1:15" x14ac:dyDescent="0.2">
      <c r="A92" s="567"/>
      <c r="B92" s="809" t="s">
        <v>7</v>
      </c>
      <c r="C92" s="882">
        <v>292567</v>
      </c>
      <c r="D92" s="678">
        <f t="shared" si="3"/>
        <v>314950.67104377894</v>
      </c>
      <c r="E92" s="787"/>
      <c r="F92" s="787"/>
      <c r="G92" s="1262"/>
      <c r="H92" s="1262"/>
      <c r="I92" s="1262"/>
      <c r="J92" s="1262"/>
      <c r="K92" s="379"/>
      <c r="L92" s="379"/>
      <c r="M92" s="379"/>
      <c r="N92" s="567"/>
      <c r="O92" s="380"/>
    </row>
    <row r="93" spans="1:15" x14ac:dyDescent="0.2">
      <c r="A93" s="567"/>
      <c r="B93" s="809" t="s">
        <v>489</v>
      </c>
      <c r="C93" s="882">
        <v>303819.891</v>
      </c>
      <c r="D93" s="678">
        <f t="shared" si="3"/>
        <v>327274.87877040845</v>
      </c>
      <c r="E93" s="787"/>
      <c r="F93" s="787"/>
      <c r="G93" s="1262"/>
      <c r="H93" s="1262"/>
      <c r="I93" s="1262"/>
      <c r="J93" s="1720"/>
      <c r="K93" s="379"/>
      <c r="L93" s="379"/>
      <c r="M93" s="379"/>
      <c r="N93" s="567"/>
      <c r="O93" s="380"/>
    </row>
    <row r="94" spans="1:15" x14ac:dyDescent="0.2">
      <c r="A94" s="949"/>
      <c r="B94" s="809"/>
      <c r="C94" s="678"/>
      <c r="D94" s="950"/>
      <c r="E94" s="672"/>
      <c r="F94" s="672"/>
      <c r="G94" s="1720"/>
      <c r="H94" s="1720"/>
      <c r="I94" s="1720"/>
      <c r="J94" s="1720"/>
      <c r="K94" s="379"/>
      <c r="L94" s="379"/>
      <c r="M94" s="379"/>
      <c r="N94" s="567"/>
      <c r="O94" s="380"/>
    </row>
    <row r="95" spans="1:15" x14ac:dyDescent="0.2">
      <c r="A95" s="949"/>
      <c r="B95" s="809"/>
      <c r="C95" s="678"/>
      <c r="D95" s="950">
        <v>274121610.26560003</v>
      </c>
      <c r="E95" s="950">
        <v>279802683.77599996</v>
      </c>
      <c r="F95" s="672"/>
      <c r="G95" s="1720"/>
      <c r="H95" s="1720"/>
      <c r="I95" s="1720"/>
      <c r="J95" s="1720"/>
      <c r="K95" s="379"/>
      <c r="L95" s="379"/>
      <c r="M95" s="379"/>
      <c r="N95" s="567"/>
      <c r="O95" s="380"/>
    </row>
    <row r="96" spans="1:15" x14ac:dyDescent="0.2">
      <c r="A96" s="949"/>
      <c r="B96" s="809"/>
      <c r="C96" s="678"/>
      <c r="D96" s="950">
        <v>293732641.49000001</v>
      </c>
      <c r="E96" s="950">
        <v>300821069.15000004</v>
      </c>
      <c r="F96" s="672"/>
      <c r="G96" s="1720"/>
      <c r="H96" s="1720"/>
      <c r="I96" s="1720"/>
      <c r="J96" s="1720"/>
      <c r="K96" s="379"/>
      <c r="L96" s="379"/>
      <c r="M96" s="379"/>
      <c r="N96" s="567"/>
      <c r="O96" s="380"/>
    </row>
    <row r="97" spans="1:15" x14ac:dyDescent="0.2">
      <c r="A97" s="809"/>
      <c r="B97" s="809"/>
      <c r="C97" s="678"/>
      <c r="D97" s="950">
        <v>305516778.926</v>
      </c>
      <c r="E97" s="950">
        <v>313861298.20999998</v>
      </c>
      <c r="F97" s="672"/>
      <c r="G97" s="1720"/>
      <c r="H97" s="1720"/>
      <c r="I97" s="1720"/>
      <c r="J97" s="379"/>
      <c r="K97" s="379"/>
      <c r="L97" s="379"/>
      <c r="M97" s="379"/>
      <c r="N97" s="567"/>
      <c r="O97" s="380"/>
    </row>
    <row r="98" spans="1:15" x14ac:dyDescent="0.2">
      <c r="A98" s="809"/>
      <c r="B98" s="809"/>
      <c r="C98" s="678"/>
      <c r="D98" s="950">
        <v>305291078.81999999</v>
      </c>
      <c r="E98" s="950">
        <v>313818464.69999999</v>
      </c>
      <c r="F98" s="960"/>
      <c r="G98" s="379"/>
      <c r="H98" s="379"/>
      <c r="I98" s="379"/>
      <c r="J98" s="379"/>
      <c r="K98" s="379"/>
      <c r="L98" s="379"/>
      <c r="M98" s="379"/>
      <c r="N98" s="567"/>
      <c r="O98" s="380"/>
    </row>
    <row r="99" spans="1:15" x14ac:dyDescent="0.2">
      <c r="A99" s="809"/>
      <c r="B99" s="567"/>
      <c r="C99" s="567"/>
      <c r="D99" s="950">
        <v>313814931.55840003</v>
      </c>
      <c r="E99" s="950">
        <v>322758219.26400006</v>
      </c>
      <c r="F99" s="960"/>
      <c r="G99" s="567"/>
      <c r="H99" s="567"/>
      <c r="I99" s="567"/>
      <c r="J99" s="567"/>
      <c r="K99" s="567"/>
      <c r="L99" s="567"/>
      <c r="M99" s="567"/>
      <c r="N99" s="567"/>
      <c r="O99" s="380"/>
    </row>
    <row r="100" spans="1:15" x14ac:dyDescent="0.2">
      <c r="A100" s="809"/>
      <c r="B100" s="567"/>
      <c r="C100" s="567"/>
      <c r="D100" s="950">
        <v>313987954.74879998</v>
      </c>
      <c r="E100" s="950">
        <v>323046591.24799997</v>
      </c>
      <c r="F100" s="960"/>
      <c r="G100" s="567"/>
      <c r="H100" s="567"/>
      <c r="I100" s="567"/>
      <c r="J100" s="567"/>
      <c r="K100" s="567"/>
      <c r="L100" s="567"/>
      <c r="M100" s="567"/>
      <c r="N100" s="567"/>
      <c r="O100" s="380"/>
    </row>
    <row r="101" spans="1:15" x14ac:dyDescent="0.2">
      <c r="A101" s="809"/>
      <c r="B101" s="567"/>
      <c r="C101" s="567"/>
      <c r="D101" s="950">
        <v>305997323.42626739</v>
      </c>
      <c r="E101" s="950">
        <v>314950671.04377896</v>
      </c>
      <c r="F101" s="960"/>
      <c r="G101" s="567"/>
      <c r="H101" s="567"/>
      <c r="I101" s="567"/>
      <c r="J101" s="567"/>
      <c r="K101" s="567"/>
      <c r="L101" s="567"/>
      <c r="M101" s="567"/>
      <c r="N101" s="567"/>
      <c r="O101" s="380"/>
    </row>
    <row r="102" spans="1:15" x14ac:dyDescent="0.2">
      <c r="A102" s="809"/>
      <c r="B102" s="567"/>
      <c r="C102" s="567"/>
      <c r="D102" s="960">
        <v>317892883.66224509</v>
      </c>
      <c r="E102" s="960">
        <v>327274878.77040845</v>
      </c>
      <c r="F102" s="960"/>
      <c r="G102" s="567"/>
      <c r="H102" s="567"/>
      <c r="I102" s="567"/>
      <c r="J102" s="567"/>
      <c r="K102" s="567"/>
      <c r="L102" s="567"/>
      <c r="M102" s="567"/>
      <c r="N102" s="567"/>
      <c r="O102" s="380"/>
    </row>
    <row r="103" spans="1:15" ht="23.25" customHeight="1" x14ac:dyDescent="0.2">
      <c r="A103" s="809"/>
      <c r="B103" s="567"/>
      <c r="C103" s="567"/>
      <c r="D103" s="567"/>
      <c r="E103" s="567"/>
      <c r="F103" s="567"/>
      <c r="G103" s="567"/>
      <c r="H103" s="567"/>
      <c r="I103" s="567"/>
      <c r="J103" s="567"/>
      <c r="K103" s="567"/>
      <c r="L103" s="567"/>
      <c r="M103" s="567"/>
      <c r="N103" s="567"/>
      <c r="O103" s="380"/>
    </row>
    <row r="104" spans="1:15" x14ac:dyDescent="0.2">
      <c r="A104" s="809"/>
      <c r="B104" s="567"/>
      <c r="C104" s="567"/>
      <c r="D104" s="567"/>
      <c r="E104" s="567"/>
      <c r="F104" s="567"/>
      <c r="G104" s="567"/>
      <c r="H104" s="567"/>
      <c r="I104" s="567"/>
      <c r="J104" s="567"/>
      <c r="K104" s="567"/>
      <c r="L104" s="567"/>
      <c r="M104" s="567"/>
      <c r="N104" s="567"/>
      <c r="O104" s="380"/>
    </row>
    <row r="105" spans="1:15" x14ac:dyDescent="0.2">
      <c r="A105" s="809"/>
      <c r="B105" s="567"/>
      <c r="C105" s="567"/>
      <c r="D105" s="567"/>
      <c r="E105" s="567"/>
      <c r="F105" s="567"/>
      <c r="G105" s="567"/>
      <c r="H105" s="567"/>
      <c r="I105" s="567"/>
      <c r="J105" s="567"/>
      <c r="K105" s="567"/>
      <c r="L105" s="567"/>
      <c r="M105" s="567"/>
      <c r="N105" s="567"/>
      <c r="O105" s="380"/>
    </row>
    <row r="106" spans="1:15" x14ac:dyDescent="0.2">
      <c r="A106" s="809"/>
      <c r="B106" s="567"/>
      <c r="C106" s="567"/>
      <c r="D106" s="567"/>
      <c r="E106" s="567"/>
      <c r="F106" s="567"/>
      <c r="G106" s="567"/>
      <c r="H106" s="567"/>
      <c r="I106" s="567"/>
      <c r="J106" s="567"/>
      <c r="K106" s="567"/>
      <c r="L106" s="567"/>
      <c r="M106" s="567"/>
      <c r="N106" s="567"/>
      <c r="O106" s="380"/>
    </row>
    <row r="107" spans="1:15" x14ac:dyDescent="0.2">
      <c r="A107" s="809"/>
      <c r="B107" s="567"/>
      <c r="C107" s="567"/>
      <c r="D107" s="567"/>
      <c r="E107" s="567"/>
      <c r="F107" s="567"/>
      <c r="G107" s="567"/>
      <c r="H107" s="567"/>
      <c r="I107" s="567"/>
      <c r="J107" s="567"/>
      <c r="K107" s="567"/>
      <c r="L107" s="567"/>
      <c r="M107" s="567"/>
      <c r="N107" s="567"/>
    </row>
    <row r="108" spans="1:15" x14ac:dyDescent="0.2">
      <c r="A108" s="809"/>
      <c r="B108" s="567"/>
      <c r="C108" s="567"/>
      <c r="D108" s="567"/>
      <c r="E108" s="567"/>
      <c r="F108" s="567"/>
      <c r="G108" s="567"/>
      <c r="H108" s="567"/>
      <c r="I108" s="567"/>
      <c r="J108" s="567"/>
      <c r="K108" s="567"/>
      <c r="L108" s="567"/>
      <c r="M108" s="567"/>
      <c r="N108" s="567"/>
    </row>
    <row r="109" spans="1:15" x14ac:dyDescent="0.2">
      <c r="A109" s="809"/>
      <c r="B109" s="567"/>
      <c r="C109" s="567"/>
      <c r="D109" s="567"/>
      <c r="E109" s="567"/>
      <c r="F109" s="567"/>
      <c r="G109" s="567"/>
      <c r="H109" s="567"/>
      <c r="I109" s="567"/>
      <c r="J109" s="567"/>
      <c r="K109" s="567"/>
      <c r="L109" s="567"/>
      <c r="M109" s="567"/>
      <c r="N109" s="567"/>
    </row>
    <row r="110" spans="1:15" x14ac:dyDescent="0.2">
      <c r="A110" s="809"/>
      <c r="B110" s="567"/>
      <c r="C110" s="567"/>
      <c r="D110" s="567"/>
      <c r="E110" s="567"/>
      <c r="F110" s="567"/>
      <c r="G110" s="567"/>
      <c r="H110" s="567"/>
      <c r="I110" s="567"/>
      <c r="J110" s="567"/>
      <c r="K110" s="567"/>
      <c r="L110" s="567"/>
      <c r="M110" s="567"/>
      <c r="N110" s="567"/>
    </row>
    <row r="111" spans="1:15" x14ac:dyDescent="0.2">
      <c r="A111" s="809"/>
      <c r="B111" s="567"/>
      <c r="C111" s="567"/>
      <c r="D111" s="567"/>
      <c r="E111" s="567"/>
      <c r="F111" s="567"/>
      <c r="G111" s="567"/>
      <c r="H111" s="567"/>
      <c r="I111" s="567"/>
      <c r="J111" s="567"/>
      <c r="K111" s="567"/>
      <c r="L111" s="567"/>
      <c r="M111" s="567"/>
      <c r="N111" s="567"/>
    </row>
    <row r="112" spans="1:15" x14ac:dyDescent="0.2">
      <c r="A112" s="809"/>
      <c r="B112" s="567"/>
      <c r="C112" s="567"/>
      <c r="D112" s="567"/>
      <c r="E112" s="567"/>
      <c r="F112" s="567"/>
      <c r="G112" s="567"/>
      <c r="H112" s="567"/>
      <c r="I112" s="567"/>
      <c r="J112" s="567"/>
      <c r="K112" s="567"/>
      <c r="L112" s="567"/>
      <c r="M112" s="567"/>
      <c r="N112" s="567"/>
    </row>
    <row r="113" spans="1:14" x14ac:dyDescent="0.2">
      <c r="A113" s="809"/>
      <c r="B113" s="567"/>
      <c r="C113" s="567"/>
      <c r="D113" s="567"/>
      <c r="E113" s="567"/>
      <c r="F113" s="567"/>
      <c r="G113" s="567"/>
      <c r="H113" s="567"/>
      <c r="I113" s="567"/>
      <c r="J113" s="567"/>
      <c r="K113" s="567"/>
      <c r="L113" s="567"/>
      <c r="M113" s="567"/>
      <c r="N113" s="567"/>
    </row>
    <row r="114" spans="1:14" x14ac:dyDescent="0.2">
      <c r="A114" s="809"/>
      <c r="B114" s="567"/>
      <c r="C114" s="567"/>
      <c r="D114" s="567"/>
      <c r="E114" s="567"/>
      <c r="F114" s="567"/>
      <c r="G114" s="567"/>
      <c r="H114" s="567"/>
      <c r="I114" s="567"/>
      <c r="J114" s="567"/>
      <c r="K114" s="567"/>
      <c r="L114" s="567"/>
      <c r="M114" s="567"/>
      <c r="N114" s="567"/>
    </row>
    <row r="115" spans="1:14" x14ac:dyDescent="0.2">
      <c r="A115" s="809"/>
      <c r="B115" s="567"/>
      <c r="C115" s="567"/>
      <c r="D115" s="567"/>
      <c r="E115" s="567"/>
      <c r="F115" s="567"/>
      <c r="G115" s="567"/>
      <c r="H115" s="567"/>
      <c r="I115" s="567"/>
      <c r="J115" s="567"/>
      <c r="K115" s="567"/>
      <c r="L115" s="567"/>
      <c r="M115" s="567"/>
      <c r="N115" s="567"/>
    </row>
    <row r="116" spans="1:14" x14ac:dyDescent="0.2">
      <c r="A116" s="567"/>
      <c r="B116" s="567"/>
      <c r="C116" s="567"/>
      <c r="D116" s="567"/>
      <c r="E116" s="567"/>
      <c r="F116" s="567"/>
      <c r="G116" s="567"/>
      <c r="H116" s="567"/>
      <c r="I116" s="567"/>
      <c r="J116" s="567"/>
      <c r="K116" s="567"/>
      <c r="L116" s="567"/>
      <c r="M116" s="567"/>
      <c r="N116" s="567"/>
    </row>
    <row r="117" spans="1:14" x14ac:dyDescent="0.2">
      <c r="A117" s="567"/>
      <c r="B117" s="567"/>
      <c r="C117" s="567"/>
      <c r="D117" s="567"/>
      <c r="E117" s="567"/>
      <c r="F117" s="567"/>
      <c r="G117" s="567"/>
      <c r="H117" s="567"/>
      <c r="I117" s="567"/>
      <c r="J117" s="567"/>
      <c r="K117" s="567"/>
      <c r="L117" s="567"/>
      <c r="M117" s="567"/>
      <c r="N117" s="567"/>
    </row>
    <row r="118" spans="1:14" x14ac:dyDescent="0.2">
      <c r="A118" s="567"/>
      <c r="B118" s="567"/>
      <c r="C118" s="567"/>
      <c r="D118" s="567"/>
      <c r="E118" s="567"/>
      <c r="F118" s="567"/>
      <c r="G118" s="567"/>
      <c r="H118" s="567"/>
      <c r="I118" s="567"/>
      <c r="J118" s="567"/>
      <c r="K118" s="567"/>
      <c r="L118" s="567"/>
      <c r="M118" s="567"/>
      <c r="N118" s="567"/>
    </row>
    <row r="119" spans="1:14" x14ac:dyDescent="0.2">
      <c r="A119" s="567"/>
      <c r="B119" s="567"/>
      <c r="C119" s="567"/>
      <c r="D119" s="567"/>
      <c r="E119" s="567"/>
      <c r="F119" s="567"/>
      <c r="G119" s="567"/>
      <c r="H119" s="567"/>
      <c r="I119" s="567"/>
      <c r="J119" s="567"/>
      <c r="K119" s="567"/>
      <c r="L119" s="567"/>
      <c r="M119" s="567"/>
      <c r="N119" s="567"/>
    </row>
    <row r="120" spans="1:14" x14ac:dyDescent="0.2">
      <c r="A120" s="567"/>
      <c r="B120" s="567"/>
      <c r="C120" s="567"/>
      <c r="D120" s="567"/>
      <c r="E120" s="567"/>
      <c r="F120" s="567"/>
      <c r="G120" s="567"/>
      <c r="H120" s="567"/>
      <c r="I120" s="567"/>
      <c r="J120" s="567"/>
      <c r="K120" s="567"/>
      <c r="L120" s="567"/>
      <c r="M120" s="567"/>
      <c r="N120" s="567"/>
    </row>
    <row r="121" spans="1:14" x14ac:dyDescent="0.2">
      <c r="A121" s="567"/>
      <c r="B121" s="567"/>
      <c r="C121" s="567"/>
      <c r="D121" s="567"/>
      <c r="E121" s="567"/>
      <c r="F121" s="567"/>
      <c r="G121" s="567"/>
      <c r="H121" s="567"/>
      <c r="I121" s="567"/>
      <c r="J121" s="567"/>
      <c r="K121" s="567"/>
      <c r="L121" s="567"/>
      <c r="M121" s="567"/>
      <c r="N121" s="567"/>
    </row>
    <row r="122" spans="1:14" x14ac:dyDescent="0.2">
      <c r="A122" s="567"/>
      <c r="B122" s="567"/>
      <c r="C122" s="567"/>
      <c r="D122" s="567"/>
      <c r="E122" s="567"/>
      <c r="F122" s="567"/>
      <c r="G122" s="567"/>
      <c r="H122" s="567"/>
      <c r="I122" s="567"/>
      <c r="J122" s="567"/>
      <c r="K122" s="567"/>
      <c r="L122" s="567"/>
      <c r="M122" s="567"/>
      <c r="N122" s="567"/>
    </row>
    <row r="123" spans="1:14" x14ac:dyDescent="0.2">
      <c r="A123" s="567"/>
      <c r="B123" s="567"/>
      <c r="C123" s="567"/>
      <c r="D123" s="567"/>
      <c r="E123" s="567"/>
      <c r="F123" s="567"/>
      <c r="G123" s="567"/>
      <c r="H123" s="567"/>
      <c r="I123" s="567"/>
      <c r="J123" s="567"/>
      <c r="K123" s="567"/>
      <c r="L123" s="567"/>
      <c r="M123" s="567"/>
      <c r="N123" s="567"/>
    </row>
    <row r="124" spans="1:14" x14ac:dyDescent="0.2">
      <c r="A124" s="380"/>
      <c r="B124" s="380"/>
      <c r="C124" s="380"/>
      <c r="D124" s="380"/>
      <c r="E124" s="380"/>
      <c r="F124" s="380"/>
      <c r="G124" s="380"/>
      <c r="H124" s="380"/>
      <c r="I124" s="380"/>
      <c r="J124" s="380"/>
    </row>
    <row r="125" spans="1:14" x14ac:dyDescent="0.2">
      <c r="A125" s="380"/>
      <c r="B125" s="380"/>
      <c r="C125" s="380"/>
      <c r="D125" s="380"/>
      <c r="E125" s="380"/>
      <c r="F125" s="380"/>
      <c r="G125" s="380"/>
      <c r="H125" s="380"/>
      <c r="I125" s="380"/>
      <c r="J125" s="380"/>
    </row>
    <row r="126" spans="1:14" x14ac:dyDescent="0.2">
      <c r="A126" s="380"/>
      <c r="B126" s="380"/>
      <c r="C126" s="380"/>
      <c r="D126" s="380"/>
      <c r="E126" s="380"/>
      <c r="F126" s="380"/>
      <c r="G126" s="380"/>
      <c r="H126" s="380"/>
      <c r="I126" s="380"/>
      <c r="J126" s="380"/>
    </row>
    <row r="127" spans="1:14" x14ac:dyDescent="0.2">
      <c r="A127" s="380"/>
      <c r="B127" s="380"/>
      <c r="C127" s="380"/>
      <c r="D127" s="380"/>
      <c r="E127" s="380"/>
      <c r="F127" s="380"/>
      <c r="G127" s="380"/>
      <c r="H127" s="380"/>
      <c r="I127" s="380"/>
      <c r="J127" s="380"/>
    </row>
    <row r="128" spans="1:14" x14ac:dyDescent="0.2">
      <c r="A128" s="380"/>
      <c r="B128" s="380"/>
      <c r="C128" s="380"/>
      <c r="D128" s="380"/>
      <c r="E128" s="380"/>
      <c r="F128" s="380"/>
      <c r="G128" s="380"/>
      <c r="H128" s="380"/>
      <c r="I128" s="380"/>
      <c r="J128" s="380"/>
    </row>
    <row r="129" spans="1:10" x14ac:dyDescent="0.2">
      <c r="A129" s="380"/>
      <c r="B129" s="380"/>
      <c r="C129" s="380"/>
      <c r="D129" s="380"/>
      <c r="E129" s="380"/>
      <c r="F129" s="380"/>
      <c r="G129" s="380"/>
      <c r="H129" s="380"/>
      <c r="I129" s="380"/>
      <c r="J129" s="380"/>
    </row>
    <row r="130" spans="1:10" x14ac:dyDescent="0.2">
      <c r="A130" s="380"/>
      <c r="B130" s="380"/>
      <c r="C130" s="380"/>
      <c r="D130" s="380"/>
      <c r="E130" s="380"/>
      <c r="F130" s="380"/>
      <c r="G130" s="380"/>
      <c r="H130" s="380"/>
      <c r="I130" s="380"/>
      <c r="J130" s="380"/>
    </row>
    <row r="131" spans="1:10" x14ac:dyDescent="0.2">
      <c r="A131" s="380"/>
      <c r="B131" s="380"/>
      <c r="C131" s="380"/>
      <c r="D131" s="380"/>
      <c r="E131" s="380"/>
      <c r="F131" s="380"/>
      <c r="G131" s="380"/>
      <c r="H131" s="380"/>
      <c r="I131" s="380"/>
      <c r="J131" s="380"/>
    </row>
    <row r="132" spans="1:10" x14ac:dyDescent="0.2">
      <c r="A132" s="380"/>
      <c r="B132" s="380"/>
      <c r="C132" s="380"/>
      <c r="D132" s="380"/>
      <c r="E132" s="380"/>
      <c r="F132" s="380"/>
      <c r="G132" s="380"/>
      <c r="H132" s="380"/>
      <c r="I132" s="380"/>
      <c r="J132" s="380"/>
    </row>
  </sheetData>
  <mergeCells count="26">
    <mergeCell ref="G69:I69"/>
    <mergeCell ref="D12:E12"/>
    <mergeCell ref="K12:L12"/>
    <mergeCell ref="D40:E40"/>
    <mergeCell ref="D41:E41"/>
    <mergeCell ref="D42:E42"/>
    <mergeCell ref="D43:E43"/>
    <mergeCell ref="D44:E44"/>
    <mergeCell ref="D45:E45"/>
    <mergeCell ref="E51:F51"/>
    <mergeCell ref="E52:F52"/>
    <mergeCell ref="E53:F53"/>
    <mergeCell ref="E54:F54"/>
    <mergeCell ref="E58:F58"/>
    <mergeCell ref="E50:F50"/>
    <mergeCell ref="C49:F49"/>
    <mergeCell ref="C10:H10"/>
    <mergeCell ref="J10:O10"/>
    <mergeCell ref="D38:E38"/>
    <mergeCell ref="D39:E39"/>
    <mergeCell ref="D37:E37"/>
    <mergeCell ref="G49:M49"/>
    <mergeCell ref="E55:F55"/>
    <mergeCell ref="E56:F56"/>
    <mergeCell ref="E57:F57"/>
    <mergeCell ref="N13:N15"/>
  </mergeCells>
  <conditionalFormatting sqref="D16:D17 D22:D25">
    <cfRule type="iconSet" priority="4">
      <iconSet iconSet="3Arrows">
        <cfvo type="percent" val="0"/>
        <cfvo type="num" val="0"/>
        <cfvo type="num" val="0"/>
      </iconSet>
    </cfRule>
  </conditionalFormatting>
  <conditionalFormatting sqref="H16:H25">
    <cfRule type="iconSet" priority="3">
      <iconSet iconSet="3Arrows">
        <cfvo type="percent" val="0"/>
        <cfvo type="num" val="0"/>
        <cfvo type="num" val="0"/>
      </iconSet>
    </cfRule>
  </conditionalFormatting>
  <conditionalFormatting sqref="E13:E15">
    <cfRule type="iconSet" priority="2">
      <iconSet iconSet="3Arrows" showValue="0">
        <cfvo type="percent" val="0"/>
        <cfvo type="num" val="0"/>
        <cfvo type="num" val="0"/>
      </iconSet>
    </cfRule>
  </conditionalFormatting>
  <conditionalFormatting sqref="L13:L15">
    <cfRule type="iconSet" priority="1">
      <iconSet iconSet="3Arrows" showValue="0">
        <cfvo type="percent" val="0"/>
        <cfvo type="num" val="0"/>
        <cfvo type="num" val="0"/>
      </iconSet>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1750" r:id="rId4" name="Option Button 6">
              <controlPr defaultSize="0" autoFill="0" autoLine="0" autoPict="0">
                <anchor moveWithCells="1">
                  <from>
                    <xdr:col>1</xdr:col>
                    <xdr:colOff>0</xdr:colOff>
                    <xdr:row>18</xdr:row>
                    <xdr:rowOff>0</xdr:rowOff>
                  </from>
                  <to>
                    <xdr:col>2</xdr:col>
                    <xdr:colOff>66675</xdr:colOff>
                    <xdr:row>19</xdr:row>
                    <xdr:rowOff>19050</xdr:rowOff>
                  </to>
                </anchor>
              </controlPr>
            </control>
          </mc:Choice>
        </mc:AlternateContent>
        <mc:AlternateContent xmlns:mc="http://schemas.openxmlformats.org/markup-compatibility/2006">
          <mc:Choice Requires="x14">
            <control shapeId="31751" r:id="rId5" name="Option Button 7">
              <controlPr defaultSize="0" autoFill="0" autoLine="0" autoPict="0">
                <anchor moveWithCells="1">
                  <from>
                    <xdr:col>1</xdr:col>
                    <xdr:colOff>9525</xdr:colOff>
                    <xdr:row>19</xdr:row>
                    <xdr:rowOff>76200</xdr:rowOff>
                  </from>
                  <to>
                    <xdr:col>1</xdr:col>
                    <xdr:colOff>514350</xdr:colOff>
                    <xdr:row>20</xdr:row>
                    <xdr:rowOff>180975</xdr:rowOff>
                  </to>
                </anchor>
              </controlPr>
            </control>
          </mc:Choice>
        </mc:AlternateContent>
        <mc:AlternateContent xmlns:mc="http://schemas.openxmlformats.org/markup-compatibility/2006">
          <mc:Choice Requires="x14">
            <control shapeId="31752" r:id="rId6" name="Check Box 8">
              <controlPr defaultSize="0" autoFill="0" autoLine="0" autoPict="0">
                <anchor moveWithCells="1">
                  <from>
                    <xdr:col>1</xdr:col>
                    <xdr:colOff>66675</xdr:colOff>
                    <xdr:row>27</xdr:row>
                    <xdr:rowOff>152400</xdr:rowOff>
                  </from>
                  <to>
                    <xdr:col>2</xdr:col>
                    <xdr:colOff>171450</xdr:colOff>
                    <xdr:row>29</xdr:row>
                    <xdr:rowOff>47625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1">
    <tabColor theme="5" tint="0.39997558519241921"/>
  </sheetPr>
  <dimension ref="A4:N112"/>
  <sheetViews>
    <sheetView showGridLines="0" showRowColHeaders="0" topLeftCell="A25" zoomScaleNormal="100" workbookViewId="0">
      <selection activeCell="B53" sqref="B53"/>
    </sheetView>
  </sheetViews>
  <sheetFormatPr defaultRowHeight="15" x14ac:dyDescent="0.25"/>
  <cols>
    <col min="1" max="1" width="9.140625" style="233"/>
    <col min="2" max="2" width="25.7109375" style="233" customWidth="1"/>
    <col min="3" max="3" width="18.7109375" style="233" customWidth="1"/>
    <col min="4" max="4" width="15.7109375" style="233" customWidth="1"/>
    <col min="5" max="5" width="6.7109375" style="233" customWidth="1"/>
    <col min="6" max="6" width="13.85546875" style="233" customWidth="1"/>
    <col min="7" max="7" width="16.7109375" style="233" customWidth="1"/>
    <col min="8" max="8" width="6.7109375" style="233" customWidth="1"/>
    <col min="9" max="9" width="39.7109375" style="233" customWidth="1"/>
    <col min="10" max="10" width="6.7109375" style="233" customWidth="1"/>
    <col min="11" max="11" width="20.5703125" style="233" customWidth="1"/>
    <col min="12" max="12" width="26.28515625" style="233" customWidth="1"/>
    <col min="13" max="13" width="16.28515625" style="233" customWidth="1"/>
    <col min="14" max="14" width="26.28515625" style="233" bestFit="1" customWidth="1"/>
    <col min="15" max="15" width="16.28515625" style="233" bestFit="1" customWidth="1"/>
    <col min="16" max="16" width="22.5703125" style="233" bestFit="1" customWidth="1"/>
    <col min="17" max="17" width="21.28515625" style="233" bestFit="1" customWidth="1"/>
    <col min="18" max="18" width="22.28515625" style="233" bestFit="1" customWidth="1"/>
    <col min="19" max="16384" width="9.140625" style="233"/>
  </cols>
  <sheetData>
    <row r="4" spans="2:10" ht="31.5" x14ac:dyDescent="0.5">
      <c r="B4" s="626" t="s">
        <v>136</v>
      </c>
    </row>
    <row r="5" spans="2:10" x14ac:dyDescent="0.25">
      <c r="B5" s="276"/>
      <c r="C5" s="276"/>
      <c r="D5" s="276"/>
      <c r="E5" s="276"/>
      <c r="F5" s="276"/>
      <c r="G5" s="276"/>
      <c r="H5" s="276"/>
      <c r="I5" s="276"/>
    </row>
    <row r="6" spans="2:10" ht="23.25" customHeight="1" x14ac:dyDescent="0.25">
      <c r="B6" s="627" t="s">
        <v>252</v>
      </c>
      <c r="C6" s="276"/>
      <c r="D6" s="276"/>
      <c r="E6" s="276"/>
      <c r="F6" s="276"/>
      <c r="G6" s="276"/>
      <c r="H6" s="276"/>
      <c r="I6" s="276"/>
    </row>
    <row r="7" spans="2:10" x14ac:dyDescent="0.25">
      <c r="B7" s="276"/>
      <c r="C7" s="276"/>
      <c r="D7" s="276"/>
      <c r="E7" s="276"/>
      <c r="F7" s="276"/>
      <c r="G7" s="276"/>
      <c r="H7" s="276"/>
      <c r="I7" s="276"/>
    </row>
    <row r="8" spans="2:10" x14ac:dyDescent="0.25">
      <c r="B8" s="627" t="s">
        <v>253</v>
      </c>
      <c r="C8" s="276"/>
      <c r="D8" s="276"/>
      <c r="E8" s="276"/>
      <c r="F8" s="276"/>
      <c r="G8" s="276"/>
      <c r="H8" s="1458"/>
      <c r="I8" s="276"/>
    </row>
    <row r="9" spans="2:10" x14ac:dyDescent="0.25">
      <c r="B9" s="627"/>
      <c r="C9" s="276"/>
      <c r="D9" s="276"/>
      <c r="E9" s="276"/>
      <c r="F9" s="276"/>
      <c r="G9" s="276"/>
      <c r="H9" s="276"/>
      <c r="I9" s="276"/>
    </row>
    <row r="10" spans="2:10" ht="36.75" x14ac:dyDescent="0.25">
      <c r="B10" s="627"/>
      <c r="C10" s="534" t="s">
        <v>536</v>
      </c>
      <c r="D10" s="1356" t="s">
        <v>654</v>
      </c>
      <c r="E10" s="534"/>
      <c r="F10" s="534" t="s">
        <v>501</v>
      </c>
      <c r="G10" s="534" t="s">
        <v>502</v>
      </c>
      <c r="H10" s="1356" t="s">
        <v>635</v>
      </c>
      <c r="I10" s="534" t="s">
        <v>503</v>
      </c>
      <c r="J10" s="603" t="s">
        <v>536</v>
      </c>
    </row>
    <row r="11" spans="2:10" ht="35.1" customHeight="1" x14ac:dyDescent="0.25">
      <c r="B11" s="630" t="s">
        <v>543</v>
      </c>
      <c r="C11" s="631">
        <f>C69</f>
        <v>973381568</v>
      </c>
      <c r="D11" s="632">
        <f>E11</f>
        <v>3.9111768545898817E-2</v>
      </c>
      <c r="E11" s="633">
        <f>C69/C68-1</f>
        <v>3.9111768545898817E-2</v>
      </c>
      <c r="F11" s="631">
        <f>MIN(C55:C69)</f>
        <v>504572701</v>
      </c>
      <c r="G11" s="631">
        <f>MAX(C55:C69)</f>
        <v>973381568</v>
      </c>
      <c r="H11" s="566">
        <f>C55/1000000</f>
        <v>504.572701</v>
      </c>
      <c r="I11" s="274"/>
      <c r="J11" s="634">
        <f>C69/1000000</f>
        <v>973.38156800000002</v>
      </c>
    </row>
    <row r="12" spans="2:10" ht="35.1" customHeight="1" x14ac:dyDescent="0.25">
      <c r="B12" s="630" t="s">
        <v>544</v>
      </c>
      <c r="C12" s="631">
        <f>D69</f>
        <v>84155589191</v>
      </c>
      <c r="D12" s="632">
        <f>E12</f>
        <v>4.959735073039484E-3</v>
      </c>
      <c r="E12" s="633">
        <f>D69/D68-1</f>
        <v>4.959735073039484E-3</v>
      </c>
      <c r="F12" s="631">
        <f>MIN(D55:D69)</f>
        <v>49074900472</v>
      </c>
      <c r="G12" s="631">
        <f>MAX(D55:D69)</f>
        <v>84155589191</v>
      </c>
      <c r="H12" s="566">
        <f>D55/1000000000</f>
        <v>49.074900472000003</v>
      </c>
      <c r="I12" s="274"/>
      <c r="J12" s="634">
        <f>D69/1000000000</f>
        <v>84.155589191000004</v>
      </c>
    </row>
    <row r="13" spans="2:10" ht="35.1" customHeight="1" x14ac:dyDescent="0.25">
      <c r="B13" s="630" t="s">
        <v>3</v>
      </c>
      <c r="C13" s="635">
        <f>E69</f>
        <v>8777964802</v>
      </c>
      <c r="D13" s="632">
        <f>E13</f>
        <v>-1.1572300943461178E-2</v>
      </c>
      <c r="E13" s="633">
        <f>E69/E68-1</f>
        <v>-1.1572300943461178E-2</v>
      </c>
      <c r="F13" s="635">
        <f>MIN(E55:E69)</f>
        <v>4464856836</v>
      </c>
      <c r="G13" s="635">
        <f>MAX(E55:E69)</f>
        <v>8880735344</v>
      </c>
      <c r="H13" s="566">
        <f>E55/100000000</f>
        <v>44.648568359999999</v>
      </c>
      <c r="I13" s="274"/>
      <c r="J13" s="634">
        <f>E69/100000000</f>
        <v>87.779648019999996</v>
      </c>
    </row>
    <row r="14" spans="2:10" ht="35.1" customHeight="1" x14ac:dyDescent="0.25">
      <c r="B14" s="630" t="s">
        <v>512</v>
      </c>
      <c r="C14" s="636">
        <f>F69</f>
        <v>9.0180100903657134</v>
      </c>
      <c r="D14" s="632">
        <f>E14</f>
        <v>-4.8776340547355801E-2</v>
      </c>
      <c r="E14" s="633">
        <f>F69/F68-1</f>
        <v>-4.8776340547355801E-2</v>
      </c>
      <c r="F14" s="636">
        <f>MIN(F55:F69)</f>
        <v>8.8487879489936976</v>
      </c>
      <c r="G14" s="636">
        <f>MAX(F55:F69)</f>
        <v>11.697648942464921</v>
      </c>
      <c r="H14" s="637">
        <v>8.9</v>
      </c>
      <c r="I14" s="274"/>
      <c r="J14" s="638">
        <v>9</v>
      </c>
    </row>
    <row r="15" spans="2:10" ht="30" customHeight="1" x14ac:dyDescent="0.25">
      <c r="B15" s="630"/>
      <c r="C15" s="636"/>
      <c r="D15" s="632"/>
      <c r="E15" s="633"/>
      <c r="F15" s="636"/>
      <c r="G15" s="636"/>
      <c r="H15" s="637"/>
      <c r="I15" s="274"/>
      <c r="J15" s="638"/>
    </row>
    <row r="16" spans="2:10" x14ac:dyDescent="0.25">
      <c r="B16" s="630"/>
      <c r="C16" s="636"/>
      <c r="D16" s="632"/>
      <c r="E16" s="633"/>
      <c r="F16" s="636"/>
      <c r="G16" s="636"/>
      <c r="H16" s="637"/>
      <c r="I16" s="274"/>
      <c r="J16" s="638"/>
    </row>
    <row r="17" spans="1:13" x14ac:dyDescent="0.25">
      <c r="B17" s="630"/>
      <c r="C17" s="636"/>
      <c r="D17" s="632"/>
      <c r="E17" s="633"/>
      <c r="F17" s="636"/>
      <c r="G17" s="636"/>
      <c r="H17" s="637"/>
      <c r="I17" s="274"/>
      <c r="J17" s="638"/>
    </row>
    <row r="18" spans="1:13" ht="18" customHeight="1" x14ac:dyDescent="0.25">
      <c r="B18" s="630"/>
      <c r="C18" s="636"/>
      <c r="D18" s="632"/>
      <c r="E18" s="633"/>
      <c r="F18" s="636"/>
      <c r="G18" s="636"/>
      <c r="H18" s="637"/>
      <c r="I18" s="274"/>
      <c r="J18" s="638"/>
    </row>
    <row r="19" spans="1:13" ht="18" customHeight="1" x14ac:dyDescent="0.25">
      <c r="B19" s="630"/>
      <c r="C19" s="636"/>
      <c r="D19" s="632"/>
      <c r="E19" s="633"/>
      <c r="F19" s="636"/>
      <c r="G19" s="636"/>
      <c r="H19" s="637"/>
      <c r="I19" s="274"/>
      <c r="J19" s="638"/>
    </row>
    <row r="20" spans="1:13" ht="18" customHeight="1" x14ac:dyDescent="0.25">
      <c r="B20" s="630"/>
      <c r="C20" s="636"/>
      <c r="D20" s="632"/>
      <c r="E20" s="633"/>
      <c r="F20" s="636"/>
      <c r="G20" s="636"/>
      <c r="H20" s="637"/>
      <c r="I20" s="274"/>
      <c r="J20" s="638"/>
    </row>
    <row r="21" spans="1:13" ht="18" customHeight="1" x14ac:dyDescent="0.25">
      <c r="B21" s="630"/>
      <c r="C21" s="636"/>
      <c r="D21" s="632"/>
      <c r="E21" s="633"/>
      <c r="F21" s="636"/>
      <c r="G21" s="636"/>
      <c r="H21" s="637"/>
      <c r="I21" s="274"/>
      <c r="J21" s="638"/>
    </row>
    <row r="22" spans="1:13" ht="18" customHeight="1" x14ac:dyDescent="0.25">
      <c r="B22" s="630"/>
      <c r="C22" s="636"/>
      <c r="D22" s="632"/>
      <c r="E22" s="633"/>
      <c r="F22" s="636"/>
      <c r="G22" s="636"/>
      <c r="H22" s="637"/>
      <c r="I22" s="274"/>
      <c r="J22" s="638"/>
    </row>
    <row r="23" spans="1:13" ht="18" customHeight="1" x14ac:dyDescent="0.25">
      <c r="B23" s="630"/>
      <c r="C23" s="636"/>
      <c r="D23" s="632"/>
      <c r="E23" s="633"/>
      <c r="F23" s="636"/>
      <c r="G23" s="636"/>
      <c r="H23" s="637"/>
      <c r="I23" s="274"/>
      <c r="J23" s="638"/>
    </row>
    <row r="24" spans="1:13" ht="18" customHeight="1" x14ac:dyDescent="0.25">
      <c r="B24" s="630"/>
      <c r="C24" s="636"/>
      <c r="D24" s="632"/>
      <c r="E24" s="633"/>
      <c r="F24" s="636"/>
      <c r="G24" s="636"/>
      <c r="H24" s="637"/>
      <c r="I24" s="274"/>
      <c r="J24" s="638"/>
    </row>
    <row r="25" spans="1:13" ht="18" customHeight="1" x14ac:dyDescent="0.25">
      <c r="B25" s="630"/>
      <c r="C25" s="636"/>
      <c r="D25" s="632"/>
      <c r="E25" s="633"/>
      <c r="F25" s="636"/>
      <c r="G25" s="636"/>
      <c r="H25" s="637"/>
      <c r="I25" s="274"/>
      <c r="J25" s="638"/>
    </row>
    <row r="26" spans="1:13" ht="18" customHeight="1" x14ac:dyDescent="0.25">
      <c r="A26" s="259" t="b">
        <v>1</v>
      </c>
      <c r="B26" s="627"/>
      <c r="C26" s="276"/>
      <c r="D26" s="276"/>
      <c r="E26" s="276"/>
      <c r="F26" s="276"/>
      <c r="G26" s="636"/>
      <c r="H26" s="637"/>
      <c r="I26" s="274"/>
      <c r="J26" s="638"/>
    </row>
    <row r="27" spans="1:13" ht="18" customHeight="1" x14ac:dyDescent="0.25">
      <c r="A27" s="259"/>
      <c r="B27" s="627"/>
      <c r="C27" s="276"/>
      <c r="D27" s="276"/>
      <c r="E27" s="276"/>
      <c r="F27" s="276"/>
      <c r="G27" s="639"/>
      <c r="H27" s="276"/>
      <c r="I27" s="640"/>
    </row>
    <row r="28" spans="1:13" ht="18" customHeight="1" x14ac:dyDescent="0.25">
      <c r="A28" s="259"/>
      <c r="B28" s="600" t="str">
        <f>IF($A$26=TRUE,B54,"")</f>
        <v>Year</v>
      </c>
      <c r="C28" s="600" t="str">
        <f>IF($A$26=TRUE,C54,"")</f>
        <v>Total Px</v>
      </c>
      <c r="D28" s="600" t="str">
        <f>IF($A$26=TRUE,D54,"")</f>
        <v>Total Qt</v>
      </c>
      <c r="E28" s="1933" t="str">
        <f>IF($A$26=TRUE,E54,"")</f>
        <v>Total Spend</v>
      </c>
      <c r="F28" s="1933"/>
      <c r="G28" s="600" t="str">
        <f>IF($A$26=TRUE,F54,"")</f>
        <v>Average cost</v>
      </c>
      <c r="H28" s="276"/>
      <c r="I28" s="276"/>
    </row>
    <row r="29" spans="1:13" ht="18" customHeight="1" x14ac:dyDescent="0.25">
      <c r="B29" s="1328" t="str">
        <f t="shared" ref="B29:D42" si="0">IF($A$26=TRUE,B56,"")</f>
        <v>1998/99</v>
      </c>
      <c r="C29" s="641">
        <f t="shared" si="0"/>
        <v>516341468</v>
      </c>
      <c r="D29" s="641">
        <f t="shared" si="0"/>
        <v>50582460208</v>
      </c>
      <c r="E29" s="1932">
        <f t="shared" ref="E29:E42" si="1">IF($A$26=TRUE,E56,"")</f>
        <v>4799456503</v>
      </c>
      <c r="F29" s="1932"/>
      <c r="G29" s="642">
        <f t="shared" ref="G29:G42" si="2">IF($A$26=TRUE,F56,"")</f>
        <v>9.2951211561415796</v>
      </c>
      <c r="H29" s="963"/>
      <c r="I29" s="1458"/>
      <c r="J29" s="376"/>
      <c r="K29" s="376"/>
      <c r="L29" s="376"/>
      <c r="M29" s="376"/>
    </row>
    <row r="30" spans="1:13" ht="18" customHeight="1" x14ac:dyDescent="0.25">
      <c r="B30" s="1328" t="str">
        <f t="shared" si="0"/>
        <v>1999/00</v>
      </c>
      <c r="C30" s="641">
        <f t="shared" si="0"/>
        <v>534119797</v>
      </c>
      <c r="D30" s="641">
        <f t="shared" si="0"/>
        <v>52158169497</v>
      </c>
      <c r="E30" s="1932">
        <f t="shared" si="1"/>
        <v>5435175325</v>
      </c>
      <c r="F30" s="1932"/>
      <c r="G30" s="642">
        <f t="shared" si="2"/>
        <v>10.175948084171088</v>
      </c>
      <c r="H30" s="964"/>
      <c r="I30" s="380"/>
      <c r="J30" s="380"/>
      <c r="K30" s="376"/>
      <c r="L30" s="376"/>
      <c r="M30" s="376"/>
    </row>
    <row r="31" spans="1:13" ht="18" customHeight="1" x14ac:dyDescent="0.25">
      <c r="B31" s="1328" t="str">
        <f t="shared" si="0"/>
        <v>2000/01</v>
      </c>
      <c r="C31" s="641">
        <f t="shared" si="0"/>
        <v>561373380</v>
      </c>
      <c r="D31" s="641">
        <f t="shared" si="0"/>
        <v>54089177055</v>
      </c>
      <c r="E31" s="1932">
        <f t="shared" si="1"/>
        <v>5651309236</v>
      </c>
      <c r="F31" s="1932"/>
      <c r="G31" s="642">
        <f t="shared" si="2"/>
        <v>10.066934837558561</v>
      </c>
      <c r="H31" s="963"/>
      <c r="I31" s="380"/>
      <c r="J31" s="380"/>
      <c r="K31" s="376"/>
      <c r="L31" s="376"/>
      <c r="M31" s="376"/>
    </row>
    <row r="32" spans="1:13" ht="18" customHeight="1" x14ac:dyDescent="0.25">
      <c r="B32" s="1328" t="str">
        <f t="shared" si="0"/>
        <v>2001/02</v>
      </c>
      <c r="C32" s="641">
        <f t="shared" si="0"/>
        <v>591871608</v>
      </c>
      <c r="D32" s="641">
        <f t="shared" si="0"/>
        <v>56740912048</v>
      </c>
      <c r="E32" s="1932">
        <f t="shared" si="1"/>
        <v>6281071387</v>
      </c>
      <c r="F32" s="1932"/>
      <c r="G32" s="642">
        <f t="shared" si="2"/>
        <v>10.612219444390041</v>
      </c>
      <c r="H32" s="963"/>
      <c r="I32" s="380"/>
      <c r="J32" s="380"/>
      <c r="K32" s="380"/>
      <c r="L32" s="380"/>
      <c r="M32" s="380"/>
    </row>
    <row r="33" spans="1:13" ht="18" customHeight="1" x14ac:dyDescent="0.25">
      <c r="B33" s="1328" t="str">
        <f t="shared" si="0"/>
        <v>2002/03</v>
      </c>
      <c r="C33" s="641">
        <f t="shared" si="0"/>
        <v>624381798</v>
      </c>
      <c r="D33" s="641">
        <f t="shared" si="0"/>
        <v>59190563180</v>
      </c>
      <c r="E33" s="1932">
        <f t="shared" si="1"/>
        <v>7018559073</v>
      </c>
      <c r="F33" s="1932"/>
      <c r="G33" s="642">
        <f t="shared" si="2"/>
        <v>11.240813065790237</v>
      </c>
      <c r="H33" s="963"/>
      <c r="I33" s="380"/>
      <c r="J33" s="380"/>
      <c r="K33" s="380"/>
      <c r="L33" s="380"/>
      <c r="M33" s="380"/>
    </row>
    <row r="34" spans="1:13" ht="18" customHeight="1" x14ac:dyDescent="0.25">
      <c r="B34" s="1328" t="str">
        <f t="shared" si="0"/>
        <v>2003/04</v>
      </c>
      <c r="C34" s="641">
        <f t="shared" si="0"/>
        <v>659400104</v>
      </c>
      <c r="D34" s="641">
        <f t="shared" si="0"/>
        <v>61657885237</v>
      </c>
      <c r="E34" s="1932">
        <f t="shared" si="1"/>
        <v>7664991607</v>
      </c>
      <c r="F34" s="1932"/>
      <c r="G34" s="642">
        <f t="shared" si="2"/>
        <v>11.624189260061142</v>
      </c>
      <c r="H34" s="963"/>
      <c r="I34" s="380"/>
      <c r="J34" s="380"/>
      <c r="K34" s="380"/>
      <c r="L34" s="380"/>
      <c r="M34" s="380"/>
    </row>
    <row r="35" spans="1:13" x14ac:dyDescent="0.25">
      <c r="B35" s="1328" t="str">
        <f t="shared" si="0"/>
        <v>2004/05</v>
      </c>
      <c r="C35" s="641">
        <f t="shared" si="0"/>
        <v>691948868</v>
      </c>
      <c r="D35" s="641">
        <f t="shared" si="0"/>
        <v>64042525435</v>
      </c>
      <c r="E35" s="1932">
        <f t="shared" si="1"/>
        <v>8094174944</v>
      </c>
      <c r="F35" s="1932"/>
      <c r="G35" s="642">
        <f t="shared" si="2"/>
        <v>11.697648942464921</v>
      </c>
      <c r="H35" s="963"/>
      <c r="I35" s="380"/>
      <c r="J35" s="380"/>
      <c r="K35" s="380"/>
      <c r="L35" s="380"/>
      <c r="M35" s="380"/>
    </row>
    <row r="36" spans="1:13" ht="18" customHeight="1" x14ac:dyDescent="0.25">
      <c r="B36" s="1328" t="str">
        <f t="shared" si="0"/>
        <v>2005/06</v>
      </c>
      <c r="C36" s="641">
        <f t="shared" si="0"/>
        <v>733010929</v>
      </c>
      <c r="D36" s="641">
        <f t="shared" si="0"/>
        <v>67468607795</v>
      </c>
      <c r="E36" s="1932">
        <f t="shared" si="1"/>
        <v>8013483226</v>
      </c>
      <c r="F36" s="1932"/>
      <c r="G36" s="642">
        <f t="shared" si="2"/>
        <v>10.932283420292633</v>
      </c>
      <c r="H36" s="963"/>
      <c r="I36" s="380"/>
      <c r="J36" s="380"/>
      <c r="K36" s="380"/>
      <c r="L36" s="380"/>
      <c r="M36" s="380"/>
    </row>
    <row r="37" spans="1:13" ht="18" customHeight="1" x14ac:dyDescent="0.25">
      <c r="B37" s="1328" t="str">
        <f t="shared" si="0"/>
        <v>2006/07</v>
      </c>
      <c r="C37" s="641">
        <f t="shared" si="0"/>
        <v>762631738</v>
      </c>
      <c r="D37" s="641">
        <f t="shared" si="0"/>
        <v>70369213090</v>
      </c>
      <c r="E37" s="1932">
        <f t="shared" si="1"/>
        <v>8250323893</v>
      </c>
      <c r="F37" s="1932"/>
      <c r="G37" s="642">
        <f t="shared" si="2"/>
        <v>10.818227831215699</v>
      </c>
      <c r="H37" s="963"/>
      <c r="I37" s="380"/>
      <c r="J37" s="380"/>
      <c r="K37" s="380"/>
      <c r="L37" s="380"/>
      <c r="M37" s="380"/>
    </row>
    <row r="38" spans="1:13" ht="18" customHeight="1" x14ac:dyDescent="0.25">
      <c r="B38" s="1328" t="str">
        <f t="shared" si="0"/>
        <v>2007/08</v>
      </c>
      <c r="C38" s="641">
        <f t="shared" si="0"/>
        <v>803297137</v>
      </c>
      <c r="D38" s="641">
        <f t="shared" si="0"/>
        <v>73093309000</v>
      </c>
      <c r="E38" s="1932">
        <f t="shared" si="1"/>
        <v>8303500918</v>
      </c>
      <c r="F38" s="1932"/>
      <c r="G38" s="642">
        <f t="shared" si="2"/>
        <v>10.336773947695521</v>
      </c>
      <c r="H38" s="963"/>
      <c r="I38" s="380"/>
      <c r="J38" s="380"/>
      <c r="K38" s="380"/>
      <c r="L38" s="380"/>
      <c r="M38" s="380"/>
    </row>
    <row r="39" spans="1:13" ht="18" customHeight="1" x14ac:dyDescent="0.25">
      <c r="B39" s="1328" t="str">
        <f t="shared" si="0"/>
        <v>2008/09</v>
      </c>
      <c r="C39" s="641">
        <f t="shared" si="0"/>
        <v>852482281</v>
      </c>
      <c r="D39" s="641">
        <f t="shared" si="0"/>
        <v>77363704790</v>
      </c>
      <c r="E39" s="1932">
        <f t="shared" si="1"/>
        <v>8376264432</v>
      </c>
      <c r="F39" s="1932"/>
      <c r="G39" s="642">
        <f t="shared" si="2"/>
        <v>9.8257343509524517</v>
      </c>
      <c r="H39" s="963"/>
      <c r="I39" s="380"/>
      <c r="J39" s="380"/>
      <c r="K39" s="380"/>
      <c r="L39" s="380"/>
      <c r="M39" s="380"/>
    </row>
    <row r="40" spans="1:13" ht="18" customHeight="1" x14ac:dyDescent="0.25">
      <c r="B40" s="1328" t="str">
        <f t="shared" si="0"/>
        <v>2009/10</v>
      </c>
      <c r="C40" s="641">
        <f t="shared" si="0"/>
        <v>897727347</v>
      </c>
      <c r="D40" s="641">
        <f t="shared" si="0"/>
        <v>81139818758</v>
      </c>
      <c r="E40" s="1932">
        <f t="shared" si="1"/>
        <v>8621421130</v>
      </c>
      <c r="F40" s="1932"/>
      <c r="G40" s="642">
        <f t="shared" si="2"/>
        <v>9.6036075527952036</v>
      </c>
      <c r="H40" s="963"/>
      <c r="I40" s="380"/>
      <c r="J40" s="380"/>
      <c r="K40" s="380"/>
      <c r="L40" s="380"/>
      <c r="M40" s="380"/>
    </row>
    <row r="41" spans="1:13" ht="18" customHeight="1" x14ac:dyDescent="0.25">
      <c r="B41" s="1328" t="str">
        <f t="shared" si="0"/>
        <v>2010/11</v>
      </c>
      <c r="C41" s="641">
        <f t="shared" si="0"/>
        <v>936743859</v>
      </c>
      <c r="D41" s="641">
        <f t="shared" si="0"/>
        <v>83740259688</v>
      </c>
      <c r="E41" s="1932">
        <f t="shared" si="1"/>
        <v>8880735344</v>
      </c>
      <c r="F41" s="1932"/>
      <c r="G41" s="642">
        <f t="shared" si="2"/>
        <v>9.4804308121970831</v>
      </c>
      <c r="H41" s="963"/>
      <c r="I41" s="380"/>
      <c r="J41" s="380"/>
      <c r="K41" s="380"/>
      <c r="L41" s="380"/>
      <c r="M41" s="380"/>
    </row>
    <row r="42" spans="1:13" ht="18" customHeight="1" x14ac:dyDescent="0.25">
      <c r="B42" s="1328" t="str">
        <f t="shared" si="0"/>
        <v>2011/12</v>
      </c>
      <c r="C42" s="641">
        <f t="shared" si="0"/>
        <v>973381568</v>
      </c>
      <c r="D42" s="641">
        <f t="shared" si="0"/>
        <v>84155589191</v>
      </c>
      <c r="E42" s="1932">
        <f t="shared" si="1"/>
        <v>8777964802</v>
      </c>
      <c r="F42" s="1932"/>
      <c r="G42" s="642">
        <f t="shared" si="2"/>
        <v>9.0180100903657134</v>
      </c>
      <c r="H42" s="963"/>
      <c r="I42" s="380"/>
      <c r="J42" s="380"/>
      <c r="K42" s="380"/>
      <c r="L42" s="380"/>
      <c r="M42" s="380"/>
    </row>
    <row r="43" spans="1:13" ht="18" customHeight="1" x14ac:dyDescent="0.25">
      <c r="B43" s="627"/>
      <c r="C43" s="276"/>
      <c r="D43" s="276"/>
      <c r="E43" s="276"/>
      <c r="F43" s="276"/>
      <c r="G43" s="380"/>
      <c r="H43" s="963"/>
      <c r="I43" s="380"/>
      <c r="J43" s="380"/>
      <c r="K43" s="380"/>
      <c r="L43" s="380"/>
      <c r="M43" s="380"/>
    </row>
    <row r="44" spans="1:13" ht="18" customHeight="1" x14ac:dyDescent="0.25">
      <c r="A44" s="586"/>
      <c r="B44" s="653"/>
      <c r="C44" s="380"/>
      <c r="D44" s="380"/>
      <c r="E44" s="380"/>
      <c r="F44" s="380"/>
      <c r="G44" s="380"/>
      <c r="H44" s="380"/>
      <c r="I44" s="380"/>
      <c r="J44" s="380"/>
      <c r="K44" s="380"/>
      <c r="L44" s="380"/>
      <c r="M44" s="380"/>
    </row>
    <row r="45" spans="1:13" ht="18" customHeight="1" x14ac:dyDescent="0.25">
      <c r="A45" s="586"/>
      <c r="B45" s="653"/>
      <c r="C45" s="380"/>
      <c r="D45" s="380"/>
      <c r="E45" s="380"/>
      <c r="F45" s="380"/>
      <c r="G45" s="380"/>
      <c r="H45" s="380"/>
      <c r="I45" s="380"/>
      <c r="J45" s="380"/>
      <c r="K45" s="380"/>
      <c r="L45" s="380"/>
      <c r="M45" s="380"/>
    </row>
    <row r="46" spans="1:13" ht="18" customHeight="1" x14ac:dyDescent="0.25">
      <c r="A46" s="586"/>
      <c r="B46" s="653"/>
      <c r="C46" s="380"/>
      <c r="D46" s="380"/>
      <c r="E46" s="380"/>
      <c r="F46" s="380"/>
      <c r="G46" s="380"/>
      <c r="H46" s="380"/>
      <c r="I46" s="380"/>
      <c r="J46" s="376"/>
      <c r="K46" s="376"/>
      <c r="L46" s="376"/>
      <c r="M46" s="380"/>
    </row>
    <row r="47" spans="1:13" ht="18" customHeight="1" x14ac:dyDescent="0.25">
      <c r="A47" s="586"/>
      <c r="B47" s="653"/>
      <c r="C47" s="380"/>
      <c r="D47" s="380"/>
      <c r="E47" s="380"/>
      <c r="F47" s="380"/>
      <c r="G47" s="380"/>
      <c r="H47" s="380"/>
      <c r="I47" s="380"/>
      <c r="J47" s="586"/>
    </row>
    <row r="48" spans="1:13" ht="18" customHeight="1" x14ac:dyDescent="0.25">
      <c r="A48" s="586"/>
      <c r="B48" s="653"/>
      <c r="C48" s="380"/>
      <c r="D48" s="380"/>
      <c r="E48" s="380"/>
      <c r="F48" s="380"/>
      <c r="G48" s="380"/>
      <c r="H48" s="380"/>
      <c r="I48" s="380"/>
      <c r="J48" s="586"/>
    </row>
    <row r="49" spans="1:14" ht="18" customHeight="1" x14ac:dyDescent="0.25">
      <c r="A49" s="586"/>
      <c r="B49" s="653"/>
      <c r="C49" s="380"/>
      <c r="D49" s="380"/>
      <c r="E49" s="380"/>
      <c r="F49" s="380"/>
      <c r="G49" s="380"/>
      <c r="H49" s="380"/>
      <c r="I49" s="380"/>
      <c r="J49" s="586"/>
    </row>
    <row r="50" spans="1:14" ht="18" customHeight="1" x14ac:dyDescent="0.25">
      <c r="A50" s="586"/>
      <c r="B50" s="654"/>
      <c r="C50" s="383"/>
      <c r="D50" s="380"/>
      <c r="E50" s="380"/>
      <c r="F50" s="380"/>
      <c r="G50" s="380"/>
      <c r="H50" s="380"/>
      <c r="I50" s="380"/>
      <c r="J50" s="586"/>
    </row>
    <row r="51" spans="1:14" x14ac:dyDescent="0.25">
      <c r="A51" s="396"/>
      <c r="B51" s="643"/>
      <c r="C51" s="567"/>
      <c r="D51" s="379"/>
      <c r="E51" s="379"/>
      <c r="F51" s="379"/>
      <c r="G51" s="379"/>
      <c r="H51" s="380"/>
      <c r="I51" s="380"/>
      <c r="J51" s="259"/>
      <c r="K51" s="259"/>
      <c r="L51" s="259"/>
      <c r="M51" s="259"/>
      <c r="N51" s="259"/>
    </row>
    <row r="52" spans="1:14" x14ac:dyDescent="0.25">
      <c r="A52" s="396"/>
      <c r="B52" s="643"/>
      <c r="C52" s="567"/>
      <c r="D52" s="379"/>
      <c r="E52" s="379"/>
      <c r="F52" s="379"/>
      <c r="G52" s="379"/>
      <c r="H52" s="380"/>
      <c r="I52" s="380"/>
      <c r="J52" s="259"/>
      <c r="K52" s="259"/>
      <c r="L52" s="259"/>
      <c r="M52" s="259"/>
      <c r="N52" s="259"/>
    </row>
    <row r="53" spans="1:14" x14ac:dyDescent="0.25">
      <c r="A53" s="396"/>
      <c r="B53" s="567"/>
      <c r="C53" s="567"/>
      <c r="D53" s="567"/>
      <c r="E53" s="567"/>
      <c r="F53" s="567"/>
      <c r="G53" s="567"/>
      <c r="H53" s="383"/>
      <c r="I53" s="383"/>
      <c r="J53" s="259"/>
      <c r="K53" s="259"/>
      <c r="L53" s="259"/>
      <c r="M53" s="259"/>
      <c r="N53" s="259"/>
    </row>
    <row r="54" spans="1:14" ht="25.5" x14ac:dyDescent="0.25">
      <c r="A54" s="396"/>
      <c r="B54" s="644" t="s">
        <v>1</v>
      </c>
      <c r="C54" s="644" t="s">
        <v>65</v>
      </c>
      <c r="D54" s="644" t="s">
        <v>343</v>
      </c>
      <c r="E54" s="644" t="s">
        <v>3</v>
      </c>
      <c r="F54" s="567" t="s">
        <v>512</v>
      </c>
      <c r="G54" s="567"/>
      <c r="H54" s="567"/>
      <c r="I54" s="567"/>
      <c r="J54" s="259"/>
      <c r="K54" s="259"/>
      <c r="L54" s="259"/>
      <c r="M54" s="259"/>
      <c r="N54" s="259"/>
    </row>
    <row r="55" spans="1:14" x14ac:dyDescent="0.25">
      <c r="A55" s="396"/>
      <c r="B55" s="645" t="s">
        <v>67</v>
      </c>
      <c r="C55" s="646">
        <v>504572701</v>
      </c>
      <c r="D55" s="646">
        <v>49074900472</v>
      </c>
      <c r="E55" s="647">
        <v>4464856836</v>
      </c>
      <c r="F55" s="583">
        <f>E55/C55</f>
        <v>8.8487879489936976</v>
      </c>
      <c r="G55" s="567"/>
      <c r="H55" s="567"/>
      <c r="I55" s="567"/>
      <c r="J55" s="259"/>
      <c r="K55" s="259"/>
      <c r="L55" s="259"/>
      <c r="M55" s="259"/>
      <c r="N55" s="259"/>
    </row>
    <row r="56" spans="1:14" x14ac:dyDescent="0.25">
      <c r="A56" s="396"/>
      <c r="B56" s="645" t="s">
        <v>68</v>
      </c>
      <c r="C56" s="646">
        <v>516341468</v>
      </c>
      <c r="D56" s="646">
        <v>50582460208</v>
      </c>
      <c r="E56" s="647">
        <v>4799456503</v>
      </c>
      <c r="F56" s="583">
        <f t="shared" ref="F56:F69" si="3">E56/C56</f>
        <v>9.2951211561415796</v>
      </c>
      <c r="G56" s="567"/>
      <c r="H56" s="567"/>
      <c r="I56" s="567"/>
      <c r="J56" s="259"/>
      <c r="K56" s="259"/>
      <c r="L56" s="259"/>
      <c r="M56" s="259"/>
      <c r="N56" s="259"/>
    </row>
    <row r="57" spans="1:14" x14ac:dyDescent="0.25">
      <c r="A57" s="396"/>
      <c r="B57" s="645" t="s">
        <v>69</v>
      </c>
      <c r="C57" s="646">
        <v>534119797</v>
      </c>
      <c r="D57" s="646">
        <v>52158169497</v>
      </c>
      <c r="E57" s="647">
        <v>5435175325</v>
      </c>
      <c r="F57" s="583">
        <f t="shared" si="3"/>
        <v>10.175948084171088</v>
      </c>
      <c r="G57" s="567"/>
      <c r="H57" s="567">
        <f>C56/C$56</f>
        <v>1</v>
      </c>
      <c r="I57" s="567">
        <f t="shared" ref="I57:J70" si="4">D56/D$56</f>
        <v>1</v>
      </c>
      <c r="J57" s="567">
        <f t="shared" si="4"/>
        <v>1</v>
      </c>
      <c r="K57" s="567">
        <f>F56/F$56</f>
        <v>1</v>
      </c>
      <c r="L57" s="567"/>
      <c r="M57" s="259"/>
      <c r="N57" s="259"/>
    </row>
    <row r="58" spans="1:14" x14ac:dyDescent="0.25">
      <c r="A58" s="396"/>
      <c r="B58" s="645" t="s">
        <v>70</v>
      </c>
      <c r="C58" s="646">
        <v>561373380</v>
      </c>
      <c r="D58" s="646">
        <v>54089177055</v>
      </c>
      <c r="E58" s="647">
        <v>5651309236</v>
      </c>
      <c r="F58" s="583">
        <f t="shared" si="3"/>
        <v>10.066934837558561</v>
      </c>
      <c r="G58" s="567"/>
      <c r="H58" s="567">
        <f t="shared" ref="H58:H70" si="5">C57/C$56</f>
        <v>1.0344313406956498</v>
      </c>
      <c r="I58" s="567">
        <f t="shared" si="4"/>
        <v>1.0311512979503277</v>
      </c>
      <c r="J58" s="567">
        <f t="shared" si="4"/>
        <v>1.1324564190971687</v>
      </c>
      <c r="K58" s="567">
        <f t="shared" ref="K58:K70" si="6">F57/F$56</f>
        <v>1.0947622858522417</v>
      </c>
      <c r="L58" s="567"/>
      <c r="M58" s="259"/>
      <c r="N58" s="259"/>
    </row>
    <row r="59" spans="1:14" x14ac:dyDescent="0.25">
      <c r="A59" s="396"/>
      <c r="B59" s="645" t="s">
        <v>71</v>
      </c>
      <c r="C59" s="646">
        <v>591871608</v>
      </c>
      <c r="D59" s="646">
        <v>56740912048</v>
      </c>
      <c r="E59" s="647">
        <v>6281071387</v>
      </c>
      <c r="F59" s="583">
        <f t="shared" si="3"/>
        <v>10.612219444390041</v>
      </c>
      <c r="G59" s="567"/>
      <c r="H59" s="567">
        <f t="shared" si="5"/>
        <v>1.0872134329524741</v>
      </c>
      <c r="I59" s="567">
        <f t="shared" si="4"/>
        <v>1.0693267356427512</v>
      </c>
      <c r="J59" s="567">
        <f t="shared" si="4"/>
        <v>1.1774894162427625</v>
      </c>
      <c r="K59" s="567">
        <f t="shared" si="6"/>
        <v>1.0830342787847385</v>
      </c>
      <c r="L59" s="567"/>
      <c r="M59" s="259"/>
      <c r="N59" s="259"/>
    </row>
    <row r="60" spans="1:14" x14ac:dyDescent="0.25">
      <c r="A60" s="396"/>
      <c r="B60" s="645" t="s">
        <v>72</v>
      </c>
      <c r="C60" s="646">
        <v>624381798</v>
      </c>
      <c r="D60" s="646">
        <v>59190563180</v>
      </c>
      <c r="E60" s="647">
        <v>7018559073</v>
      </c>
      <c r="F60" s="583">
        <f t="shared" si="3"/>
        <v>11.240813065790237</v>
      </c>
      <c r="G60" s="567"/>
      <c r="H60" s="567">
        <f t="shared" si="5"/>
        <v>1.1462794384742307</v>
      </c>
      <c r="I60" s="567">
        <f t="shared" si="4"/>
        <v>1.1217507376010547</v>
      </c>
      <c r="J60" s="567">
        <f t="shared" si="4"/>
        <v>1.3087047216854422</v>
      </c>
      <c r="K60" s="567">
        <f t="shared" si="6"/>
        <v>1.141697807497454</v>
      </c>
      <c r="L60" s="567"/>
      <c r="M60" s="259"/>
      <c r="N60" s="259"/>
    </row>
    <row r="61" spans="1:14" x14ac:dyDescent="0.25">
      <c r="A61" s="396"/>
      <c r="B61" s="645" t="s">
        <v>73</v>
      </c>
      <c r="C61" s="646">
        <v>659400104</v>
      </c>
      <c r="D61" s="646">
        <v>61657885237</v>
      </c>
      <c r="E61" s="647">
        <v>7664991607</v>
      </c>
      <c r="F61" s="583">
        <f t="shared" si="3"/>
        <v>11.624189260061142</v>
      </c>
      <c r="G61" s="567"/>
      <c r="H61" s="567">
        <f t="shared" si="5"/>
        <v>1.2092420165641238</v>
      </c>
      <c r="I61" s="567">
        <f t="shared" si="4"/>
        <v>1.1701796025065336</v>
      </c>
      <c r="J61" s="567">
        <f t="shared" si="4"/>
        <v>1.4623653883753096</v>
      </c>
      <c r="K61" s="567">
        <f t="shared" si="6"/>
        <v>1.2093239966391485</v>
      </c>
      <c r="L61" s="567"/>
      <c r="M61" s="259"/>
      <c r="N61" s="259"/>
    </row>
    <row r="62" spans="1:14" x14ac:dyDescent="0.25">
      <c r="A62" s="396"/>
      <c r="B62" s="645" t="s">
        <v>74</v>
      </c>
      <c r="C62" s="646">
        <v>691948868</v>
      </c>
      <c r="D62" s="646">
        <v>64042525435</v>
      </c>
      <c r="E62" s="647">
        <v>8094174944</v>
      </c>
      <c r="F62" s="583">
        <f t="shared" si="3"/>
        <v>11.697648942464921</v>
      </c>
      <c r="G62" s="567"/>
      <c r="H62" s="567">
        <f t="shared" si="5"/>
        <v>1.2770620700950557</v>
      </c>
      <c r="I62" s="567">
        <f t="shared" si="4"/>
        <v>1.2189578162757757</v>
      </c>
      <c r="J62" s="567">
        <f t="shared" si="4"/>
        <v>1.5970540835631779</v>
      </c>
      <c r="K62" s="567">
        <f t="shared" si="6"/>
        <v>1.2505688806843227</v>
      </c>
      <c r="L62" s="567"/>
      <c r="M62" s="259"/>
      <c r="N62" s="259"/>
    </row>
    <row r="63" spans="1:14" x14ac:dyDescent="0.25">
      <c r="A63" s="396"/>
      <c r="B63" s="645" t="s">
        <v>75</v>
      </c>
      <c r="C63" s="646">
        <v>733010929</v>
      </c>
      <c r="D63" s="646">
        <v>67468607795</v>
      </c>
      <c r="E63" s="647">
        <v>8013483226</v>
      </c>
      <c r="F63" s="583">
        <f t="shared" si="3"/>
        <v>10.932283420292633</v>
      </c>
      <c r="G63" s="567"/>
      <c r="H63" s="567">
        <f t="shared" si="5"/>
        <v>1.3400993545612339</v>
      </c>
      <c r="I63" s="567">
        <f t="shared" si="4"/>
        <v>1.2661014346010633</v>
      </c>
      <c r="J63" s="567">
        <f t="shared" si="4"/>
        <v>1.6864774040436803</v>
      </c>
      <c r="K63" s="567">
        <f t="shared" si="6"/>
        <v>1.258471917252624</v>
      </c>
      <c r="L63" s="567"/>
      <c r="M63" s="259"/>
      <c r="N63" s="259"/>
    </row>
    <row r="64" spans="1:14" x14ac:dyDescent="0.25">
      <c r="A64" s="396"/>
      <c r="B64" s="645" t="s">
        <v>76</v>
      </c>
      <c r="C64" s="646">
        <v>762631738</v>
      </c>
      <c r="D64" s="646">
        <v>70369213090</v>
      </c>
      <c r="E64" s="647">
        <v>8250323893</v>
      </c>
      <c r="F64" s="583">
        <f t="shared" si="3"/>
        <v>10.818227831215699</v>
      </c>
      <c r="G64" s="567"/>
      <c r="H64" s="567">
        <f t="shared" si="5"/>
        <v>1.4196243657114134</v>
      </c>
      <c r="I64" s="567">
        <f t="shared" si="4"/>
        <v>1.3338340507275155</v>
      </c>
      <c r="J64" s="567">
        <f t="shared" si="4"/>
        <v>1.6696647257853063</v>
      </c>
      <c r="K64" s="567">
        <f t="shared" si="6"/>
        <v>1.1761313528516333</v>
      </c>
      <c r="L64" s="567"/>
      <c r="M64" s="259"/>
      <c r="N64" s="259"/>
    </row>
    <row r="65" spans="1:14" x14ac:dyDescent="0.25">
      <c r="A65" s="396"/>
      <c r="B65" s="645" t="s">
        <v>4</v>
      </c>
      <c r="C65" s="646">
        <v>803297137</v>
      </c>
      <c r="D65" s="646">
        <v>73093309000</v>
      </c>
      <c r="E65" s="647">
        <v>8303500918</v>
      </c>
      <c r="F65" s="583">
        <f t="shared" si="3"/>
        <v>10.336773947695521</v>
      </c>
      <c r="G65" s="567"/>
      <c r="H65" s="567">
        <f t="shared" si="5"/>
        <v>1.4769910713427339</v>
      </c>
      <c r="I65" s="567">
        <f t="shared" si="4"/>
        <v>1.3911781435824779</v>
      </c>
      <c r="J65" s="567">
        <f t="shared" si="4"/>
        <v>1.7190121189436687</v>
      </c>
      <c r="K65" s="567">
        <f t="shared" si="6"/>
        <v>1.163860873837858</v>
      </c>
      <c r="L65" s="567"/>
      <c r="M65" s="259"/>
      <c r="N65" s="259"/>
    </row>
    <row r="66" spans="1:14" x14ac:dyDescent="0.25">
      <c r="A66" s="396"/>
      <c r="B66" s="645" t="s">
        <v>5</v>
      </c>
      <c r="C66" s="646">
        <v>852482281</v>
      </c>
      <c r="D66" s="646">
        <v>77363704790</v>
      </c>
      <c r="E66" s="647">
        <v>8376264432</v>
      </c>
      <c r="F66" s="583">
        <f t="shared" si="3"/>
        <v>9.8257343509524517</v>
      </c>
      <c r="G66" s="567"/>
      <c r="H66" s="567">
        <f t="shared" si="5"/>
        <v>1.5557478660613793</v>
      </c>
      <c r="I66" s="567">
        <f t="shared" si="4"/>
        <v>1.4450326990706501</v>
      </c>
      <c r="J66" s="567">
        <f t="shared" si="4"/>
        <v>1.730091920368426</v>
      </c>
      <c r="K66" s="567">
        <f t="shared" si="6"/>
        <v>1.1120644662996877</v>
      </c>
      <c r="L66" s="567"/>
      <c r="M66" s="259"/>
      <c r="N66" s="259"/>
    </row>
    <row r="67" spans="1:14" ht="23.25" customHeight="1" x14ac:dyDescent="0.25">
      <c r="A67" s="396"/>
      <c r="B67" s="645" t="s">
        <v>6</v>
      </c>
      <c r="C67" s="646">
        <v>897727347</v>
      </c>
      <c r="D67" s="646">
        <v>81139818758</v>
      </c>
      <c r="E67" s="647">
        <v>8621421130</v>
      </c>
      <c r="F67" s="583">
        <f t="shared" si="3"/>
        <v>9.6036075527952036</v>
      </c>
      <c r="G67" s="567"/>
      <c r="H67" s="567">
        <f t="shared" si="5"/>
        <v>1.6510048753240947</v>
      </c>
      <c r="I67" s="567">
        <f t="shared" si="4"/>
        <v>1.5294571373530057</v>
      </c>
      <c r="J67" s="567">
        <f t="shared" si="4"/>
        <v>1.7452527024183346</v>
      </c>
      <c r="K67" s="567">
        <f t="shared" si="6"/>
        <v>1.0570851294886328</v>
      </c>
      <c r="L67" s="567"/>
      <c r="M67" s="259"/>
      <c r="N67" s="259"/>
    </row>
    <row r="68" spans="1:14" x14ac:dyDescent="0.25">
      <c r="A68" s="584"/>
      <c r="B68" s="645" t="s">
        <v>7</v>
      </c>
      <c r="C68" s="646">
        <v>936743859</v>
      </c>
      <c r="D68" s="646">
        <v>83740259688</v>
      </c>
      <c r="E68" s="647">
        <v>8880735344</v>
      </c>
      <c r="F68" s="583">
        <f t="shared" si="3"/>
        <v>9.4804308121970831</v>
      </c>
      <c r="G68" s="567"/>
      <c r="H68" s="567">
        <f t="shared" si="5"/>
        <v>1.7386311242388923</v>
      </c>
      <c r="I68" s="567">
        <f t="shared" si="4"/>
        <v>1.6041097729202014</v>
      </c>
      <c r="J68" s="567">
        <f t="shared" si="4"/>
        <v>1.7963327982264246</v>
      </c>
      <c r="K68" s="567">
        <f t="shared" si="6"/>
        <v>1.0331879909332646</v>
      </c>
      <c r="L68" s="567"/>
      <c r="M68" s="259"/>
      <c r="N68" s="259"/>
    </row>
    <row r="69" spans="1:14" x14ac:dyDescent="0.25">
      <c r="A69" s="547"/>
      <c r="B69" s="645" t="s">
        <v>489</v>
      </c>
      <c r="C69" s="648">
        <v>973381568</v>
      </c>
      <c r="D69" s="648">
        <v>84155589191</v>
      </c>
      <c r="E69" s="649">
        <v>8777964802</v>
      </c>
      <c r="F69" s="583">
        <f t="shared" si="3"/>
        <v>9.0180100903657134</v>
      </c>
      <c r="G69" s="567"/>
      <c r="H69" s="567">
        <f t="shared" si="5"/>
        <v>1.8141945147818344</v>
      </c>
      <c r="I69" s="567">
        <f t="shared" si="4"/>
        <v>1.6555197067056822</v>
      </c>
      <c r="J69" s="567">
        <f t="shared" si="4"/>
        <v>1.8503627105379352</v>
      </c>
      <c r="K69" s="567">
        <f t="shared" si="6"/>
        <v>1.0199362281505135</v>
      </c>
      <c r="L69" s="567"/>
      <c r="M69" s="259"/>
      <c r="N69" s="259"/>
    </row>
    <row r="70" spans="1:14" x14ac:dyDescent="0.25">
      <c r="A70" s="547"/>
      <c r="B70" s="585"/>
      <c r="C70" s="585"/>
      <c r="D70" s="585"/>
      <c r="E70" s="585"/>
      <c r="F70" s="567"/>
      <c r="G70" s="567"/>
      <c r="H70" s="567">
        <f t="shared" si="5"/>
        <v>1.8851508707412203</v>
      </c>
      <c r="I70" s="567">
        <f t="shared" si="4"/>
        <v>1.6637306458591383</v>
      </c>
      <c r="J70" s="567">
        <f t="shared" si="4"/>
        <v>1.8289497563970318</v>
      </c>
      <c r="K70" s="567">
        <f t="shared" si="6"/>
        <v>0.97018747134965855</v>
      </c>
      <c r="L70" s="567"/>
      <c r="M70" s="259"/>
      <c r="N70" s="259"/>
    </row>
    <row r="71" spans="1:14" x14ac:dyDescent="0.25">
      <c r="A71" s="547"/>
      <c r="B71" s="585">
        <f>C71/$C$71</f>
        <v>1</v>
      </c>
      <c r="C71" s="583">
        <f>E55/C55</f>
        <v>8.8487879489936976</v>
      </c>
      <c r="D71" s="567">
        <f t="shared" ref="D71:D85" si="7">D55/$D$55</f>
        <v>1</v>
      </c>
      <c r="E71" s="567">
        <f t="shared" ref="E71:E85" si="8">E55/$E$55</f>
        <v>1</v>
      </c>
      <c r="F71" s="396"/>
      <c r="G71" s="396"/>
      <c r="H71" s="567"/>
      <c r="I71" s="567"/>
      <c r="J71" s="259"/>
      <c r="K71" s="259"/>
      <c r="L71" s="259"/>
      <c r="M71" s="259"/>
      <c r="N71" s="259"/>
    </row>
    <row r="72" spans="1:14" x14ac:dyDescent="0.25">
      <c r="A72" s="547"/>
      <c r="B72" s="585">
        <f t="shared" ref="B72:B85" si="9">C72/$C$71</f>
        <v>1.0504400387624431</v>
      </c>
      <c r="C72" s="583">
        <f t="shared" ref="C72:C83" si="10">E56/C56</f>
        <v>9.2951211561415796</v>
      </c>
      <c r="D72" s="567">
        <f t="shared" si="7"/>
        <v>1.0307195678748273</v>
      </c>
      <c r="E72" s="567">
        <f t="shared" si="8"/>
        <v>1.0749407381446441</v>
      </c>
      <c r="F72" s="396"/>
      <c r="G72" s="396"/>
      <c r="H72" s="567"/>
      <c r="I72" s="567"/>
      <c r="J72" s="259"/>
      <c r="K72" s="259"/>
      <c r="L72" s="259"/>
      <c r="M72" s="259"/>
      <c r="N72" s="259"/>
    </row>
    <row r="73" spans="1:14" x14ac:dyDescent="0.25">
      <c r="A73" s="547"/>
      <c r="B73" s="585">
        <f t="shared" si="9"/>
        <v>1.1499821379862898</v>
      </c>
      <c r="C73" s="583">
        <f t="shared" si="10"/>
        <v>10.175948084171088</v>
      </c>
      <c r="D73" s="567">
        <f t="shared" si="7"/>
        <v>1.062827820236929</v>
      </c>
      <c r="E73" s="567">
        <f t="shared" si="8"/>
        <v>1.2173235390609509</v>
      </c>
      <c r="F73" s="396"/>
      <c r="G73" s="396"/>
      <c r="H73" s="567"/>
      <c r="I73" s="567"/>
      <c r="J73" s="259"/>
      <c r="K73" s="259"/>
      <c r="L73" s="259"/>
      <c r="M73" s="259"/>
      <c r="N73" s="259"/>
    </row>
    <row r="74" spans="1:14" x14ac:dyDescent="0.25">
      <c r="A74" s="547"/>
      <c r="B74" s="585">
        <f t="shared" si="9"/>
        <v>1.1376625697876954</v>
      </c>
      <c r="C74" s="583">
        <f t="shared" si="10"/>
        <v>10.066934837558561</v>
      </c>
      <c r="D74" s="567">
        <f t="shared" si="7"/>
        <v>1.1021759908786963</v>
      </c>
      <c r="E74" s="567">
        <f t="shared" si="8"/>
        <v>1.265731342253501</v>
      </c>
      <c r="F74" s="396"/>
      <c r="G74" s="396"/>
      <c r="H74" s="396"/>
      <c r="I74" s="396"/>
      <c r="J74" s="259"/>
      <c r="K74" s="259"/>
      <c r="L74" s="259"/>
      <c r="M74" s="259"/>
      <c r="N74" s="259"/>
    </row>
    <row r="75" spans="1:14" x14ac:dyDescent="0.25">
      <c r="A75" s="547"/>
      <c r="B75" s="585">
        <f t="shared" si="9"/>
        <v>1.1992850891626219</v>
      </c>
      <c r="C75" s="583">
        <f t="shared" si="10"/>
        <v>10.612219444390041</v>
      </c>
      <c r="D75" s="567">
        <f t="shared" si="7"/>
        <v>1.1562104355234279</v>
      </c>
      <c r="E75" s="567">
        <f t="shared" si="8"/>
        <v>1.40678001954193</v>
      </c>
      <c r="F75" s="396"/>
      <c r="G75" s="396"/>
      <c r="H75" s="396"/>
      <c r="I75" s="396"/>
      <c r="J75" s="259"/>
      <c r="K75" s="259"/>
      <c r="L75" s="259"/>
      <c r="M75" s="259"/>
      <c r="N75" s="259"/>
    </row>
    <row r="76" spans="1:14" x14ac:dyDescent="0.25">
      <c r="A76" s="547"/>
      <c r="B76" s="585">
        <f t="shared" si="9"/>
        <v>1.2703223459059796</v>
      </c>
      <c r="C76" s="583">
        <f t="shared" si="10"/>
        <v>11.240813065790237</v>
      </c>
      <c r="D76" s="567">
        <f t="shared" si="7"/>
        <v>1.2061270142314717</v>
      </c>
      <c r="E76" s="567">
        <f t="shared" si="8"/>
        <v>1.5719561300173344</v>
      </c>
      <c r="F76" s="567"/>
      <c r="G76" s="567"/>
      <c r="H76" s="396"/>
      <c r="I76" s="396"/>
      <c r="J76" s="259"/>
      <c r="K76" s="259"/>
      <c r="L76" s="259"/>
      <c r="M76" s="259"/>
      <c r="N76" s="259"/>
    </row>
    <row r="77" spans="1:14" x14ac:dyDescent="0.25">
      <c r="A77" s="547"/>
      <c r="B77" s="585">
        <f t="shared" si="9"/>
        <v>1.3136476235011449</v>
      </c>
      <c r="C77" s="583">
        <f t="shared" si="10"/>
        <v>11.624189260061142</v>
      </c>
      <c r="D77" s="567">
        <f t="shared" si="7"/>
        <v>1.2564036736494106</v>
      </c>
      <c r="E77" s="567">
        <f t="shared" si="8"/>
        <v>1.7167384954423206</v>
      </c>
      <c r="F77" s="567"/>
      <c r="G77" s="567"/>
      <c r="H77" s="396"/>
      <c r="I77" s="396"/>
      <c r="J77" s="259"/>
      <c r="K77" s="259"/>
      <c r="L77" s="259"/>
      <c r="M77" s="259"/>
      <c r="N77" s="259"/>
    </row>
    <row r="78" spans="1:14" ht="24.75" x14ac:dyDescent="0.4">
      <c r="A78" s="650"/>
      <c r="B78" s="585">
        <f t="shared" si="9"/>
        <v>1.3219492895402927</v>
      </c>
      <c r="C78" s="583">
        <f t="shared" si="10"/>
        <v>11.697648942464921</v>
      </c>
      <c r="D78" s="567">
        <f t="shared" si="7"/>
        <v>1.3049955235577069</v>
      </c>
      <c r="E78" s="567">
        <f t="shared" si="8"/>
        <v>1.8128632655669767</v>
      </c>
      <c r="F78" s="567"/>
      <c r="G78" s="567"/>
      <c r="H78" s="396"/>
      <c r="I78" s="396"/>
      <c r="J78" s="259"/>
      <c r="K78" s="259"/>
      <c r="L78" s="259"/>
      <c r="M78" s="259"/>
      <c r="N78" s="259"/>
    </row>
    <row r="79" spans="1:14" ht="24.75" x14ac:dyDescent="0.4">
      <c r="A79" s="650"/>
      <c r="B79" s="585">
        <f t="shared" si="9"/>
        <v>1.2354554638791944</v>
      </c>
      <c r="C79" s="583">
        <f t="shared" si="10"/>
        <v>10.932283420292633</v>
      </c>
      <c r="D79" s="567">
        <f t="shared" si="7"/>
        <v>1.3748088563825951</v>
      </c>
      <c r="E79" s="567">
        <f t="shared" si="8"/>
        <v>1.7947906327897318</v>
      </c>
      <c r="F79" s="567"/>
      <c r="G79" s="567"/>
      <c r="H79" s="567"/>
      <c r="I79" s="567"/>
      <c r="J79" s="259"/>
      <c r="K79" s="259"/>
      <c r="L79" s="259"/>
      <c r="M79" s="259"/>
      <c r="N79" s="259"/>
    </row>
    <row r="80" spans="1:14" ht="24.75" x14ac:dyDescent="0.4">
      <c r="A80" s="650"/>
      <c r="B80" s="585">
        <f t="shared" si="9"/>
        <v>1.2225660614283305</v>
      </c>
      <c r="C80" s="583">
        <f t="shared" si="10"/>
        <v>10.818227831215699</v>
      </c>
      <c r="D80" s="567">
        <f t="shared" si="7"/>
        <v>1.4339145349902362</v>
      </c>
      <c r="E80" s="567">
        <f t="shared" si="8"/>
        <v>1.8478361560168959</v>
      </c>
      <c r="F80" s="567"/>
      <c r="G80" s="567"/>
      <c r="H80" s="567"/>
      <c r="I80" s="567"/>
      <c r="J80" s="259"/>
      <c r="K80" s="259"/>
      <c r="L80" s="259"/>
      <c r="M80" s="259"/>
      <c r="N80" s="259"/>
    </row>
    <row r="81" spans="1:14" ht="24.75" x14ac:dyDescent="0.4">
      <c r="A81" s="650"/>
      <c r="B81" s="585">
        <f t="shared" si="9"/>
        <v>1.1681570410861795</v>
      </c>
      <c r="C81" s="583">
        <f t="shared" si="10"/>
        <v>10.336773947695521</v>
      </c>
      <c r="D81" s="567">
        <f t="shared" si="7"/>
        <v>1.4894234791510959</v>
      </c>
      <c r="E81" s="567">
        <f t="shared" si="8"/>
        <v>1.8597462859389204</v>
      </c>
      <c r="F81" s="567"/>
      <c r="G81" s="567"/>
      <c r="H81" s="567"/>
      <c r="I81" s="567"/>
      <c r="J81" s="259"/>
      <c r="K81" s="259"/>
      <c r="L81" s="259"/>
      <c r="M81" s="259"/>
      <c r="N81" s="259"/>
    </row>
    <row r="82" spans="1:14" ht="24.75" x14ac:dyDescent="0.4">
      <c r="A82" s="650"/>
      <c r="B82" s="585">
        <f t="shared" si="9"/>
        <v>1.1104045443952417</v>
      </c>
      <c r="C82" s="583">
        <f t="shared" si="10"/>
        <v>9.8257343509524517</v>
      </c>
      <c r="D82" s="567">
        <f t="shared" si="7"/>
        <v>1.5764413996955604</v>
      </c>
      <c r="E82" s="567">
        <f t="shared" si="8"/>
        <v>1.8760432281864994</v>
      </c>
      <c r="F82" s="567"/>
      <c r="G82" s="567"/>
      <c r="H82" s="567"/>
      <c r="I82" s="567"/>
      <c r="J82" s="259"/>
      <c r="K82" s="259"/>
      <c r="L82" s="259"/>
      <c r="M82" s="259"/>
      <c r="N82" s="259"/>
    </row>
    <row r="83" spans="1:14" ht="24.75" x14ac:dyDescent="0.4">
      <c r="A83" s="650"/>
      <c r="B83" s="585">
        <f t="shared" si="9"/>
        <v>1.0853020332448293</v>
      </c>
      <c r="C83" s="583">
        <f t="shared" si="10"/>
        <v>9.6036075527952036</v>
      </c>
      <c r="D83" s="567">
        <f t="shared" si="7"/>
        <v>1.6533873319680974</v>
      </c>
      <c r="E83" s="567">
        <f t="shared" si="8"/>
        <v>1.9309513040789468</v>
      </c>
      <c r="F83" s="567"/>
      <c r="G83" s="567"/>
      <c r="H83" s="567"/>
      <c r="I83" s="567"/>
      <c r="J83" s="259"/>
      <c r="K83" s="259"/>
      <c r="L83" s="259"/>
      <c r="M83" s="259"/>
      <c r="N83" s="259"/>
    </row>
    <row r="84" spans="1:14" ht="24.75" x14ac:dyDescent="0.4">
      <c r="A84" s="650"/>
      <c r="B84" s="585">
        <f t="shared" si="9"/>
        <v>1.0713818510336455</v>
      </c>
      <c r="C84" s="583">
        <f>E68/C68</f>
        <v>9.4804308121970831</v>
      </c>
      <c r="D84" s="567">
        <f t="shared" si="7"/>
        <v>1.7063765567039417</v>
      </c>
      <c r="E84" s="567">
        <f t="shared" si="8"/>
        <v>1.9890302579009724</v>
      </c>
      <c r="F84" s="567"/>
      <c r="G84" s="567"/>
      <c r="H84" s="567"/>
      <c r="I84" s="567"/>
      <c r="J84" s="259"/>
      <c r="K84" s="259"/>
      <c r="L84" s="259"/>
      <c r="M84" s="259"/>
      <c r="N84" s="259"/>
    </row>
    <row r="85" spans="1:14" ht="24.75" x14ac:dyDescent="0.4">
      <c r="A85" s="650"/>
      <c r="B85" s="585">
        <f t="shared" si="9"/>
        <v>1.019123765011372</v>
      </c>
      <c r="C85" s="583">
        <f>E69/C69</f>
        <v>9.0180100903657134</v>
      </c>
      <c r="D85" s="567">
        <f t="shared" si="7"/>
        <v>1.7148397323600384</v>
      </c>
      <c r="E85" s="567">
        <f t="shared" si="8"/>
        <v>1.9660126011708923</v>
      </c>
      <c r="F85" s="567"/>
      <c r="G85" s="567"/>
      <c r="H85" s="567"/>
      <c r="I85" s="567"/>
      <c r="J85" s="259"/>
      <c r="K85" s="259"/>
      <c r="L85" s="259"/>
      <c r="M85" s="259"/>
      <c r="N85" s="259"/>
    </row>
    <row r="86" spans="1:14" ht="24.75" x14ac:dyDescent="0.4">
      <c r="A86" s="650"/>
      <c r="B86" s="567"/>
      <c r="C86" s="567"/>
      <c r="D86" s="567"/>
      <c r="E86" s="567"/>
      <c r="F86" s="567"/>
      <c r="G86" s="567"/>
      <c r="H86" s="567"/>
      <c r="I86" s="567"/>
      <c r="J86" s="259"/>
      <c r="K86" s="259"/>
      <c r="L86" s="259"/>
      <c r="M86" s="259"/>
      <c r="N86" s="259"/>
    </row>
    <row r="87" spans="1:14" ht="24.75" x14ac:dyDescent="0.4">
      <c r="A87" s="650"/>
      <c r="B87" s="567"/>
      <c r="C87" s="567"/>
      <c r="D87" s="567"/>
      <c r="E87" s="567"/>
      <c r="F87" s="567"/>
      <c r="G87" s="567"/>
      <c r="H87" s="567"/>
      <c r="I87" s="567"/>
      <c r="J87" s="259"/>
      <c r="K87" s="259"/>
      <c r="L87" s="259"/>
      <c r="M87" s="259"/>
      <c r="N87" s="259"/>
    </row>
    <row r="88" spans="1:14" ht="24.75" x14ac:dyDescent="0.4">
      <c r="A88" s="650"/>
      <c r="B88" s="567"/>
      <c r="C88" s="567"/>
      <c r="D88" s="567"/>
      <c r="E88" s="567"/>
      <c r="F88" s="567"/>
      <c r="G88" s="567"/>
      <c r="H88" s="567"/>
      <c r="I88" s="567"/>
      <c r="J88" s="259"/>
      <c r="K88" s="259"/>
      <c r="L88" s="259"/>
      <c r="M88" s="259"/>
      <c r="N88" s="259"/>
    </row>
    <row r="89" spans="1:14" ht="24.75" x14ac:dyDescent="0.4">
      <c r="A89" s="650"/>
      <c r="B89" s="567"/>
      <c r="C89" s="567"/>
      <c r="D89" s="567"/>
      <c r="E89" s="567"/>
      <c r="F89" s="567"/>
      <c r="G89" s="567"/>
      <c r="H89" s="567"/>
      <c r="I89" s="567"/>
      <c r="J89" s="259"/>
      <c r="K89" s="259"/>
      <c r="L89" s="259"/>
      <c r="M89" s="259"/>
      <c r="N89" s="259"/>
    </row>
    <row r="90" spans="1:14" ht="24.75" x14ac:dyDescent="0.4">
      <c r="A90" s="650"/>
      <c r="B90" s="567"/>
      <c r="C90" s="567"/>
      <c r="D90" s="567"/>
      <c r="E90" s="567"/>
      <c r="F90" s="567"/>
      <c r="G90" s="567"/>
      <c r="H90" s="567"/>
      <c r="I90" s="567"/>
      <c r="J90" s="259"/>
      <c r="K90" s="259"/>
      <c r="L90" s="259"/>
      <c r="M90" s="259"/>
      <c r="N90" s="259"/>
    </row>
    <row r="91" spans="1:14" ht="24.75" x14ac:dyDescent="0.4">
      <c r="A91" s="650"/>
      <c r="B91" s="567"/>
      <c r="C91" s="567"/>
      <c r="D91" s="567"/>
      <c r="E91" s="567"/>
      <c r="F91" s="567"/>
      <c r="G91" s="567"/>
      <c r="H91" s="567"/>
      <c r="I91" s="567"/>
      <c r="J91" s="259"/>
      <c r="K91" s="259"/>
      <c r="L91" s="259"/>
      <c r="M91" s="259"/>
      <c r="N91" s="259"/>
    </row>
    <row r="92" spans="1:14" ht="24.75" x14ac:dyDescent="0.4">
      <c r="A92" s="650"/>
      <c r="B92" s="567"/>
      <c r="C92" s="567"/>
      <c r="D92" s="567"/>
      <c r="E92" s="567"/>
      <c r="F92" s="567"/>
      <c r="G92" s="567"/>
      <c r="H92" s="567"/>
      <c r="I92" s="567"/>
      <c r="J92" s="259"/>
      <c r="K92" s="259"/>
      <c r="L92" s="259"/>
      <c r="M92" s="259"/>
      <c r="N92" s="259"/>
    </row>
    <row r="93" spans="1:14" ht="24.75" x14ac:dyDescent="0.4">
      <c r="A93" s="650"/>
      <c r="B93" s="567"/>
      <c r="C93" s="567"/>
      <c r="D93" s="567"/>
      <c r="E93" s="567"/>
      <c r="F93" s="567"/>
      <c r="G93" s="567"/>
      <c r="H93" s="567"/>
      <c r="I93" s="567"/>
      <c r="J93" s="259"/>
      <c r="K93" s="259"/>
      <c r="L93" s="259"/>
      <c r="M93" s="259"/>
      <c r="N93" s="259"/>
    </row>
    <row r="94" spans="1:14" x14ac:dyDescent="0.25">
      <c r="A94" s="396"/>
      <c r="B94" s="567"/>
      <c r="C94" s="567"/>
      <c r="D94" s="567"/>
      <c r="E94" s="567"/>
      <c r="F94" s="567"/>
      <c r="G94" s="567"/>
      <c r="H94" s="567"/>
      <c r="I94" s="567"/>
      <c r="J94" s="259"/>
      <c r="K94" s="259"/>
      <c r="L94" s="259"/>
      <c r="M94" s="259"/>
      <c r="N94" s="259"/>
    </row>
    <row r="95" spans="1:14" x14ac:dyDescent="0.25">
      <c r="A95" s="396"/>
      <c r="B95" s="396"/>
      <c r="C95" s="396"/>
      <c r="D95" s="396"/>
      <c r="E95" s="396"/>
      <c r="F95" s="567"/>
      <c r="G95" s="567"/>
      <c r="H95" s="567"/>
      <c r="I95" s="567"/>
      <c r="J95" s="259"/>
      <c r="K95" s="259"/>
      <c r="L95" s="259"/>
      <c r="M95" s="259"/>
      <c r="N95" s="259"/>
    </row>
    <row r="96" spans="1:14" x14ac:dyDescent="0.25">
      <c r="A96" s="396"/>
      <c r="B96" s="396"/>
      <c r="C96" s="396"/>
      <c r="D96" s="396"/>
      <c r="E96" s="396"/>
      <c r="F96" s="567"/>
      <c r="G96" s="567"/>
      <c r="H96" s="567"/>
      <c r="I96" s="567"/>
      <c r="J96" s="259"/>
      <c r="K96" s="259"/>
      <c r="L96" s="259"/>
      <c r="M96" s="259"/>
      <c r="N96" s="259"/>
    </row>
    <row r="97" spans="1:14" x14ac:dyDescent="0.25">
      <c r="A97" s="396"/>
      <c r="B97" s="396"/>
      <c r="C97" s="396"/>
      <c r="D97" s="396"/>
      <c r="E97" s="396"/>
      <c r="F97" s="567"/>
      <c r="G97" s="567"/>
      <c r="H97" s="567"/>
      <c r="I97" s="567"/>
      <c r="J97" s="259"/>
      <c r="K97" s="259"/>
      <c r="L97" s="259"/>
      <c r="M97" s="259"/>
      <c r="N97" s="259"/>
    </row>
    <row r="98" spans="1:14" x14ac:dyDescent="0.25">
      <c r="A98" s="396"/>
      <c r="B98" s="396"/>
      <c r="C98" s="396"/>
      <c r="D98" s="396"/>
      <c r="E98" s="396"/>
      <c r="F98" s="567"/>
      <c r="G98" s="567"/>
      <c r="H98" s="567"/>
      <c r="I98" s="567"/>
      <c r="J98" s="259"/>
      <c r="K98" s="259"/>
      <c r="L98" s="259"/>
      <c r="M98" s="259"/>
      <c r="N98" s="259"/>
    </row>
    <row r="99" spans="1:14" x14ac:dyDescent="0.25">
      <c r="A99" s="396"/>
      <c r="B99" s="396"/>
      <c r="C99" s="396"/>
      <c r="D99" s="396"/>
      <c r="E99" s="396"/>
      <c r="F99" s="567"/>
      <c r="G99" s="567"/>
      <c r="H99" s="567"/>
      <c r="I99" s="567"/>
      <c r="J99" s="259"/>
      <c r="K99" s="259"/>
      <c r="L99" s="259"/>
      <c r="M99" s="259"/>
      <c r="N99" s="259"/>
    </row>
    <row r="100" spans="1:14" x14ac:dyDescent="0.25">
      <c r="A100" s="396"/>
      <c r="B100" s="396"/>
      <c r="C100" s="396"/>
      <c r="D100" s="396"/>
      <c r="E100" s="396"/>
      <c r="F100" s="567"/>
      <c r="G100" s="567"/>
      <c r="H100" s="567"/>
      <c r="I100" s="567"/>
      <c r="J100" s="259"/>
      <c r="K100" s="259"/>
      <c r="L100" s="259"/>
      <c r="M100" s="259"/>
      <c r="N100" s="259"/>
    </row>
    <row r="101" spans="1:14" x14ac:dyDescent="0.25">
      <c r="A101" s="396"/>
      <c r="B101" s="396"/>
      <c r="C101" s="396"/>
      <c r="D101" s="396"/>
      <c r="E101" s="396"/>
      <c r="F101" s="567"/>
      <c r="G101" s="567"/>
      <c r="H101" s="567"/>
      <c r="I101" s="567"/>
      <c r="J101" s="259"/>
      <c r="K101" s="259"/>
      <c r="L101" s="259"/>
      <c r="M101" s="259"/>
      <c r="N101" s="259"/>
    </row>
    <row r="102" spans="1:14" x14ac:dyDescent="0.25">
      <c r="A102" s="396"/>
      <c r="B102" s="396"/>
      <c r="C102" s="396"/>
      <c r="D102" s="396"/>
      <c r="E102" s="396"/>
      <c r="F102" s="567"/>
      <c r="G102" s="567"/>
      <c r="H102" s="567"/>
      <c r="I102" s="567"/>
      <c r="J102" s="259"/>
      <c r="K102" s="259"/>
      <c r="L102" s="259"/>
      <c r="M102" s="259"/>
      <c r="N102" s="259"/>
    </row>
    <row r="103" spans="1:14" x14ac:dyDescent="0.25">
      <c r="A103" s="396"/>
      <c r="B103" s="396"/>
      <c r="C103" s="396"/>
      <c r="D103" s="396"/>
      <c r="E103" s="396"/>
      <c r="F103" s="567"/>
      <c r="G103" s="567"/>
      <c r="H103" s="567"/>
      <c r="I103" s="567"/>
      <c r="J103" s="259"/>
      <c r="K103" s="259"/>
      <c r="L103" s="259"/>
      <c r="M103" s="259"/>
      <c r="N103" s="259"/>
    </row>
    <row r="104" spans="1:14" x14ac:dyDescent="0.25">
      <c r="A104" s="396"/>
      <c r="B104" s="396"/>
      <c r="C104" s="396"/>
      <c r="D104" s="396"/>
      <c r="E104" s="396"/>
      <c r="F104" s="567"/>
      <c r="G104" s="567"/>
      <c r="H104" s="567"/>
      <c r="I104" s="567"/>
      <c r="J104" s="259"/>
      <c r="K104" s="259"/>
      <c r="L104" s="259"/>
      <c r="M104" s="259"/>
      <c r="N104" s="259"/>
    </row>
    <row r="105" spans="1:14" x14ac:dyDescent="0.25">
      <c r="A105" s="396"/>
      <c r="B105" s="396"/>
      <c r="C105" s="396"/>
      <c r="D105" s="396"/>
      <c r="E105" s="396"/>
      <c r="F105" s="567"/>
      <c r="G105" s="567"/>
      <c r="H105" s="567"/>
      <c r="I105" s="567"/>
      <c r="J105" s="259"/>
      <c r="K105" s="259"/>
      <c r="L105" s="259"/>
      <c r="M105" s="259"/>
      <c r="N105" s="259"/>
    </row>
    <row r="106" spans="1:14" x14ac:dyDescent="0.25">
      <c r="A106" s="396"/>
      <c r="B106" s="396"/>
      <c r="C106" s="396"/>
      <c r="D106" s="396"/>
      <c r="E106" s="396"/>
      <c r="F106" s="567"/>
      <c r="G106" s="567"/>
      <c r="H106" s="567"/>
      <c r="I106" s="567"/>
      <c r="J106" s="259"/>
      <c r="K106" s="259"/>
      <c r="L106" s="259"/>
      <c r="M106" s="259"/>
      <c r="N106" s="259"/>
    </row>
    <row r="107" spans="1:14" x14ac:dyDescent="0.25">
      <c r="A107" s="259"/>
      <c r="B107" s="259"/>
      <c r="C107" s="259"/>
      <c r="D107" s="259"/>
      <c r="E107" s="259"/>
      <c r="F107" s="383"/>
      <c r="G107" s="383"/>
      <c r="H107" s="567"/>
      <c r="I107" s="567"/>
      <c r="J107" s="259"/>
      <c r="K107" s="259"/>
      <c r="L107" s="259"/>
      <c r="M107" s="259"/>
      <c r="N107" s="259"/>
    </row>
    <row r="108" spans="1:14" x14ac:dyDescent="0.25">
      <c r="A108" s="259"/>
      <c r="B108" s="259"/>
      <c r="C108" s="259"/>
      <c r="D108" s="259"/>
      <c r="E108" s="259"/>
      <c r="F108" s="383"/>
      <c r="G108" s="383"/>
      <c r="H108" s="567"/>
      <c r="I108" s="567"/>
      <c r="J108" s="259"/>
      <c r="K108" s="259"/>
      <c r="L108" s="259"/>
      <c r="M108" s="259"/>
      <c r="N108" s="259"/>
    </row>
    <row r="109" spans="1:14" x14ac:dyDescent="0.25">
      <c r="A109" s="259"/>
      <c r="B109" s="259"/>
      <c r="C109" s="259"/>
      <c r="D109" s="259"/>
      <c r="E109" s="259"/>
      <c r="F109" s="383"/>
      <c r="G109" s="383"/>
      <c r="H109" s="567"/>
      <c r="I109" s="567"/>
      <c r="J109" s="259"/>
      <c r="K109" s="259"/>
      <c r="L109" s="259"/>
      <c r="M109" s="259"/>
      <c r="N109" s="259"/>
    </row>
    <row r="110" spans="1:14" x14ac:dyDescent="0.25">
      <c r="A110" s="259"/>
      <c r="B110" s="259"/>
      <c r="C110" s="259"/>
      <c r="D110" s="259"/>
      <c r="E110" s="259"/>
      <c r="F110" s="259"/>
      <c r="G110" s="259"/>
      <c r="H110" s="383"/>
      <c r="I110" s="383"/>
      <c r="J110" s="259"/>
      <c r="K110" s="259"/>
      <c r="L110" s="259"/>
      <c r="M110" s="259"/>
      <c r="N110" s="259"/>
    </row>
    <row r="111" spans="1:14" x14ac:dyDescent="0.25">
      <c r="A111" s="259"/>
      <c r="B111" s="259"/>
      <c r="C111" s="259"/>
      <c r="D111" s="259"/>
      <c r="E111" s="259"/>
      <c r="F111" s="259"/>
      <c r="G111" s="259"/>
      <c r="H111" s="383"/>
      <c r="I111" s="383"/>
      <c r="J111" s="259"/>
      <c r="K111" s="259"/>
      <c r="L111" s="259"/>
      <c r="M111" s="259"/>
      <c r="N111" s="259"/>
    </row>
    <row r="112" spans="1:14" x14ac:dyDescent="0.25">
      <c r="A112" s="259"/>
      <c r="H112" s="383"/>
      <c r="I112" s="383"/>
      <c r="J112" s="259"/>
      <c r="K112" s="259"/>
      <c r="L112" s="259"/>
      <c r="M112" s="259"/>
      <c r="N112" s="259"/>
    </row>
  </sheetData>
  <customSheetViews>
    <customSheetView guid="{9EA95E61-FCA5-4867-AEB4-B8C24058ACDD}" showGridLines="0" showRowCol="0" topLeftCell="A25">
      <selection activeCell="B28" sqref="B28:C28"/>
      <pageMargins left="0.7" right="0.7" top="0.75" bottom="0.75" header="0.3" footer="0.3"/>
      <pageSetup paperSize="9" orientation="portrait" r:id="rId1"/>
    </customSheetView>
  </customSheetViews>
  <mergeCells count="15">
    <mergeCell ref="E40:F40"/>
    <mergeCell ref="E41:F41"/>
    <mergeCell ref="E42:F42"/>
    <mergeCell ref="E28:F28"/>
    <mergeCell ref="E34:F34"/>
    <mergeCell ref="E35:F35"/>
    <mergeCell ref="E36:F36"/>
    <mergeCell ref="E37:F37"/>
    <mergeCell ref="E38:F38"/>
    <mergeCell ref="E39:F39"/>
    <mergeCell ref="E29:F29"/>
    <mergeCell ref="E30:F30"/>
    <mergeCell ref="E31:F31"/>
    <mergeCell ref="E32:F32"/>
    <mergeCell ref="E33:F33"/>
  </mergeCells>
  <conditionalFormatting sqref="E11:E25">
    <cfRule type="iconSet" priority="10">
      <iconSet iconSet="3Arrows" showValue="0">
        <cfvo type="percent" val="0"/>
        <cfvo type="num" val="0"/>
        <cfvo type="num" val="0"/>
      </iconSet>
    </cfRule>
  </conditionalFormatting>
  <pageMargins left="0.7" right="0.7" top="0.75" bottom="0.75"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66561" r:id="rId5" name="Check Box 1">
              <controlPr defaultSize="0" autoFill="0" autoLine="0" autoPict="0">
                <anchor moveWithCells="1">
                  <from>
                    <xdr:col>1</xdr:col>
                    <xdr:colOff>0</xdr:colOff>
                    <xdr:row>25</xdr:row>
                    <xdr:rowOff>0</xdr:rowOff>
                  </from>
                  <to>
                    <xdr:col>2</xdr:col>
                    <xdr:colOff>9525</xdr:colOff>
                    <xdr:row>26</xdr:row>
                    <xdr:rowOff>66675</xdr:rowOff>
                  </to>
                </anchor>
              </controlPr>
            </control>
          </mc:Choice>
        </mc:AlternateContent>
      </controls>
    </mc:Choice>
  </mc:AlternateContent>
  <extLst>
    <ext xmlns:x14="http://schemas.microsoft.com/office/spreadsheetml/2009/9/main" uri="{05C60535-1F16-4fd2-B633-F4F36F0B64E0}">
      <x14:sparklineGroups xmlns:xm="http://schemas.microsoft.com/office/excel/2006/main">
        <x14:sparklineGroup manualMax="0" manualMin="0" displayEmptyCellsAs="gap" markers="1" high="1">
          <x14:colorSeries theme="8"/>
          <x14:colorNegative theme="9"/>
          <x14:colorAxis rgb="FF000000"/>
          <x14:colorMarkers theme="8" tint="-0.249977111117893"/>
          <x14:colorFirst theme="8" tint="-0.249977111117893"/>
          <x14:colorLast theme="8" tint="-0.249977111117893"/>
          <x14:colorHigh rgb="FFFF0000"/>
          <x14:colorLow theme="8" tint="-0.249977111117893"/>
          <x14:sparklines>
            <x14:sparkline>
              <xm:f>Prescribing!C55:C69</xm:f>
              <xm:sqref>I11</xm:sqref>
            </x14:sparkline>
          </x14:sparklines>
        </x14:sparklineGroup>
        <x14:sparklineGroup manualMax="0" manualMin="0" displayEmptyCellsAs="gap" markers="1" high="1">
          <x14:colorSeries theme="8"/>
          <x14:colorNegative theme="9"/>
          <x14:colorAxis rgb="FF000000"/>
          <x14:colorMarkers theme="8" tint="-0.249977111117893"/>
          <x14:colorFirst theme="8" tint="-0.249977111117893"/>
          <x14:colorLast theme="8" tint="-0.249977111117893"/>
          <x14:colorHigh rgb="FFFF0000"/>
          <x14:colorLow theme="8" tint="-0.249977111117893"/>
          <x14:sparklines>
            <x14:sparkline>
              <xm:f>Prescribing!D55:D69</xm:f>
              <xm:sqref>I12</xm:sqref>
            </x14:sparkline>
          </x14:sparklines>
        </x14:sparklineGroup>
        <x14:sparklineGroup manualMax="0" manualMin="0" displayEmptyCellsAs="gap" markers="1" high="1">
          <x14:colorSeries theme="8"/>
          <x14:colorNegative theme="9"/>
          <x14:colorAxis rgb="FF000000"/>
          <x14:colorMarkers theme="8" tint="-0.249977111117893"/>
          <x14:colorFirst theme="8" tint="-0.249977111117893"/>
          <x14:colorLast theme="8" tint="-0.249977111117893"/>
          <x14:colorHigh rgb="FFFF0000"/>
          <x14:colorLow theme="8" tint="-0.249977111117893"/>
          <x14:sparklines>
            <x14:sparkline>
              <xm:f>Prescribing!E55:E69</xm:f>
              <xm:sqref>I13</xm:sqref>
            </x14:sparkline>
            <x14:sparkline>
              <xm:f>Prescribing!F55:F69</xm:f>
              <xm:sqref>I14</xm:sqref>
            </x14:sparkline>
          </x14:sparklines>
        </x14:sparklineGroup>
      </x14:sparklineGroup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AT377"/>
  <sheetViews>
    <sheetView showGridLines="0" showRowColHeaders="0" topLeftCell="A40" zoomScaleNormal="100" workbookViewId="0"/>
  </sheetViews>
  <sheetFormatPr defaultRowHeight="15" x14ac:dyDescent="0.25"/>
  <cols>
    <col min="1" max="1" width="9.140625" style="233"/>
    <col min="2" max="2" width="20.7109375" style="233" customWidth="1"/>
    <col min="3" max="3" width="16.7109375" style="233" customWidth="1"/>
    <col min="4" max="4" width="15.7109375" style="233" customWidth="1"/>
    <col min="5" max="5" width="16.42578125" style="233" customWidth="1"/>
    <col min="6" max="6" width="30.7109375" style="233" customWidth="1"/>
    <col min="7" max="7" width="16.42578125" style="233" customWidth="1"/>
    <col min="8" max="8" width="30.7109375" style="233" customWidth="1"/>
    <col min="9" max="9" width="17" style="233" customWidth="1"/>
    <col min="10" max="10" width="15.42578125" style="233" customWidth="1"/>
    <col min="11" max="11" width="28.28515625" style="233" customWidth="1"/>
    <col min="12" max="12" width="32.7109375" style="233" customWidth="1"/>
    <col min="13" max="13" width="16.28515625" style="233" customWidth="1"/>
    <col min="14" max="14" width="26.28515625" style="233" bestFit="1" customWidth="1"/>
    <col min="15" max="15" width="16.28515625" style="233" bestFit="1" customWidth="1"/>
    <col min="16" max="16" width="22.5703125" style="233" bestFit="1" customWidth="1"/>
    <col min="17" max="17" width="21.28515625" style="233" bestFit="1" customWidth="1"/>
    <col min="18" max="18" width="22.28515625" style="233" bestFit="1" customWidth="1"/>
    <col min="19" max="23" width="9.140625" style="233"/>
    <col min="24" max="24" width="17.5703125" style="233" bestFit="1" customWidth="1"/>
    <col min="25" max="16384" width="9.140625" style="233"/>
  </cols>
  <sheetData>
    <row r="1" spans="1:11" x14ac:dyDescent="0.25">
      <c r="B1" s="658"/>
      <c r="C1" s="658"/>
      <c r="D1" s="658"/>
      <c r="E1" s="658"/>
    </row>
    <row r="2" spans="1:11" x14ac:dyDescent="0.25">
      <c r="B2" s="658"/>
      <c r="C2" s="658"/>
      <c r="D2" s="658"/>
      <c r="E2" s="658"/>
    </row>
    <row r="4" spans="1:11" ht="31.5" x14ac:dyDescent="0.5">
      <c r="B4" s="1224" t="s">
        <v>596</v>
      </c>
      <c r="C4" s="658"/>
      <c r="D4" s="658"/>
      <c r="E4" s="658"/>
      <c r="F4"/>
    </row>
    <row r="5" spans="1:11" x14ac:dyDescent="0.25">
      <c r="B5" s="276"/>
      <c r="C5" s="276"/>
      <c r="D5" s="276"/>
      <c r="E5" s="276"/>
      <c r="F5" s="276"/>
    </row>
    <row r="6" spans="1:11" ht="23.25" customHeight="1" x14ac:dyDescent="0.25">
      <c r="B6" s="627" t="s">
        <v>782</v>
      </c>
      <c r="C6" s="276"/>
      <c r="D6" s="276"/>
      <c r="E6" s="276"/>
      <c r="F6" s="276"/>
      <c r="H6" s="376"/>
      <c r="I6" s="376"/>
      <c r="J6" s="376"/>
    </row>
    <row r="7" spans="1:11" x14ac:dyDescent="0.25">
      <c r="B7" s="276"/>
      <c r="C7" s="276"/>
      <c r="D7" s="276"/>
      <c r="E7" s="276"/>
      <c r="F7" s="276"/>
      <c r="H7" s="376"/>
      <c r="I7" s="376"/>
      <c r="J7" s="376"/>
    </row>
    <row r="8" spans="1:11" ht="23.25" customHeight="1" x14ac:dyDescent="0.25">
      <c r="B8" s="627" t="s">
        <v>239</v>
      </c>
      <c r="C8" s="276"/>
      <c r="D8" s="276"/>
      <c r="E8" s="276"/>
      <c r="F8" s="276"/>
      <c r="G8" s="259"/>
      <c r="H8" s="259"/>
      <c r="I8" s="259"/>
      <c r="J8" s="259"/>
      <c r="K8" s="259"/>
    </row>
    <row r="9" spans="1:11" x14ac:dyDescent="0.25">
      <c r="B9" s="276"/>
      <c r="C9" s="1458"/>
      <c r="D9" s="276"/>
      <c r="E9" s="276"/>
      <c r="F9" s="276"/>
      <c r="G9" s="1304"/>
      <c r="H9" s="259"/>
      <c r="I9" s="259"/>
      <c r="J9" s="259"/>
      <c r="K9" s="259"/>
    </row>
    <row r="10" spans="1:11" x14ac:dyDescent="0.25">
      <c r="B10" s="267"/>
      <c r="C10" s="267"/>
      <c r="D10" s="267"/>
      <c r="E10" s="376"/>
      <c r="F10" s="376"/>
      <c r="G10" s="376"/>
      <c r="H10" s="376"/>
      <c r="I10" s="259"/>
    </row>
    <row r="11" spans="1:11" x14ac:dyDescent="0.25">
      <c r="A11" s="279"/>
      <c r="B11" s="1269"/>
      <c r="C11" s="1270" t="s">
        <v>536</v>
      </c>
      <c r="D11" s="1271"/>
      <c r="E11" s="962" t="s">
        <v>635</v>
      </c>
      <c r="F11" s="1272" t="s">
        <v>503</v>
      </c>
      <c r="G11" s="962" t="s">
        <v>536</v>
      </c>
      <c r="H11" s="379"/>
      <c r="I11" s="567"/>
    </row>
    <row r="12" spans="1:11" ht="39.950000000000003" customHeight="1" x14ac:dyDescent="0.25">
      <c r="A12" s="279"/>
      <c r="B12" s="1258" t="s">
        <v>614</v>
      </c>
      <c r="C12" s="1263">
        <f>H89</f>
        <v>3.0666420255953675E-2</v>
      </c>
      <c r="D12" s="1266">
        <f t="shared" ref="D12:D19" si="0">C12</f>
        <v>3.0666420255953675E-2</v>
      </c>
      <c r="E12" s="1424">
        <f>C102</f>
        <v>1.0160244939989349E-2</v>
      </c>
      <c r="F12" s="537"/>
      <c r="G12" s="1480">
        <f t="shared" ref="G12:G16" si="1">O102</f>
        <v>3.0666420255953675E-2</v>
      </c>
      <c r="H12" s="379"/>
      <c r="I12" s="567"/>
    </row>
    <row r="13" spans="1:11" ht="39.950000000000003" customHeight="1" x14ac:dyDescent="0.25">
      <c r="A13" s="279"/>
      <c r="B13" s="1258" t="s">
        <v>149</v>
      </c>
      <c r="C13" s="1263">
        <v>2.23E-2</v>
      </c>
      <c r="D13" s="1266">
        <f t="shared" si="0"/>
        <v>2.23E-2</v>
      </c>
      <c r="E13" s="1424">
        <f>C103</f>
        <v>0</v>
      </c>
      <c r="F13" s="537"/>
      <c r="G13" s="1480">
        <f t="shared" si="1"/>
        <v>2.2100000000000002E-2</v>
      </c>
      <c r="H13" s="379"/>
      <c r="I13" s="567"/>
    </row>
    <row r="14" spans="1:11" ht="39.950000000000003" customHeight="1" x14ac:dyDescent="0.25">
      <c r="A14" s="279"/>
      <c r="B14" s="1258" t="s">
        <v>452</v>
      </c>
      <c r="C14" s="1264">
        <f>E91</f>
        <v>2.8686999999999907E-2</v>
      </c>
      <c r="D14" s="1266">
        <f t="shared" si="0"/>
        <v>2.8686999999999907E-2</v>
      </c>
      <c r="E14" s="1424">
        <f>C104</f>
        <v>8.3003164545874641E-2</v>
      </c>
      <c r="F14" s="537"/>
      <c r="G14" s="1480">
        <f>N104</f>
        <v>2.8686999999999907E-2</v>
      </c>
      <c r="H14" s="379"/>
      <c r="I14" s="567"/>
    </row>
    <row r="15" spans="1:11" ht="39.950000000000003" customHeight="1" x14ac:dyDescent="0.25">
      <c r="A15" s="279"/>
      <c r="B15" s="1258" t="s">
        <v>231</v>
      </c>
      <c r="C15" s="1264">
        <f>G92</f>
        <v>-9.9356699999999964E-2</v>
      </c>
      <c r="D15" s="1266">
        <f t="shared" si="0"/>
        <v>-9.9356699999999964E-2</v>
      </c>
      <c r="E15" s="1424">
        <f>C105</f>
        <v>0</v>
      </c>
      <c r="F15" s="537"/>
      <c r="G15" s="1480">
        <f t="shared" si="1"/>
        <v>-9.9356699999999964E-2</v>
      </c>
      <c r="H15" s="379"/>
      <c r="I15" s="567"/>
    </row>
    <row r="16" spans="1:11" ht="39.950000000000003" customHeight="1" x14ac:dyDescent="0.25">
      <c r="A16" s="279"/>
      <c r="B16" s="1258" t="s">
        <v>591</v>
      </c>
      <c r="C16" s="1264">
        <f>G93</f>
        <v>4.7223874705979219E-2</v>
      </c>
      <c r="D16" s="1266">
        <f t="shared" si="0"/>
        <v>4.7223874705979219E-2</v>
      </c>
      <c r="E16" s="1424">
        <f>C106</f>
        <v>3.322327476556608E-2</v>
      </c>
      <c r="F16" s="537"/>
      <c r="G16" s="1480">
        <f t="shared" si="1"/>
        <v>4.7223874705979219E-2</v>
      </c>
      <c r="H16" s="379"/>
      <c r="I16" s="567"/>
    </row>
    <row r="17" spans="1:37" ht="39.950000000000003" customHeight="1" x14ac:dyDescent="0.25">
      <c r="A17" s="279"/>
      <c r="B17" s="1258" t="s">
        <v>616</v>
      </c>
      <c r="C17" s="1264">
        <f>H94</f>
        <v>3.8876198132661299E-2</v>
      </c>
      <c r="D17" s="1266">
        <f t="shared" si="0"/>
        <v>3.8876198132661299E-2</v>
      </c>
      <c r="E17" s="1506">
        <f>H108</f>
        <v>4.5410964845163715E-2</v>
      </c>
      <c r="F17" s="537"/>
      <c r="G17" s="1480">
        <f>O108</f>
        <v>3.8876198132661299E-2</v>
      </c>
      <c r="H17" s="379"/>
      <c r="I17" s="567"/>
    </row>
    <row r="18" spans="1:37" ht="39.950000000000003" customHeight="1" x14ac:dyDescent="0.25">
      <c r="A18" s="279"/>
      <c r="B18" s="1258" t="s">
        <v>136</v>
      </c>
      <c r="C18" s="1264">
        <f>G95</f>
        <v>3.3495922606974426E-2</v>
      </c>
      <c r="D18" s="1266">
        <f t="shared" si="0"/>
        <v>3.3495922606974426E-2</v>
      </c>
      <c r="E18" s="1424">
        <f t="shared" ref="E18:E19" si="2">C109</f>
        <v>5.0295686603556433E-2</v>
      </c>
      <c r="F18" s="537"/>
      <c r="G18" s="1480">
        <f>O109</f>
        <v>3.3495922606974426E-2</v>
      </c>
      <c r="H18" s="379"/>
      <c r="I18" s="567"/>
    </row>
    <row r="19" spans="1:37" ht="39.950000000000003" customHeight="1" x14ac:dyDescent="0.25">
      <c r="A19" s="567"/>
      <c r="B19" s="1265" t="s">
        <v>617</v>
      </c>
      <c r="C19" s="727">
        <f>G19</f>
        <v>3.1532999999999999E-2</v>
      </c>
      <c r="D19" s="1266">
        <f t="shared" si="0"/>
        <v>3.1532999999999999E-2</v>
      </c>
      <c r="E19" s="1424">
        <f t="shared" si="2"/>
        <v>2.2231649310092472E-2</v>
      </c>
      <c r="F19" s="537"/>
      <c r="G19" s="1480">
        <f>O110</f>
        <v>3.1532999999999999E-2</v>
      </c>
      <c r="H19" s="567"/>
      <c r="I19" s="567"/>
      <c r="K19" s="376"/>
      <c r="L19" s="376"/>
      <c r="M19" s="376"/>
      <c r="N19" s="376"/>
      <c r="O19" s="376"/>
      <c r="P19" s="376"/>
      <c r="Q19" s="376"/>
      <c r="R19" s="376"/>
      <c r="S19" s="376"/>
      <c r="T19" s="376"/>
      <c r="U19" s="376"/>
      <c r="V19" s="376"/>
      <c r="W19" s="376"/>
      <c r="X19" s="376"/>
      <c r="Y19" s="376"/>
      <c r="Z19" s="376"/>
      <c r="AA19" s="376"/>
      <c r="AB19" s="376"/>
      <c r="AC19" s="376"/>
      <c r="AD19" s="376"/>
      <c r="AE19" s="376"/>
      <c r="AF19" s="376"/>
      <c r="AG19" s="376"/>
      <c r="AH19" s="376"/>
      <c r="AI19" s="376"/>
    </row>
    <row r="20" spans="1:37" ht="39.950000000000003" customHeight="1" x14ac:dyDescent="0.25">
      <c r="A20" s="567"/>
      <c r="B20" s="1265"/>
      <c r="C20" s="727"/>
      <c r="D20" s="1266"/>
      <c r="E20" s="1274"/>
      <c r="F20" s="1274"/>
      <c r="G20" s="1275"/>
      <c r="H20"/>
      <c r="I20" s="1276"/>
      <c r="J20" s="567"/>
      <c r="K20" s="567"/>
      <c r="M20" s="376"/>
      <c r="N20" s="376"/>
      <c r="O20" s="376"/>
      <c r="P20" s="376"/>
      <c r="Q20" s="376"/>
      <c r="R20" s="376"/>
      <c r="S20" s="376"/>
      <c r="T20" s="376"/>
      <c r="U20" s="376"/>
      <c r="V20" s="376"/>
      <c r="W20" s="376"/>
      <c r="X20" s="376"/>
      <c r="Y20" s="376"/>
      <c r="Z20" s="376"/>
      <c r="AA20" s="376"/>
      <c r="AB20" s="376"/>
      <c r="AC20" s="376"/>
      <c r="AD20" s="376"/>
      <c r="AE20" s="376"/>
      <c r="AF20" s="376"/>
      <c r="AG20" s="376"/>
      <c r="AH20" s="376"/>
      <c r="AI20" s="376"/>
      <c r="AJ20" s="376"/>
      <c r="AK20" s="376"/>
    </row>
    <row r="21" spans="1:37" ht="30" customHeight="1" x14ac:dyDescent="0.25">
      <c r="A21" s="567"/>
      <c r="B21" s="1936" t="s">
        <v>618</v>
      </c>
      <c r="C21" s="1936"/>
      <c r="D21" s="1936"/>
      <c r="E21" s="1936"/>
      <c r="F21" s="1936"/>
      <c r="G21" s="1275"/>
      <c r="H21"/>
      <c r="I21" s="1276"/>
      <c r="J21" s="567"/>
      <c r="K21" s="960"/>
      <c r="M21" s="376"/>
      <c r="N21" s="376"/>
      <c r="O21" s="376"/>
      <c r="P21" s="376"/>
      <c r="Q21" s="376"/>
      <c r="R21" s="376"/>
      <c r="S21" s="376"/>
      <c r="T21" s="376"/>
      <c r="U21" s="376"/>
      <c r="V21" s="376"/>
      <c r="W21" s="376"/>
      <c r="X21" s="376"/>
      <c r="Y21" s="376"/>
      <c r="Z21" s="376"/>
      <c r="AA21" s="376"/>
      <c r="AB21" s="376"/>
      <c r="AC21" s="376"/>
      <c r="AD21" s="376"/>
      <c r="AE21" s="376"/>
      <c r="AF21" s="376"/>
      <c r="AG21" s="376"/>
      <c r="AH21" s="376"/>
      <c r="AI21" s="376"/>
      <c r="AJ21" s="376"/>
      <c r="AK21" s="376"/>
    </row>
    <row r="22" spans="1:37" ht="23.25" customHeight="1" x14ac:dyDescent="0.25">
      <c r="A22" s="567"/>
      <c r="B22" s="1265"/>
      <c r="C22" s="727"/>
      <c r="D22" s="1266"/>
      <c r="E22" s="1274"/>
      <c r="F22" s="1274"/>
      <c r="G22" s="1274"/>
      <c r="H22" s="1275"/>
      <c r="I22"/>
      <c r="J22" s="1276"/>
      <c r="K22" s="960"/>
      <c r="M22" s="376"/>
      <c r="N22" s="376"/>
      <c r="O22" s="376"/>
      <c r="P22" s="376"/>
      <c r="Q22" s="376"/>
      <c r="R22" s="376"/>
      <c r="S22" s="376"/>
      <c r="T22" s="376"/>
      <c r="U22" s="376"/>
      <c r="V22" s="376"/>
      <c r="W22" s="376"/>
      <c r="X22" s="376"/>
      <c r="Y22" s="376"/>
      <c r="Z22" s="376"/>
      <c r="AA22" s="376"/>
      <c r="AB22" s="376"/>
      <c r="AC22" s="376"/>
      <c r="AD22" s="376"/>
      <c r="AE22" s="376"/>
      <c r="AF22" s="376"/>
      <c r="AG22" s="376"/>
      <c r="AH22" s="376"/>
      <c r="AI22" s="376"/>
      <c r="AJ22" s="376"/>
      <c r="AK22" s="376"/>
    </row>
    <row r="23" spans="1:37" ht="38.25" customHeight="1" x14ac:dyDescent="0.25">
      <c r="A23" s="567"/>
      <c r="B23" s="1265"/>
      <c r="C23" s="727"/>
      <c r="D23" s="1266"/>
      <c r="E23" s="1274"/>
      <c r="F23" s="1274"/>
      <c r="G23" s="1274"/>
      <c r="H23" s="1275"/>
      <c r="I23"/>
      <c r="J23" s="1277"/>
      <c r="K23" s="960"/>
      <c r="M23" s="376"/>
      <c r="N23" s="376"/>
      <c r="O23" s="376"/>
      <c r="P23" s="376"/>
      <c r="Q23" s="376"/>
      <c r="R23" s="376"/>
      <c r="S23" s="376"/>
      <c r="T23" s="376"/>
      <c r="U23" s="376"/>
      <c r="V23" s="376"/>
      <c r="W23" s="376"/>
      <c r="X23" s="376"/>
      <c r="Y23" s="376"/>
      <c r="Z23" s="376"/>
      <c r="AA23" s="376"/>
      <c r="AB23" s="376"/>
      <c r="AC23" s="376"/>
      <c r="AD23" s="376"/>
      <c r="AE23" s="376"/>
      <c r="AF23" s="376"/>
      <c r="AG23" s="376"/>
      <c r="AH23" s="376"/>
      <c r="AI23" s="376"/>
      <c r="AJ23" s="376"/>
      <c r="AK23" s="376"/>
    </row>
    <row r="24" spans="1:37" x14ac:dyDescent="0.25">
      <c r="A24" s="567"/>
      <c r="B24" s="1265"/>
      <c r="C24" s="727"/>
      <c r="D24" s="1266"/>
      <c r="E24" s="1274"/>
      <c r="F24" s="1274"/>
      <c r="G24" s="1274"/>
      <c r="H24" s="1275"/>
      <c r="I24"/>
      <c r="J24" s="1277"/>
      <c r="K24" s="567"/>
      <c r="L24" s="960"/>
      <c r="M24" s="376"/>
      <c r="N24" s="376"/>
      <c r="O24" s="376"/>
      <c r="P24" s="376"/>
      <c r="Q24" s="376"/>
      <c r="R24" s="376"/>
      <c r="S24" s="376"/>
      <c r="T24" s="376"/>
      <c r="U24" s="376"/>
      <c r="V24" s="376"/>
      <c r="W24" s="376"/>
      <c r="X24" s="376"/>
      <c r="Y24" s="376"/>
      <c r="Z24" s="376"/>
      <c r="AA24" s="376"/>
      <c r="AB24" s="376"/>
      <c r="AC24" s="376"/>
      <c r="AD24" s="376"/>
      <c r="AE24" s="376"/>
      <c r="AF24" s="376"/>
      <c r="AG24" s="376"/>
      <c r="AH24" s="376"/>
      <c r="AI24" s="376"/>
      <c r="AJ24" s="376"/>
      <c r="AK24" s="376"/>
    </row>
    <row r="25" spans="1:37" x14ac:dyDescent="0.25">
      <c r="A25" s="567"/>
      <c r="B25" s="1265"/>
      <c r="C25" s="727"/>
      <c r="D25" s="1266"/>
      <c r="E25" s="1274"/>
      <c r="F25" s="1274"/>
      <c r="G25" s="1274"/>
      <c r="H25" s="1275"/>
      <c r="I25" s="1937"/>
      <c r="J25" s="1277"/>
      <c r="K25" s="379"/>
      <c r="L25" s="960"/>
      <c r="M25" s="376"/>
      <c r="N25" s="376"/>
      <c r="O25" s="376"/>
      <c r="P25" s="376"/>
      <c r="Q25" s="376"/>
      <c r="R25" s="376"/>
      <c r="S25" s="376"/>
      <c r="T25" s="376"/>
      <c r="U25" s="376"/>
      <c r="V25" s="376"/>
      <c r="W25" s="376"/>
      <c r="X25" s="376"/>
      <c r="Y25" s="376"/>
      <c r="Z25" s="376"/>
      <c r="AA25" s="376"/>
      <c r="AB25" s="376"/>
      <c r="AC25" s="376"/>
      <c r="AD25" s="376"/>
      <c r="AE25" s="376"/>
      <c r="AF25" s="376"/>
      <c r="AG25" s="376"/>
      <c r="AH25" s="376"/>
      <c r="AI25" s="376"/>
      <c r="AJ25" s="376"/>
      <c r="AK25" s="376"/>
    </row>
    <row r="26" spans="1:37" x14ac:dyDescent="0.25">
      <c r="A26" s="567"/>
      <c r="B26" s="1265"/>
      <c r="C26" s="727"/>
      <c r="D26" s="1266"/>
      <c r="E26" s="1274"/>
      <c r="F26" s="1274"/>
      <c r="G26" s="1274"/>
      <c r="H26" s="1275"/>
      <c r="I26" s="1937"/>
      <c r="J26" s="1277" t="b">
        <v>1</v>
      </c>
      <c r="K26" s="379"/>
      <c r="L26" s="960"/>
      <c r="M26" s="376"/>
      <c r="N26" s="376"/>
      <c r="O26" s="376"/>
      <c r="P26" s="376"/>
      <c r="Q26" s="376"/>
      <c r="R26" s="376"/>
      <c r="S26" s="376"/>
      <c r="T26" s="376"/>
      <c r="U26" s="376"/>
      <c r="V26" s="376"/>
      <c r="W26" s="376"/>
      <c r="X26" s="376"/>
      <c r="Y26" s="376"/>
      <c r="Z26" s="376"/>
      <c r="AA26" s="376"/>
      <c r="AB26" s="376"/>
      <c r="AC26" s="376"/>
      <c r="AD26" s="376"/>
      <c r="AE26" s="376"/>
      <c r="AF26" s="376"/>
      <c r="AG26" s="376"/>
      <c r="AH26" s="376"/>
      <c r="AI26" s="376"/>
      <c r="AJ26" s="376"/>
      <c r="AK26" s="376"/>
    </row>
    <row r="27" spans="1:37" x14ac:dyDescent="0.25">
      <c r="A27" s="567"/>
      <c r="B27" s="1265"/>
      <c r="C27" s="727"/>
      <c r="D27" s="1266"/>
      <c r="E27" s="1274"/>
      <c r="F27" s="1274"/>
      <c r="G27" s="1274"/>
      <c r="H27" s="1275"/>
      <c r="I27" s="1937"/>
      <c r="J27" s="1277" t="b">
        <v>1</v>
      </c>
      <c r="K27" s="379"/>
      <c r="L27" s="960"/>
      <c r="M27" s="376"/>
      <c r="N27" s="376"/>
      <c r="O27" s="376"/>
      <c r="P27" s="376"/>
      <c r="Q27" s="376"/>
      <c r="R27" s="376"/>
      <c r="S27" s="376"/>
      <c r="T27" s="376"/>
      <c r="U27" s="376"/>
      <c r="V27" s="376"/>
      <c r="W27" s="376"/>
      <c r="X27" s="376"/>
      <c r="Y27" s="376"/>
      <c r="Z27" s="376"/>
      <c r="AA27" s="376"/>
      <c r="AB27" s="376"/>
      <c r="AC27" s="376"/>
      <c r="AD27" s="376"/>
      <c r="AE27" s="376"/>
      <c r="AF27" s="376"/>
      <c r="AG27" s="376"/>
      <c r="AH27" s="376"/>
      <c r="AI27" s="376"/>
      <c r="AJ27" s="376"/>
      <c r="AK27" s="376"/>
    </row>
    <row r="28" spans="1:37" x14ac:dyDescent="0.25">
      <c r="A28" s="567"/>
      <c r="B28" s="1265"/>
      <c r="C28" s="727"/>
      <c r="D28" s="1266"/>
      <c r="E28" s="1274"/>
      <c r="F28" s="1274"/>
      <c r="G28" s="1274"/>
      <c r="H28" s="1275"/>
      <c r="I28" s="1937"/>
      <c r="J28" s="1277" t="b">
        <v>1</v>
      </c>
      <c r="K28" s="379"/>
      <c r="L28" s="960"/>
      <c r="M28" s="376"/>
      <c r="N28" s="376"/>
      <c r="O28" s="376"/>
      <c r="P28" s="376"/>
      <c r="Q28" s="376"/>
      <c r="R28" s="376"/>
      <c r="S28" s="376"/>
      <c r="T28" s="376"/>
      <c r="U28" s="376"/>
      <c r="V28" s="376"/>
      <c r="W28" s="376"/>
      <c r="X28" s="376"/>
      <c r="Y28" s="376"/>
      <c r="Z28" s="376"/>
      <c r="AA28" s="376"/>
      <c r="AB28" s="376"/>
      <c r="AC28" s="376"/>
      <c r="AD28" s="376"/>
      <c r="AE28" s="376"/>
      <c r="AF28" s="376"/>
      <c r="AG28" s="376"/>
      <c r="AH28" s="376"/>
      <c r="AI28" s="376"/>
      <c r="AJ28" s="376"/>
      <c r="AK28" s="376"/>
    </row>
    <row r="29" spans="1:37" x14ac:dyDescent="0.25">
      <c r="A29" s="567"/>
      <c r="B29" s="1265"/>
      <c r="C29" s="727"/>
      <c r="D29" s="1266"/>
      <c r="E29" s="1274"/>
      <c r="F29" s="1274"/>
      <c r="G29" s="1274"/>
      <c r="H29" s="1275"/>
      <c r="I29" s="1937"/>
      <c r="J29" s="1277" t="b">
        <v>1</v>
      </c>
      <c r="K29" s="379"/>
      <c r="L29" s="960"/>
      <c r="M29" s="376"/>
      <c r="N29" s="376"/>
      <c r="O29" s="376"/>
      <c r="P29" s="376"/>
      <c r="Q29" s="376"/>
      <c r="R29" s="376"/>
      <c r="S29" s="376"/>
      <c r="T29" s="376"/>
      <c r="U29" s="376"/>
      <c r="V29" s="376"/>
      <c r="W29" s="376"/>
      <c r="X29" s="376"/>
      <c r="Y29" s="376"/>
      <c r="Z29" s="376"/>
      <c r="AA29" s="376"/>
      <c r="AB29" s="376"/>
      <c r="AC29" s="376"/>
      <c r="AD29" s="376"/>
      <c r="AE29" s="376"/>
      <c r="AF29" s="376"/>
      <c r="AG29" s="376"/>
      <c r="AH29" s="376"/>
      <c r="AI29" s="376"/>
      <c r="AJ29" s="376"/>
      <c r="AK29" s="376"/>
    </row>
    <row r="30" spans="1:37" x14ac:dyDescent="0.25">
      <c r="A30" s="567"/>
      <c r="B30" s="1265"/>
      <c r="C30" s="727"/>
      <c r="D30" s="1266"/>
      <c r="E30" s="1274"/>
      <c r="F30" s="1274"/>
      <c r="G30" s="1274"/>
      <c r="H30" s="1275"/>
      <c r="I30" s="1937"/>
      <c r="J30" s="1277" t="b">
        <v>1</v>
      </c>
      <c r="K30" s="379"/>
      <c r="L30" s="960"/>
      <c r="M30" s="376"/>
      <c r="N30" s="376"/>
      <c r="O30" s="376"/>
      <c r="P30" s="376"/>
      <c r="Q30" s="376"/>
      <c r="R30" s="376"/>
      <c r="S30" s="376"/>
      <c r="T30" s="376"/>
      <c r="U30" s="376"/>
      <c r="V30" s="376"/>
      <c r="W30" s="376"/>
      <c r="X30" s="376"/>
      <c r="Y30" s="376"/>
      <c r="Z30" s="376"/>
      <c r="AA30" s="376"/>
      <c r="AB30" s="376"/>
      <c r="AC30" s="376"/>
      <c r="AD30" s="376"/>
      <c r="AE30" s="376"/>
      <c r="AF30" s="376"/>
      <c r="AG30" s="376"/>
      <c r="AH30" s="376"/>
      <c r="AI30" s="376"/>
      <c r="AJ30" s="376"/>
      <c r="AK30" s="376"/>
    </row>
    <row r="31" spans="1:37" x14ac:dyDescent="0.25">
      <c r="A31" s="567"/>
      <c r="B31" s="1265"/>
      <c r="C31" s="727"/>
      <c r="D31" s="1266"/>
      <c r="E31" s="1274"/>
      <c r="F31" s="1274"/>
      <c r="G31" s="1274"/>
      <c r="H31" s="1275"/>
      <c r="I31" s="1937"/>
      <c r="J31" s="1277" t="b">
        <v>1</v>
      </c>
      <c r="K31" s="379"/>
      <c r="L31" s="960"/>
      <c r="M31" s="376"/>
      <c r="N31" s="376"/>
      <c r="O31" s="376"/>
      <c r="P31" s="376"/>
      <c r="Q31" s="376"/>
      <c r="R31" s="376"/>
      <c r="S31" s="376"/>
      <c r="T31" s="376"/>
      <c r="U31" s="376"/>
      <c r="V31" s="376"/>
      <c r="W31" s="376"/>
      <c r="X31" s="376"/>
      <c r="Y31" s="376"/>
      <c r="Z31" s="376"/>
      <c r="AA31" s="376"/>
      <c r="AB31" s="376"/>
      <c r="AC31" s="376"/>
      <c r="AD31" s="376"/>
      <c r="AE31" s="376"/>
      <c r="AF31" s="376"/>
      <c r="AG31" s="376"/>
      <c r="AH31" s="376"/>
      <c r="AI31" s="376"/>
      <c r="AJ31" s="376"/>
      <c r="AK31" s="376"/>
    </row>
    <row r="32" spans="1:37" x14ac:dyDescent="0.25">
      <c r="A32" s="567"/>
      <c r="B32" s="1265"/>
      <c r="C32" s="727"/>
      <c r="D32" s="1266"/>
      <c r="E32" s="1274"/>
      <c r="F32" s="1274"/>
      <c r="G32" s="1274"/>
      <c r="H32" s="1275"/>
      <c r="I32" s="1937"/>
      <c r="J32" s="1277" t="b">
        <v>1</v>
      </c>
      <c r="K32" s="379"/>
      <c r="L32" s="960"/>
      <c r="M32" s="376"/>
      <c r="N32" s="376"/>
      <c r="O32" s="376"/>
      <c r="P32" s="376"/>
      <c r="Q32" s="376"/>
      <c r="R32" s="376"/>
      <c r="S32" s="376"/>
      <c r="T32" s="376"/>
      <c r="U32" s="376"/>
      <c r="V32" s="376"/>
      <c r="W32" s="376"/>
      <c r="X32" s="376"/>
      <c r="Y32" s="376"/>
      <c r="Z32" s="376"/>
      <c r="AA32" s="376"/>
      <c r="AB32" s="376"/>
      <c r="AC32" s="376"/>
      <c r="AD32" s="376"/>
      <c r="AE32" s="376"/>
      <c r="AF32" s="376"/>
      <c r="AG32" s="376"/>
      <c r="AH32" s="376"/>
      <c r="AI32" s="376"/>
      <c r="AJ32" s="376"/>
      <c r="AK32" s="376"/>
    </row>
    <row r="33" spans="1:46" x14ac:dyDescent="0.25">
      <c r="A33" s="567"/>
      <c r="B33" s="1265"/>
      <c r="C33" s="727"/>
      <c r="D33" s="1266"/>
      <c r="E33" s="1274"/>
      <c r="F33" s="1274"/>
      <c r="G33" s="1274"/>
      <c r="H33" s="1275"/>
      <c r="I33" s="1937"/>
      <c r="J33" s="1277" t="b">
        <v>1</v>
      </c>
      <c r="K33" s="379"/>
      <c r="L33" s="960"/>
      <c r="M33" s="376"/>
      <c r="N33" s="376"/>
      <c r="O33" s="376"/>
      <c r="P33" s="376"/>
      <c r="Q33" s="376"/>
      <c r="R33" s="376"/>
      <c r="S33" s="376"/>
      <c r="T33" s="376"/>
      <c r="U33" s="376"/>
      <c r="V33" s="376"/>
      <c r="W33" s="376"/>
      <c r="X33" s="376"/>
      <c r="Y33" s="376"/>
      <c r="Z33" s="376"/>
      <c r="AA33" s="376"/>
      <c r="AB33" s="376"/>
      <c r="AC33" s="376"/>
      <c r="AD33" s="376"/>
      <c r="AE33" s="376"/>
      <c r="AF33" s="376"/>
      <c r="AG33" s="376"/>
      <c r="AH33" s="376"/>
      <c r="AI33" s="376"/>
      <c r="AJ33" s="376"/>
      <c r="AK33" s="376"/>
    </row>
    <row r="34" spans="1:46" x14ac:dyDescent="0.25">
      <c r="A34" s="567"/>
      <c r="B34" s="1265"/>
      <c r="C34" s="727"/>
      <c r="D34" s="1266"/>
      <c r="E34" s="1274"/>
      <c r="F34" s="1274"/>
      <c r="G34" s="1274"/>
      <c r="H34" s="1275"/>
      <c r="I34" s="1937"/>
      <c r="J34" s="1277" t="b">
        <v>1</v>
      </c>
      <c r="K34" s="379"/>
      <c r="L34" s="960"/>
      <c r="M34" s="376"/>
      <c r="N34" s="376"/>
      <c r="O34" s="376"/>
      <c r="P34" s="376"/>
      <c r="Q34" s="376"/>
      <c r="R34" s="376"/>
      <c r="S34" s="376"/>
      <c r="T34" s="376"/>
      <c r="U34" s="376"/>
      <c r="V34" s="376"/>
      <c r="W34" s="376"/>
      <c r="X34" s="376"/>
      <c r="Y34" s="376"/>
      <c r="Z34" s="376"/>
      <c r="AA34" s="376"/>
      <c r="AB34" s="376"/>
      <c r="AC34" s="376"/>
      <c r="AD34" s="376"/>
      <c r="AE34" s="376"/>
      <c r="AF34" s="376"/>
      <c r="AG34" s="376"/>
      <c r="AH34" s="376"/>
      <c r="AI34" s="376"/>
      <c r="AJ34" s="376"/>
      <c r="AK34" s="376"/>
    </row>
    <row r="35" spans="1:46" x14ac:dyDescent="0.25">
      <c r="A35" s="567"/>
      <c r="B35" s="1265"/>
      <c r="C35" s="727"/>
      <c r="D35" s="1266"/>
      <c r="E35" s="1274"/>
      <c r="F35" s="1274"/>
      <c r="G35" s="1274"/>
      <c r="H35" s="1275"/>
      <c r="I35" s="1937"/>
      <c r="J35" s="1277"/>
      <c r="K35" s="379"/>
      <c r="L35" s="960"/>
      <c r="M35" s="376"/>
      <c r="N35" s="376"/>
      <c r="O35" s="376"/>
      <c r="P35" s="376"/>
      <c r="Q35" s="376"/>
      <c r="R35" s="376"/>
      <c r="S35" s="376"/>
      <c r="T35" s="376"/>
      <c r="U35" s="376"/>
      <c r="V35" s="376"/>
      <c r="W35" s="376"/>
      <c r="X35" s="376"/>
      <c r="Y35" s="376"/>
      <c r="Z35" s="376"/>
      <c r="AA35" s="376"/>
      <c r="AB35" s="376"/>
      <c r="AC35" s="376"/>
      <c r="AD35" s="376"/>
      <c r="AE35" s="376"/>
      <c r="AF35" s="376"/>
      <c r="AG35" s="376"/>
      <c r="AH35" s="376"/>
      <c r="AI35" s="376"/>
      <c r="AJ35" s="376"/>
      <c r="AK35" s="376"/>
    </row>
    <row r="36" spans="1:46" x14ac:dyDescent="0.25">
      <c r="A36" s="567"/>
      <c r="B36" s="1265"/>
      <c r="C36" s="727"/>
      <c r="D36" s="1266"/>
      <c r="E36" s="1274"/>
      <c r="F36" s="1274"/>
      <c r="G36" s="1274"/>
      <c r="H36" s="1275"/>
      <c r="I36" s="1937"/>
      <c r="J36" s="1277"/>
      <c r="K36" s="379"/>
      <c r="L36" s="960"/>
      <c r="M36" s="376"/>
      <c r="N36" s="376"/>
      <c r="O36" s="376"/>
      <c r="P36" s="376"/>
      <c r="Q36" s="376"/>
      <c r="R36" s="376"/>
      <c r="S36" s="376"/>
      <c r="T36" s="376"/>
      <c r="U36" s="376"/>
      <c r="V36" s="376"/>
      <c r="W36" s="376"/>
      <c r="X36" s="376"/>
      <c r="Y36" s="376"/>
      <c r="Z36" s="376"/>
      <c r="AA36" s="376"/>
      <c r="AB36" s="376"/>
      <c r="AC36" s="376"/>
      <c r="AD36" s="376"/>
      <c r="AE36" s="376"/>
      <c r="AF36" s="376"/>
      <c r="AG36" s="376"/>
      <c r="AH36" s="376"/>
      <c r="AI36" s="376"/>
      <c r="AJ36" s="376"/>
      <c r="AK36" s="376"/>
    </row>
    <row r="37" spans="1:46" x14ac:dyDescent="0.25">
      <c r="A37" s="567"/>
      <c r="B37" s="1265"/>
      <c r="C37" s="727"/>
      <c r="D37" s="1266"/>
      <c r="E37" s="1274"/>
      <c r="F37" s="1274"/>
      <c r="G37" s="1274"/>
      <c r="H37" s="1275"/>
      <c r="I37" s="1937"/>
      <c r="J37" s="1277"/>
      <c r="K37" s="379"/>
      <c r="L37" s="960"/>
      <c r="M37" s="376"/>
      <c r="N37" s="376"/>
      <c r="O37" s="376"/>
      <c r="P37" s="376"/>
      <c r="Q37" s="376"/>
      <c r="R37" s="376"/>
      <c r="S37" s="376"/>
      <c r="T37" s="376"/>
      <c r="U37" s="376"/>
      <c r="V37" s="376"/>
      <c r="W37" s="376"/>
      <c r="X37" s="376"/>
      <c r="Y37" s="376"/>
      <c r="Z37" s="376"/>
      <c r="AA37" s="376"/>
      <c r="AB37" s="376"/>
      <c r="AC37" s="376"/>
      <c r="AD37" s="376"/>
      <c r="AE37" s="376"/>
      <c r="AF37" s="376"/>
      <c r="AG37" s="376"/>
      <c r="AH37" s="376"/>
      <c r="AI37" s="376"/>
      <c r="AJ37" s="376"/>
      <c r="AK37" s="376"/>
    </row>
    <row r="38" spans="1:46" x14ac:dyDescent="0.25">
      <c r="A38" s="567"/>
      <c r="B38" s="1265"/>
      <c r="C38" s="727"/>
      <c r="D38" s="1266"/>
      <c r="E38" s="1274"/>
      <c r="F38" s="1274"/>
      <c r="G38" s="1275"/>
      <c r="H38" s="1274"/>
      <c r="I38" s="1276"/>
      <c r="J38" s="567"/>
      <c r="K38" s="567"/>
      <c r="L38" s="960"/>
      <c r="M38" s="376"/>
      <c r="N38" s="376"/>
      <c r="O38" s="376"/>
      <c r="P38" s="376"/>
      <c r="Q38" s="376"/>
      <c r="R38" s="376"/>
      <c r="S38" s="376"/>
      <c r="T38" s="376"/>
      <c r="U38" s="376"/>
      <c r="V38" s="376"/>
      <c r="W38" s="376"/>
      <c r="X38" s="376"/>
      <c r="Y38" s="376"/>
      <c r="Z38" s="376"/>
      <c r="AA38" s="376"/>
      <c r="AB38" s="376"/>
      <c r="AC38" s="376"/>
      <c r="AD38" s="376"/>
      <c r="AE38" s="376"/>
      <c r="AF38" s="376"/>
      <c r="AG38" s="376"/>
      <c r="AH38" s="376"/>
      <c r="AI38" s="376"/>
      <c r="AJ38" s="376"/>
      <c r="AK38" s="376"/>
    </row>
    <row r="39" spans="1:46" x14ac:dyDescent="0.25">
      <c r="A39" s="567"/>
      <c r="B39" s="1265"/>
      <c r="C39" s="727"/>
      <c r="D39" s="1266"/>
      <c r="E39" s="1274"/>
      <c r="F39" s="1274"/>
      <c r="G39" s="1275"/>
      <c r="H39" s="1274"/>
      <c r="I39" s="1276"/>
      <c r="J39" s="567"/>
      <c r="K39" s="567"/>
      <c r="L39" s="960"/>
      <c r="M39" s="1422"/>
      <c r="N39" s="1422"/>
      <c r="O39" s="1422"/>
      <c r="P39" s="1422"/>
      <c r="Q39" s="1802"/>
      <c r="R39" s="376"/>
      <c r="S39" s="376"/>
      <c r="T39" s="376"/>
      <c r="U39" s="376"/>
      <c r="V39" s="376"/>
      <c r="W39" s="376"/>
      <c r="X39" s="376"/>
      <c r="Y39" s="376"/>
      <c r="Z39" s="376"/>
      <c r="AA39" s="376"/>
      <c r="AB39" s="376"/>
      <c r="AC39" s="376"/>
      <c r="AD39" s="376"/>
      <c r="AE39" s="376"/>
      <c r="AF39" s="376"/>
      <c r="AG39" s="376"/>
      <c r="AH39" s="376"/>
      <c r="AI39" s="376"/>
      <c r="AJ39" s="376"/>
      <c r="AK39" s="376"/>
    </row>
    <row r="40" spans="1:46" x14ac:dyDescent="0.25">
      <c r="A40" s="567"/>
      <c r="B40" s="1265"/>
      <c r="C40" s="727"/>
      <c r="D40" s="1266"/>
      <c r="E40" s="1274"/>
      <c r="F40" s="1274"/>
      <c r="G40" s="1275"/>
      <c r="H40" s="1274"/>
      <c r="I40" s="1276"/>
      <c r="J40" s="567"/>
      <c r="K40" s="960"/>
      <c r="L40" s="1280"/>
      <c r="M40" s="1803"/>
      <c r="N40" s="1803"/>
      <c r="O40" s="1803"/>
      <c r="P40" s="376"/>
      <c r="Q40" s="376"/>
      <c r="R40" s="378"/>
      <c r="S40" s="378"/>
      <c r="T40" s="378"/>
      <c r="U40" s="378"/>
      <c r="V40" s="378"/>
      <c r="W40" s="378"/>
      <c r="X40" s="378"/>
      <c r="Y40" s="378"/>
      <c r="Z40" s="378"/>
      <c r="AA40" s="378"/>
      <c r="AB40" s="378"/>
      <c r="AC40" s="378"/>
      <c r="AD40" s="378"/>
      <c r="AE40" s="378"/>
      <c r="AF40" s="378"/>
      <c r="AG40" s="378"/>
      <c r="AH40" s="378"/>
      <c r="AI40" s="378"/>
      <c r="AJ40" s="378"/>
      <c r="AK40" s="378"/>
      <c r="AL40" s="396"/>
      <c r="AM40" s="396"/>
      <c r="AN40" s="396"/>
      <c r="AO40" s="396"/>
      <c r="AP40" s="396"/>
    </row>
    <row r="41" spans="1:46" x14ac:dyDescent="0.25">
      <c r="A41" s="567"/>
      <c r="B41" s="1265"/>
      <c r="C41" s="727"/>
      <c r="D41" s="1266"/>
      <c r="E41" s="1274"/>
      <c r="F41" s="1274"/>
      <c r="G41" s="1275"/>
      <c r="H41" s="1274"/>
      <c r="I41" s="1276"/>
      <c r="J41" s="567"/>
      <c r="K41" s="960"/>
      <c r="L41" s="1280"/>
      <c r="M41" s="1803"/>
      <c r="N41" s="1803"/>
      <c r="O41" s="1803"/>
      <c r="P41" s="376"/>
      <c r="Q41" s="376"/>
      <c r="R41" s="378"/>
      <c r="S41" s="378"/>
      <c r="T41" s="378"/>
      <c r="U41" s="378"/>
      <c r="V41" s="378"/>
      <c r="W41" s="378"/>
      <c r="X41" s="378"/>
      <c r="Y41" s="378"/>
      <c r="Z41" s="378"/>
      <c r="AA41" s="378"/>
      <c r="AB41" s="378"/>
      <c r="AC41" s="378"/>
      <c r="AD41" s="378"/>
      <c r="AE41" s="378"/>
      <c r="AF41" s="378"/>
      <c r="AG41" s="378"/>
      <c r="AH41" s="378"/>
      <c r="AI41" s="378"/>
      <c r="AJ41" s="378"/>
      <c r="AK41" s="378"/>
      <c r="AL41" s="396"/>
      <c r="AM41" s="396"/>
      <c r="AN41" s="396"/>
      <c r="AO41" s="396"/>
      <c r="AP41" s="396"/>
    </row>
    <row r="42" spans="1:46" x14ac:dyDescent="0.25">
      <c r="A42" s="567"/>
      <c r="B42" s="1265"/>
      <c r="C42" s="727"/>
      <c r="D42" s="1266"/>
      <c r="E42" s="1274"/>
      <c r="F42" s="1274"/>
      <c r="G42" s="1275"/>
      <c r="H42" s="1274"/>
      <c r="I42" s="1276"/>
      <c r="J42" s="567"/>
      <c r="K42" s="960"/>
      <c r="L42" s="1280"/>
      <c r="M42" s="1803"/>
      <c r="N42" s="1803"/>
      <c r="O42" s="1803"/>
      <c r="P42" s="376"/>
      <c r="Q42" s="376"/>
      <c r="R42" s="378"/>
      <c r="S42" s="378"/>
      <c r="T42" s="378"/>
      <c r="U42" s="378"/>
      <c r="V42" s="378"/>
      <c r="W42" s="378"/>
      <c r="X42" s="378"/>
      <c r="Y42" s="378"/>
      <c r="Z42" s="378"/>
      <c r="AA42" s="378"/>
      <c r="AB42" s="378"/>
      <c r="AC42" s="378"/>
      <c r="AD42" s="378"/>
      <c r="AE42" s="378"/>
      <c r="AF42" s="378"/>
      <c r="AG42" s="378"/>
      <c r="AH42" s="378"/>
      <c r="AI42" s="378"/>
      <c r="AJ42" s="378"/>
      <c r="AK42" s="378"/>
      <c r="AL42" s="396"/>
      <c r="AM42" s="396"/>
      <c r="AN42" s="396"/>
      <c r="AO42" s="396"/>
      <c r="AP42" s="396"/>
    </row>
    <row r="43" spans="1:46" ht="23.25" customHeight="1" x14ac:dyDescent="0.25">
      <c r="A43" s="567"/>
      <c r="B43" s="279"/>
      <c r="C43" s="279"/>
      <c r="D43" s="279"/>
      <c r="E43" s="279"/>
      <c r="F43" s="279"/>
      <c r="G43" s="1281"/>
      <c r="H43" s="279"/>
      <c r="I43" s="1276"/>
      <c r="J43" s="960"/>
      <c r="K43" s="960"/>
      <c r="L43" s="1280"/>
      <c r="M43" s="1803"/>
      <c r="N43" s="1803"/>
      <c r="O43" s="1803"/>
      <c r="P43" s="376"/>
      <c r="Q43" s="259"/>
      <c r="R43" s="396"/>
      <c r="S43" s="396"/>
      <c r="T43" s="396"/>
      <c r="U43" s="396"/>
      <c r="V43" s="396"/>
      <c r="W43" s="396"/>
      <c r="X43" s="396"/>
      <c r="Y43" s="396"/>
      <c r="Z43" s="396"/>
      <c r="AA43" s="396"/>
      <c r="AB43" s="396"/>
      <c r="AC43" s="396"/>
      <c r="AD43" s="396"/>
      <c r="AE43" s="396"/>
      <c r="AF43" s="396"/>
      <c r="AG43" s="396"/>
      <c r="AH43" s="396"/>
      <c r="AI43" s="396"/>
      <c r="AJ43" s="396"/>
      <c r="AK43" s="396"/>
      <c r="AL43" s="396"/>
      <c r="AM43" s="396"/>
      <c r="AN43" s="396"/>
      <c r="AO43" s="396"/>
      <c r="AP43" s="396"/>
      <c r="AQ43" s="396"/>
      <c r="AR43" s="396"/>
      <c r="AS43" s="396"/>
      <c r="AT43" s="396"/>
    </row>
    <row r="44" spans="1:46" x14ac:dyDescent="0.25">
      <c r="A44" s="396" t="b">
        <v>1</v>
      </c>
      <c r="B44" s="658"/>
      <c r="C44" s="658"/>
      <c r="D44" s="658"/>
      <c r="E44" s="658"/>
      <c r="F44" s="658"/>
      <c r="G44" s="396"/>
      <c r="H44" s="231" t="s">
        <v>619</v>
      </c>
      <c r="I44" s="1080"/>
      <c r="J44" s="1080"/>
      <c r="K44" s="960"/>
      <c r="L44" s="1280"/>
      <c r="M44" s="1803"/>
      <c r="N44" s="1803"/>
      <c r="O44" s="1803"/>
      <c r="P44" s="376"/>
      <c r="Q44" s="259"/>
      <c r="R44" s="396"/>
      <c r="S44" s="396"/>
      <c r="T44" s="396"/>
      <c r="U44" s="396"/>
      <c r="V44" s="396"/>
      <c r="W44" s="396"/>
      <c r="X44" s="396"/>
      <c r="Y44" s="396"/>
      <c r="Z44" s="396"/>
      <c r="AA44" s="396"/>
      <c r="AB44" s="396"/>
      <c r="AC44" s="396"/>
      <c r="AD44" s="396"/>
      <c r="AE44" s="396"/>
      <c r="AF44" s="396"/>
      <c r="AG44" s="396"/>
      <c r="AH44" s="396"/>
      <c r="AI44" s="396"/>
      <c r="AJ44" s="396"/>
      <c r="AK44" s="396"/>
      <c r="AL44" s="396"/>
      <c r="AM44" s="396"/>
      <c r="AN44" s="396"/>
      <c r="AO44" s="396"/>
      <c r="AP44" s="396"/>
      <c r="AQ44" s="396"/>
      <c r="AR44" s="396"/>
      <c r="AS44" s="396"/>
      <c r="AT44" s="396"/>
    </row>
    <row r="45" spans="1:46" ht="23.25" x14ac:dyDescent="0.25">
      <c r="A45" s="378"/>
      <c r="B45" s="378"/>
      <c r="C45" s="378"/>
      <c r="D45" s="378"/>
      <c r="E45" s="378"/>
      <c r="F45" s="378"/>
      <c r="G45" s="378"/>
      <c r="H45" s="378"/>
      <c r="I45" s="1418"/>
      <c r="J45" s="1419"/>
      <c r="K45" s="1259"/>
      <c r="L45" s="1280"/>
      <c r="M45" s="1803"/>
      <c r="N45" s="1803"/>
      <c r="O45" s="1803"/>
      <c r="P45" s="376"/>
      <c r="Q45" s="396"/>
      <c r="R45" s="396"/>
      <c r="S45" s="396"/>
      <c r="T45" s="396"/>
      <c r="U45" s="396"/>
      <c r="V45" s="396"/>
      <c r="W45" s="396"/>
      <c r="X45" s="396"/>
      <c r="Y45" s="396"/>
      <c r="Z45" s="396"/>
      <c r="AA45" s="396"/>
      <c r="AB45" s="396"/>
      <c r="AC45" s="396"/>
      <c r="AD45" s="396"/>
      <c r="AE45" s="396"/>
      <c r="AF45" s="396"/>
      <c r="AG45" s="396"/>
      <c r="AH45" s="396"/>
      <c r="AI45" s="396"/>
      <c r="AJ45" s="396"/>
      <c r="AK45" s="396"/>
      <c r="AL45" s="396"/>
      <c r="AM45" s="396"/>
      <c r="AN45" s="396"/>
      <c r="AO45" s="396"/>
      <c r="AP45" s="396"/>
      <c r="AQ45" s="396"/>
      <c r="AR45" s="396"/>
      <c r="AS45" s="396"/>
      <c r="AT45" s="396"/>
    </row>
    <row r="46" spans="1:46" x14ac:dyDescent="0.25">
      <c r="A46" s="1420"/>
      <c r="B46" s="1421"/>
      <c r="C46" s="1422" t="str">
        <f t="shared" ref="C46:O46" si="3">IF($A$44=TRUE,C100,"")</f>
        <v>1999/00</v>
      </c>
      <c r="D46" s="1422" t="str">
        <f t="shared" si="3"/>
        <v>2000/01</v>
      </c>
      <c r="E46" s="1422" t="str">
        <f t="shared" si="3"/>
        <v>2001/02</v>
      </c>
      <c r="F46" s="1422" t="str">
        <f t="shared" si="3"/>
        <v>2002/03</v>
      </c>
      <c r="G46" s="1422" t="str">
        <f t="shared" si="3"/>
        <v>2003/04</v>
      </c>
      <c r="H46" s="1422" t="str">
        <f t="shared" si="3"/>
        <v>2004/05</v>
      </c>
      <c r="I46" s="1422" t="str">
        <f t="shared" si="3"/>
        <v>2005/06</v>
      </c>
      <c r="J46" s="1422" t="str">
        <f t="shared" si="3"/>
        <v>2006/07</v>
      </c>
      <c r="K46" s="1422" t="str">
        <f t="shared" si="3"/>
        <v>2007/08</v>
      </c>
      <c r="L46" s="1278" t="str">
        <f t="shared" si="3"/>
        <v>2008/09</v>
      </c>
      <c r="M46" s="1422" t="str">
        <f t="shared" si="3"/>
        <v>2009/10</v>
      </c>
      <c r="N46" s="1422" t="str">
        <f t="shared" si="3"/>
        <v>2010/11</v>
      </c>
      <c r="O46" s="1422" t="str">
        <f t="shared" si="3"/>
        <v>2011/12</v>
      </c>
      <c r="P46" s="376"/>
      <c r="Q46" s="396"/>
      <c r="R46" s="1767"/>
      <c r="S46" s="1768" t="s">
        <v>69</v>
      </c>
      <c r="T46" s="1768" t="s">
        <v>70</v>
      </c>
      <c r="U46" s="1768" t="s">
        <v>71</v>
      </c>
      <c r="V46" s="1768" t="s">
        <v>72</v>
      </c>
      <c r="W46" s="1768" t="s">
        <v>73</v>
      </c>
      <c r="X46" s="1768" t="s">
        <v>74</v>
      </c>
      <c r="Y46" s="1768" t="s">
        <v>75</v>
      </c>
      <c r="Z46" s="1768" t="s">
        <v>76</v>
      </c>
      <c r="AA46" s="1768" t="s">
        <v>4</v>
      </c>
      <c r="AB46" s="1768" t="s">
        <v>5</v>
      </c>
      <c r="AC46" s="1768" t="s">
        <v>6</v>
      </c>
      <c r="AD46" s="1768" t="s">
        <v>7</v>
      </c>
      <c r="AE46" s="1768" t="s">
        <v>489</v>
      </c>
      <c r="AF46" s="396"/>
      <c r="AG46" s="396"/>
      <c r="AH46" s="396"/>
      <c r="AI46" s="396"/>
      <c r="AJ46" s="396"/>
      <c r="AK46" s="396"/>
      <c r="AL46" s="396"/>
      <c r="AM46" s="396"/>
      <c r="AN46" s="396"/>
      <c r="AO46" s="396"/>
      <c r="AP46" s="396"/>
      <c r="AQ46" s="396"/>
      <c r="AR46" s="396"/>
      <c r="AS46" s="396"/>
      <c r="AT46" s="396"/>
    </row>
    <row r="47" spans="1:46" ht="24" x14ac:dyDescent="0.25">
      <c r="A47" s="1420"/>
      <c r="B47" s="1489" t="str">
        <f t="shared" ref="B47:O47" si="4">IF($A$44=TRUE,B102,"")</f>
        <v>Hospital Quality Adjusted</v>
      </c>
      <c r="C47" s="1480">
        <f t="shared" si="4"/>
        <v>1.0160244939989349E-2</v>
      </c>
      <c r="D47" s="1480">
        <f t="shared" si="4"/>
        <v>1.2632336897897599E-2</v>
      </c>
      <c r="E47" s="1480">
        <f t="shared" si="4"/>
        <v>6.5447193794447855E-3</v>
      </c>
      <c r="F47" s="1480">
        <f t="shared" si="4"/>
        <v>6.4913168332380256E-2</v>
      </c>
      <c r="G47" s="1480">
        <f t="shared" si="4"/>
        <v>7.26712654415127E-2</v>
      </c>
      <c r="H47" s="1480">
        <f t="shared" si="4"/>
        <v>5.6628411567296144E-2</v>
      </c>
      <c r="I47" s="1480">
        <f t="shared" si="4"/>
        <v>7.1099999999999997E-2</v>
      </c>
      <c r="J47" s="1480">
        <f t="shared" si="4"/>
        <v>6.5000000000000002E-2</v>
      </c>
      <c r="K47" s="1490">
        <f t="shared" si="4"/>
        <v>3.6600000000000001E-2</v>
      </c>
      <c r="L47" s="1491">
        <f t="shared" si="4"/>
        <v>4.2393881491018082E-2</v>
      </c>
      <c r="M47" s="1490">
        <f t="shared" si="4"/>
        <v>1.2658458727172972E-2</v>
      </c>
      <c r="N47" s="1490">
        <f t="shared" si="4"/>
        <v>4.9299185410158319E-2</v>
      </c>
      <c r="O47" s="1490">
        <f t="shared" si="4"/>
        <v>3.0666420255953675E-2</v>
      </c>
      <c r="P47" s="376"/>
      <c r="Q47" s="396"/>
      <c r="R47" s="1769" t="s">
        <v>576</v>
      </c>
      <c r="S47" s="1770">
        <v>1.873602696231691E-2</v>
      </c>
      <c r="T47" s="1770">
        <v>9.108797210934938E-3</v>
      </c>
      <c r="U47" s="1770">
        <v>9.4591026031158876E-3</v>
      </c>
      <c r="V47" s="1770">
        <v>4.4404300293176879E-2</v>
      </c>
      <c r="W47" s="1770">
        <v>5.8062098914157811E-2</v>
      </c>
      <c r="X47" s="1770">
        <v>2.5616856205384897E-2</v>
      </c>
      <c r="Y47" s="1770">
        <v>6.5299999999999997E-2</v>
      </c>
      <c r="Z47" s="1770">
        <v>5.8799999999999998E-2</v>
      </c>
      <c r="AA47" s="1771">
        <v>3.4099999999999998E-2</v>
      </c>
      <c r="AB47" s="1771">
        <v>3.0685314279900178E-2</v>
      </c>
      <c r="AC47" s="1771">
        <v>1.3912115299726135E-2</v>
      </c>
      <c r="AD47" s="1771">
        <v>3.835284309093967E-2</v>
      </c>
      <c r="AE47" s="1771">
        <v>2.4447449647438058E-2</v>
      </c>
      <c r="AF47" s="396"/>
      <c r="AG47" s="396"/>
      <c r="AH47" s="396"/>
      <c r="AI47" s="396"/>
      <c r="AJ47" s="396"/>
      <c r="AK47" s="396"/>
      <c r="AL47" s="396"/>
      <c r="AM47" s="396"/>
      <c r="AN47" s="396"/>
      <c r="AO47" s="396"/>
      <c r="AP47" s="396"/>
      <c r="AQ47" s="396"/>
      <c r="AR47" s="396"/>
      <c r="AS47" s="396"/>
      <c r="AT47" s="396"/>
    </row>
    <row r="48" spans="1:46" x14ac:dyDescent="0.25">
      <c r="A48" s="1420"/>
      <c r="B48" s="1489" t="str">
        <f t="shared" ref="B48:O48" si="5">IF($A$44=TRUE,B103,"")</f>
        <v>Outpatient</v>
      </c>
      <c r="C48" s="1480">
        <f t="shared" si="5"/>
        <v>0</v>
      </c>
      <c r="D48" s="1480">
        <f t="shared" si="5"/>
        <v>4.4358496770696254E-2</v>
      </c>
      <c r="E48" s="1480">
        <f t="shared" si="5"/>
        <v>3.348752506549002E-2</v>
      </c>
      <c r="F48" s="1480">
        <f t="shared" si="5"/>
        <v>4.6292192056288872E-2</v>
      </c>
      <c r="G48" s="1480">
        <f t="shared" si="5"/>
        <v>5.4855078069479202E-2</v>
      </c>
      <c r="H48" s="1480">
        <f t="shared" si="5"/>
        <v>0.10228616433299975</v>
      </c>
      <c r="I48" s="1480">
        <f t="shared" si="5"/>
        <v>9.955852290494005E-2</v>
      </c>
      <c r="J48" s="1480">
        <f t="shared" si="5"/>
        <v>-6.8132104071234045E-2</v>
      </c>
      <c r="K48" s="1490">
        <f t="shared" si="5"/>
        <v>8.4054458452162528E-2</v>
      </c>
      <c r="L48" s="1491">
        <f t="shared" si="5"/>
        <v>7.2870800000000013E-2</v>
      </c>
      <c r="M48" s="1490">
        <f t="shared" si="5"/>
        <v>9.7830200000000006E-2</v>
      </c>
      <c r="N48" s="1490">
        <f t="shared" si="5"/>
        <v>2.2631999999999999E-2</v>
      </c>
      <c r="O48" s="1490">
        <f t="shared" si="5"/>
        <v>2.2100000000000002E-2</v>
      </c>
      <c r="P48" s="376"/>
      <c r="Q48" s="396"/>
      <c r="R48" s="1769" t="s">
        <v>614</v>
      </c>
      <c r="S48" s="1770">
        <v>1.0160244939989349E-2</v>
      </c>
      <c r="T48" s="1770">
        <v>1.2632336897897599E-2</v>
      </c>
      <c r="U48" s="1770">
        <v>6.5447193794447855E-3</v>
      </c>
      <c r="V48" s="1770">
        <v>6.4913168332380256E-2</v>
      </c>
      <c r="W48" s="1770">
        <v>7.26712654415127E-2</v>
      </c>
      <c r="X48" s="1770">
        <v>5.6628411567296144E-2</v>
      </c>
      <c r="Y48" s="1770">
        <v>7.1099999999999997E-2</v>
      </c>
      <c r="Z48" s="1770">
        <v>6.5000000000000002E-2</v>
      </c>
      <c r="AA48" s="1771">
        <v>3.6600000000000001E-2</v>
      </c>
      <c r="AB48" s="1771">
        <v>4.2393881491018082E-2</v>
      </c>
      <c r="AC48" s="1771">
        <v>1.2658458727172972E-2</v>
      </c>
      <c r="AD48" s="1771">
        <v>4.9299185410158319E-2</v>
      </c>
      <c r="AE48" s="1771">
        <v>3.0666420255953675E-2</v>
      </c>
      <c r="AF48" s="396"/>
      <c r="AG48" s="396"/>
      <c r="AH48" s="396"/>
      <c r="AI48" s="396"/>
      <c r="AJ48" s="396"/>
      <c r="AK48" s="396"/>
      <c r="AL48" s="396"/>
      <c r="AM48" s="396"/>
      <c r="AN48" s="396"/>
      <c r="AO48" s="396"/>
      <c r="AP48" s="396"/>
      <c r="AQ48" s="396"/>
      <c r="AR48" s="396"/>
      <c r="AS48" s="396"/>
      <c r="AT48" s="396"/>
    </row>
    <row r="49" spans="1:46" ht="36" x14ac:dyDescent="0.25">
      <c r="A49" s="1349"/>
      <c r="B49" s="1489" t="str">
        <f t="shared" ref="B49:N49" si="6">IF($A$44=TRUE,B104,"")</f>
        <v>Hospital Mental Health and non-Admitted Mental Health</v>
      </c>
      <c r="C49" s="1480">
        <f t="shared" si="6"/>
        <v>8.3003164545874641E-2</v>
      </c>
      <c r="D49" s="1480">
        <f t="shared" si="6"/>
        <v>3.3154770598104566E-2</v>
      </c>
      <c r="E49" s="1480">
        <f t="shared" si="6"/>
        <v>0.13914319809246978</v>
      </c>
      <c r="F49" s="1480">
        <f t="shared" si="6"/>
        <v>-2.5430695812534876E-2</v>
      </c>
      <c r="G49" s="1480">
        <f t="shared" si="6"/>
        <v>-3.1048601628816175E-2</v>
      </c>
      <c r="H49" s="1480">
        <f t="shared" si="6"/>
        <v>0.11440118978675162</v>
      </c>
      <c r="I49" s="1480">
        <f t="shared" si="6"/>
        <v>9.4964329865828034E-2</v>
      </c>
      <c r="J49" s="1480">
        <f t="shared" si="6"/>
        <v>4.8324125846418209E-2</v>
      </c>
      <c r="K49" s="1490">
        <f t="shared" si="6"/>
        <v>0.21131027801563063</v>
      </c>
      <c r="L49" s="1491">
        <f t="shared" si="6"/>
        <v>-0.13181359999999998</v>
      </c>
      <c r="M49" s="1490">
        <f t="shared" si="6"/>
        <v>3.9028599999999969E-2</v>
      </c>
      <c r="N49" s="1490">
        <f t="shared" si="6"/>
        <v>2.8686999999999907E-2</v>
      </c>
      <c r="O49" s="1490"/>
      <c r="P49" s="1497"/>
      <c r="Q49" s="1501"/>
      <c r="R49" s="1769" t="s">
        <v>149</v>
      </c>
      <c r="S49" s="1413"/>
      <c r="T49" s="1404">
        <v>4.4358496770696254E-2</v>
      </c>
      <c r="U49" s="1404">
        <v>3.348752506549002E-2</v>
      </c>
      <c r="V49" s="1404">
        <v>4.6292192056288872E-2</v>
      </c>
      <c r="W49" s="1404">
        <v>5.4855078069479202E-2</v>
      </c>
      <c r="X49" s="1397">
        <v>0.10228616433299975</v>
      </c>
      <c r="Y49" s="1397">
        <v>9.955852290494005E-2</v>
      </c>
      <c r="Z49" s="1397">
        <v>-6.8132104071234045E-2</v>
      </c>
      <c r="AA49" s="1404">
        <v>8.4054458452162528E-2</v>
      </c>
      <c r="AB49" s="1413">
        <v>7.2870800000000013E-2</v>
      </c>
      <c r="AC49" s="1413">
        <v>9.7830200000000006E-2</v>
      </c>
      <c r="AD49" s="1413">
        <v>2.2631999999999999E-2</v>
      </c>
      <c r="AE49" s="1413">
        <v>2.2100000000000002E-2</v>
      </c>
      <c r="AF49" s="396"/>
      <c r="AG49" s="396"/>
      <c r="AH49" s="396"/>
      <c r="AI49" s="396"/>
      <c r="AJ49" s="396"/>
      <c r="AK49" s="396"/>
      <c r="AL49" s="396"/>
      <c r="AM49" s="396"/>
      <c r="AN49" s="396"/>
      <c r="AO49" s="396"/>
      <c r="AP49" s="396"/>
      <c r="AQ49" s="396"/>
      <c r="AR49" s="396"/>
      <c r="AS49" s="396"/>
      <c r="AT49" s="396"/>
    </row>
    <row r="50" spans="1:46" ht="30" customHeight="1" x14ac:dyDescent="0.25">
      <c r="A50" s="1282"/>
      <c r="B50" s="1489" t="str">
        <f t="shared" ref="B50:O50" si="7">IF($A$44=TRUE,B105,"")</f>
        <v>Community Care</v>
      </c>
      <c r="C50" s="1480">
        <f t="shared" si="7"/>
        <v>0</v>
      </c>
      <c r="D50" s="1480">
        <f t="shared" si="7"/>
        <v>0</v>
      </c>
      <c r="E50" s="1480">
        <f t="shared" si="7"/>
        <v>3.9987584829395129E-3</v>
      </c>
      <c r="F50" s="1480">
        <f t="shared" si="7"/>
        <v>2.9611986271463664E-2</v>
      </c>
      <c r="G50" s="1480">
        <f t="shared" si="7"/>
        <v>-7.0550751994720717E-2</v>
      </c>
      <c r="H50" s="1711">
        <f t="shared" si="7"/>
        <v>1.5989319734600105E-2</v>
      </c>
      <c r="I50" s="1480">
        <f t="shared" si="7"/>
        <v>0.10252939146392093</v>
      </c>
      <c r="J50" s="1480">
        <f t="shared" si="7"/>
        <v>-6.4643553990297864E-3</v>
      </c>
      <c r="K50" s="1490">
        <f t="shared" si="7"/>
        <v>3.4645651236723252E-2</v>
      </c>
      <c r="L50" s="1491">
        <f t="shared" si="7"/>
        <v>4.0391400000000077E-2</v>
      </c>
      <c r="M50" s="1490">
        <f t="shared" si="7"/>
        <v>6.4400800000000036E-2</v>
      </c>
      <c r="N50" s="1490">
        <f t="shared" si="7"/>
        <v>2.4486999999999703E-3</v>
      </c>
      <c r="O50" s="1490">
        <f t="shared" si="7"/>
        <v>-9.9356699999999964E-2</v>
      </c>
      <c r="P50" s="1497"/>
      <c r="Q50" s="1501"/>
      <c r="R50" s="1769" t="s">
        <v>588</v>
      </c>
      <c r="S50" s="1770">
        <v>8.3003164545874641E-2</v>
      </c>
      <c r="T50" s="1770">
        <v>3.3154770598104566E-2</v>
      </c>
      <c r="U50" s="1770">
        <v>0.13914319809246978</v>
      </c>
      <c r="V50" s="1770">
        <v>-2.5430695812534876E-2</v>
      </c>
      <c r="W50" s="1770">
        <v>-3.1048601628816175E-2</v>
      </c>
      <c r="X50" s="1770">
        <v>0.11440118978675162</v>
      </c>
      <c r="Y50" s="1770">
        <v>9.4964329865828034E-2</v>
      </c>
      <c r="Z50" s="1770">
        <v>4.8324125846418209E-2</v>
      </c>
      <c r="AA50" s="1771">
        <v>0.21131027801563063</v>
      </c>
      <c r="AB50" s="1771">
        <v>-0.13181359999999998</v>
      </c>
      <c r="AC50" s="1771">
        <v>3.9028599999999969E-2</v>
      </c>
      <c r="AD50" s="1771">
        <v>2.8686999999999907E-2</v>
      </c>
      <c r="AE50" s="1771">
        <v>0.54285910000000004</v>
      </c>
      <c r="AF50" s="396"/>
      <c r="AG50" s="396"/>
      <c r="AH50" s="396"/>
      <c r="AI50" s="396"/>
      <c r="AJ50" s="396"/>
      <c r="AK50" s="396"/>
      <c r="AL50" s="396"/>
      <c r="AM50" s="396"/>
      <c r="AN50" s="396"/>
      <c r="AO50" s="396"/>
      <c r="AP50" s="396"/>
      <c r="AQ50" s="396"/>
      <c r="AR50" s="396"/>
      <c r="AS50" s="396"/>
      <c r="AT50" s="396"/>
    </row>
    <row r="51" spans="1:46" ht="30" customHeight="1" x14ac:dyDescent="0.25">
      <c r="A51" s="1282"/>
      <c r="B51" s="1489" t="str">
        <f t="shared" ref="B51:O51" si="8">IF($A$44=TRUE,B106,"")</f>
        <v>Other NHS activity</v>
      </c>
      <c r="C51" s="1480">
        <f t="shared" si="8"/>
        <v>3.322327476556608E-2</v>
      </c>
      <c r="D51" s="1480">
        <f t="shared" si="8"/>
        <v>2.3249628993118554E-2</v>
      </c>
      <c r="E51" s="1480">
        <f t="shared" si="8"/>
        <v>0.11558794933073346</v>
      </c>
      <c r="F51" s="1480">
        <f t="shared" si="8"/>
        <v>8.1390415353268075E-2</v>
      </c>
      <c r="G51" s="1480">
        <f t="shared" si="8"/>
        <v>7.7798032443197274E-2</v>
      </c>
      <c r="H51" s="1480">
        <f t="shared" si="8"/>
        <v>0.17128562058348273</v>
      </c>
      <c r="I51" s="1480">
        <f t="shared" si="8"/>
        <v>3.1434904997695634E-2</v>
      </c>
      <c r="J51" s="1480">
        <f t="shared" si="8"/>
        <v>0.22072684357009109</v>
      </c>
      <c r="K51" s="1490">
        <f t="shared" si="8"/>
        <v>-4.6564384684544491E-2</v>
      </c>
      <c r="L51" s="1491">
        <f t="shared" si="8"/>
        <v>0.17039852774632869</v>
      </c>
      <c r="M51" s="1490">
        <f t="shared" si="8"/>
        <v>0.10773125181203436</v>
      </c>
      <c r="N51" s="1490">
        <f t="shared" si="8"/>
        <v>3.0178678205015963E-2</v>
      </c>
      <c r="O51" s="1490">
        <f t="shared" si="8"/>
        <v>4.7223874705979219E-2</v>
      </c>
      <c r="P51" s="1497"/>
      <c r="Q51" s="1501"/>
      <c r="R51" s="1769" t="s">
        <v>231</v>
      </c>
      <c r="S51" s="1770">
        <v>0</v>
      </c>
      <c r="T51" s="1770">
        <v>0</v>
      </c>
      <c r="U51" s="1770">
        <v>3.9987584829395129E-3</v>
      </c>
      <c r="V51" s="1770">
        <v>2.9611986271463664E-2</v>
      </c>
      <c r="W51" s="1770">
        <v>-7.0550751994720717E-2</v>
      </c>
      <c r="X51" s="1772">
        <f>(W51+Y51)/2</f>
        <v>1.5989319734600105E-2</v>
      </c>
      <c r="Y51" s="1770">
        <v>0.10252939146392093</v>
      </c>
      <c r="Z51" s="1770">
        <v>-6.4643553990297864E-3</v>
      </c>
      <c r="AA51" s="1771">
        <v>3.4645651236723252E-2</v>
      </c>
      <c r="AB51" s="1771">
        <v>4.0391400000000077E-2</v>
      </c>
      <c r="AC51" s="1771">
        <v>6.4400800000000036E-2</v>
      </c>
      <c r="AD51" s="1771">
        <v>2.4486999999999703E-3</v>
      </c>
      <c r="AE51" s="1771">
        <v>-9.9356699999999964E-2</v>
      </c>
      <c r="AF51" s="396"/>
      <c r="AG51" s="396"/>
      <c r="AH51" s="396"/>
      <c r="AI51" s="396"/>
      <c r="AJ51" s="396"/>
      <c r="AK51" s="396"/>
      <c r="AL51" s="396"/>
      <c r="AM51" s="396"/>
      <c r="AN51" s="396"/>
      <c r="AO51" s="396"/>
      <c r="AP51" s="396"/>
      <c r="AQ51" s="396"/>
      <c r="AR51" s="396"/>
      <c r="AS51" s="396"/>
      <c r="AT51" s="396"/>
    </row>
    <row r="52" spans="1:46" x14ac:dyDescent="0.25">
      <c r="A52" s="1282"/>
      <c r="B52" s="1489" t="str">
        <f t="shared" ref="B52:O52" si="9">IF($A$44=TRUE,B107,"")</f>
        <v>Primary Care</v>
      </c>
      <c r="C52" s="1480">
        <f t="shared" si="9"/>
        <v>6.9124423963133896E-3</v>
      </c>
      <c r="D52" s="1480">
        <f t="shared" si="9"/>
        <v>-1.1101418226823201E-2</v>
      </c>
      <c r="E52" s="1480">
        <f t="shared" si="9"/>
        <v>-2.5258859784283549E-2</v>
      </c>
      <c r="F52" s="1480">
        <f t="shared" si="9"/>
        <v>0.10267422749291177</v>
      </c>
      <c r="G52" s="1480">
        <f t="shared" si="9"/>
        <v>4.9576024919993245E-2</v>
      </c>
      <c r="H52" s="1480">
        <f t="shared" si="9"/>
        <v>-2.106888063749035E-3</v>
      </c>
      <c r="I52" s="1480">
        <f t="shared" si="9"/>
        <v>5.6328438408597359E-2</v>
      </c>
      <c r="J52" s="1480">
        <f t="shared" si="9"/>
        <v>2.7042744984006939E-2</v>
      </c>
      <c r="K52" s="1490">
        <f t="shared" si="9"/>
        <v>-2.3376840230429075E-3</v>
      </c>
      <c r="L52" s="1491">
        <f t="shared" si="9"/>
        <v>2.7008547043914533E-2</v>
      </c>
      <c r="M52" s="1490">
        <f t="shared" si="9"/>
        <v>0</v>
      </c>
      <c r="N52" s="1490">
        <f t="shared" si="9"/>
        <v>-3.4482758563470384E-2</v>
      </c>
      <c r="O52" s="1490">
        <f t="shared" si="9"/>
        <v>3.8461538461537215E-2</v>
      </c>
      <c r="P52" s="1497"/>
      <c r="Q52" s="1501"/>
      <c r="R52" s="1769" t="s">
        <v>591</v>
      </c>
      <c r="S52" s="1770">
        <v>3.322327476556608E-2</v>
      </c>
      <c r="T52" s="1770">
        <v>2.3249628993118554E-2</v>
      </c>
      <c r="U52" s="1770">
        <v>0.11558794933073346</v>
      </c>
      <c r="V52" s="1770">
        <v>8.1390415353268075E-2</v>
      </c>
      <c r="W52" s="1770">
        <v>7.7798032443197274E-2</v>
      </c>
      <c r="X52" s="1770">
        <v>0.17128562058348273</v>
      </c>
      <c r="Y52" s="1770">
        <v>3.1434904997695634E-2</v>
      </c>
      <c r="Z52" s="1770">
        <v>0.22072684357009109</v>
      </c>
      <c r="AA52" s="1771">
        <v>-4.6564384684544491E-2</v>
      </c>
      <c r="AB52" s="1771">
        <v>0.17039852774632869</v>
      </c>
      <c r="AC52" s="1771">
        <v>0.10773125181203436</v>
      </c>
      <c r="AD52" s="1771">
        <v>3.0178678205015963E-2</v>
      </c>
      <c r="AE52" s="1771">
        <v>4.7223874705979219E-2</v>
      </c>
      <c r="AF52" s="396"/>
      <c r="AG52" s="396"/>
      <c r="AH52" s="396"/>
      <c r="AI52" s="396"/>
      <c r="AJ52" s="396"/>
      <c r="AK52" s="396"/>
      <c r="AL52" s="396"/>
      <c r="AM52" s="396"/>
      <c r="AN52" s="396"/>
      <c r="AO52" s="396"/>
      <c r="AP52" s="396"/>
      <c r="AQ52" s="396"/>
      <c r="AR52" s="396"/>
      <c r="AS52" s="396"/>
      <c r="AT52" s="396"/>
    </row>
    <row r="53" spans="1:46" ht="30" customHeight="1" x14ac:dyDescent="0.25">
      <c r="A53" s="1282"/>
      <c r="B53" s="1489" t="str">
        <f t="shared" ref="B53:O53" si="10">IF($A$44=TRUE,B108,"")</f>
        <v>Primary Care Quality Adjusted</v>
      </c>
      <c r="C53" s="1480">
        <f t="shared" si="10"/>
        <v>0</v>
      </c>
      <c r="D53" s="1480">
        <f t="shared" si="10"/>
        <v>0</v>
      </c>
      <c r="E53" s="1480">
        <f t="shared" si="10"/>
        <v>0</v>
      </c>
      <c r="F53" s="1480">
        <f t="shared" si="10"/>
        <v>0</v>
      </c>
      <c r="G53" s="1480">
        <f t="shared" si="10"/>
        <v>0</v>
      </c>
      <c r="H53" s="1480">
        <f t="shared" si="10"/>
        <v>4.5410964845163715E-2</v>
      </c>
      <c r="I53" s="1480">
        <f t="shared" si="10"/>
        <v>8.0214336676698528E-2</v>
      </c>
      <c r="J53" s="1480">
        <f t="shared" si="10"/>
        <v>4.6738488839055181E-2</v>
      </c>
      <c r="K53" s="1490">
        <f t="shared" si="10"/>
        <v>3.2550560081045843E-2</v>
      </c>
      <c r="L53" s="1491">
        <f t="shared" si="10"/>
        <v>2.792041212388563E-2</v>
      </c>
      <c r="M53" s="1490">
        <f t="shared" si="10"/>
        <v>5.5135423142793627E-4</v>
      </c>
      <c r="N53" s="1490">
        <f t="shared" si="10"/>
        <v>-3.3862776931691152E-2</v>
      </c>
      <c r="O53" s="1490">
        <f t="shared" si="10"/>
        <v>3.8876198132661299E-2</v>
      </c>
      <c r="P53" s="1497"/>
      <c r="Q53" s="1501"/>
      <c r="R53" s="1769" t="s">
        <v>218</v>
      </c>
      <c r="S53" s="1770">
        <v>6.9124423963133896E-3</v>
      </c>
      <c r="T53" s="1770">
        <v>-1.1101418226823201E-2</v>
      </c>
      <c r="U53" s="1770">
        <v>-2.5258859784283549E-2</v>
      </c>
      <c r="V53" s="1770">
        <v>0.10267422749291177</v>
      </c>
      <c r="W53" s="1770">
        <v>4.9576024919993245E-2</v>
      </c>
      <c r="X53" s="1770">
        <v>-2.106888063749035E-3</v>
      </c>
      <c r="Y53" s="1770">
        <v>5.6328438408597359E-2</v>
      </c>
      <c r="Z53" s="1770">
        <v>2.7042744984006939E-2</v>
      </c>
      <c r="AA53" s="1771">
        <v>-2.3376840230429075E-3</v>
      </c>
      <c r="AB53" s="1771">
        <v>2.7008547043914533E-2</v>
      </c>
      <c r="AC53" s="1771">
        <v>0</v>
      </c>
      <c r="AD53" s="1771">
        <v>-3.4482758563470384E-2</v>
      </c>
      <c r="AE53" s="1771">
        <v>3.8461538461537215E-2</v>
      </c>
      <c r="AF53" s="396"/>
      <c r="AG53" s="396"/>
      <c r="AH53" s="396"/>
      <c r="AI53" s="396"/>
      <c r="AJ53" s="396"/>
      <c r="AK53" s="396"/>
      <c r="AL53" s="396"/>
      <c r="AM53" s="396"/>
      <c r="AN53" s="396"/>
      <c r="AO53" s="396"/>
      <c r="AP53" s="396"/>
      <c r="AQ53" s="396"/>
      <c r="AR53" s="396"/>
      <c r="AS53" s="396"/>
      <c r="AT53" s="396"/>
    </row>
    <row r="54" spans="1:46" ht="30" customHeight="1" x14ac:dyDescent="0.25">
      <c r="A54" s="1282"/>
      <c r="B54" s="1489" t="str">
        <f t="shared" ref="B54:O54" si="11">IF($A$44=TRUE,B109,"")</f>
        <v>Prescribing</v>
      </c>
      <c r="C54" s="1480">
        <f t="shared" si="11"/>
        <v>5.0295686603556433E-2</v>
      </c>
      <c r="D54" s="1480">
        <f t="shared" si="11"/>
        <v>6.2830155287749712E-2</v>
      </c>
      <c r="E54" s="1480">
        <f t="shared" si="11"/>
        <v>7.5196742071585554E-2</v>
      </c>
      <c r="F54" s="1480">
        <f t="shared" si="11"/>
        <v>7.7857899716810453E-2</v>
      </c>
      <c r="G54" s="1480">
        <f t="shared" si="11"/>
        <v>7.7868262721560777E-2</v>
      </c>
      <c r="H54" s="1480">
        <f t="shared" si="11"/>
        <v>7.698839189400597E-2</v>
      </c>
      <c r="I54" s="1480">
        <f t="shared" si="11"/>
        <v>8.0214336676698528E-2</v>
      </c>
      <c r="J54" s="1480">
        <f t="shared" si="11"/>
        <v>5.916841944762874E-2</v>
      </c>
      <c r="K54" s="1490">
        <f t="shared" si="11"/>
        <v>6.704788747213386E-2</v>
      </c>
      <c r="L54" s="1491">
        <f t="shared" si="11"/>
        <v>6.3550838522140385E-2</v>
      </c>
      <c r="M54" s="1490">
        <f t="shared" si="11"/>
        <v>6.9284082575049366E-2</v>
      </c>
      <c r="N54" s="1490">
        <f t="shared" si="11"/>
        <v>4.7608884492738923E-2</v>
      </c>
      <c r="O54" s="1490">
        <f t="shared" si="11"/>
        <v>3.3495922606974426E-2</v>
      </c>
      <c r="P54" s="1497"/>
      <c r="Q54" s="1501"/>
      <c r="R54" s="1769" t="s">
        <v>616</v>
      </c>
      <c r="S54" s="1770">
        <v>0</v>
      </c>
      <c r="T54" s="1770">
        <v>0</v>
      </c>
      <c r="U54" s="1770">
        <v>0</v>
      </c>
      <c r="V54" s="1770">
        <v>0</v>
      </c>
      <c r="W54" s="1770">
        <v>0</v>
      </c>
      <c r="X54" s="1770">
        <v>4.5410964845163715E-2</v>
      </c>
      <c r="Y54" s="1770">
        <v>8.0214336676698528E-2</v>
      </c>
      <c r="Z54" s="1770">
        <v>4.6738488839055181E-2</v>
      </c>
      <c r="AA54" s="1771">
        <v>3.2550560081045843E-2</v>
      </c>
      <c r="AB54" s="1771">
        <v>2.792041212388563E-2</v>
      </c>
      <c r="AC54" s="1771">
        <v>5.5135423142793627E-4</v>
      </c>
      <c r="AD54" s="1771">
        <v>-3.3862776931691152E-2</v>
      </c>
      <c r="AE54" s="1771">
        <v>3.8876198132661299E-2</v>
      </c>
      <c r="AF54" s="396"/>
      <c r="AG54" s="396"/>
      <c r="AH54" s="396"/>
      <c r="AI54" s="396"/>
      <c r="AJ54" s="396"/>
      <c r="AK54" s="396"/>
      <c r="AL54" s="396"/>
      <c r="AM54" s="396"/>
      <c r="AN54" s="396"/>
      <c r="AO54" s="396"/>
      <c r="AP54" s="396"/>
      <c r="AQ54" s="396"/>
      <c r="AR54" s="396"/>
      <c r="AS54" s="396"/>
      <c r="AT54" s="396"/>
    </row>
    <row r="55" spans="1:46" ht="30" customHeight="1" x14ac:dyDescent="0.25">
      <c r="A55" s="1282"/>
      <c r="B55" s="1489" t="str">
        <f t="shared" ref="B55:O55" si="12">IF($A$44=TRUE,B110,"")</f>
        <v xml:space="preserve">Total Quality Adjusted NHS output growth </v>
      </c>
      <c r="C55" s="1480">
        <f t="shared" si="12"/>
        <v>2.2231649310092472E-2</v>
      </c>
      <c r="D55" s="1480">
        <f t="shared" si="12"/>
        <v>2.2575680483144511E-2</v>
      </c>
      <c r="E55" s="1480">
        <f t="shared" si="12"/>
        <v>3.7442776427267566E-2</v>
      </c>
      <c r="F55" s="1480">
        <f t="shared" si="12"/>
        <v>5.7818261544666072E-2</v>
      </c>
      <c r="G55" s="1480">
        <f t="shared" si="12"/>
        <v>4.926635149995251E-2</v>
      </c>
      <c r="H55" s="1480">
        <f t="shared" si="12"/>
        <v>6.4427956415980647E-2</v>
      </c>
      <c r="I55" s="1480">
        <f t="shared" si="12"/>
        <v>7.1108041068716377E-2</v>
      </c>
      <c r="J55" s="1480">
        <f t="shared" si="12"/>
        <v>6.4976766300360644E-2</v>
      </c>
      <c r="K55" s="1490">
        <f t="shared" si="12"/>
        <v>3.6553041824910038E-2</v>
      </c>
      <c r="L55" s="1490">
        <f t="shared" si="12"/>
        <v>5.7329999999999999E-2</v>
      </c>
      <c r="M55" s="1490">
        <f t="shared" si="12"/>
        <v>4.113E-2</v>
      </c>
      <c r="N55" s="1490">
        <f t="shared" si="12"/>
        <v>4.5747999999999997E-2</v>
      </c>
      <c r="O55" s="1490">
        <f t="shared" si="12"/>
        <v>3.1532999999999999E-2</v>
      </c>
      <c r="P55" s="1497"/>
      <c r="Q55" s="1501"/>
      <c r="R55" s="1769" t="s">
        <v>136</v>
      </c>
      <c r="S55" s="1770">
        <v>5.0295686603556433E-2</v>
      </c>
      <c r="T55" s="1770">
        <v>6.2830155287749712E-2</v>
      </c>
      <c r="U55" s="1770">
        <v>7.5196742071585554E-2</v>
      </c>
      <c r="V55" s="1770">
        <v>7.7857899716810453E-2</v>
      </c>
      <c r="W55" s="1770">
        <v>7.7868262721560777E-2</v>
      </c>
      <c r="X55" s="1770">
        <v>7.698839189400597E-2</v>
      </c>
      <c r="Y55" s="1770">
        <v>8.0214336676698528E-2</v>
      </c>
      <c r="Z55" s="1770">
        <v>5.916841944762874E-2</v>
      </c>
      <c r="AA55" s="1771">
        <v>6.704788747213386E-2</v>
      </c>
      <c r="AB55" s="1771">
        <v>6.3550838522140385E-2</v>
      </c>
      <c r="AC55" s="1771">
        <v>6.9284082575049366E-2</v>
      </c>
      <c r="AD55" s="1771">
        <v>4.7608884492738923E-2</v>
      </c>
      <c r="AE55" s="1771">
        <v>3.3495922606974426E-2</v>
      </c>
      <c r="AF55" s="396"/>
      <c r="AG55" s="396"/>
      <c r="AH55" s="396"/>
      <c r="AI55" s="396"/>
      <c r="AJ55" s="396"/>
      <c r="AK55" s="396"/>
      <c r="AL55" s="396"/>
      <c r="AM55" s="396"/>
      <c r="AN55" s="396"/>
      <c r="AO55" s="396"/>
      <c r="AP55" s="396"/>
      <c r="AQ55" s="396"/>
      <c r="AR55" s="396"/>
      <c r="AS55" s="396"/>
      <c r="AT55" s="396"/>
    </row>
    <row r="56" spans="1:46" ht="30" customHeight="1" x14ac:dyDescent="0.25">
      <c r="A56" s="1282"/>
      <c r="B56" s="1498"/>
      <c r="C56" s="1498"/>
      <c r="D56" s="1498"/>
      <c r="E56" s="1498"/>
      <c r="F56" s="1498"/>
      <c r="G56" s="1498"/>
      <c r="H56" s="1498"/>
      <c r="I56" s="1498"/>
      <c r="J56" s="1498"/>
      <c r="K56" s="1498"/>
      <c r="L56" s="1703"/>
      <c r="M56" s="1498"/>
      <c r="N56" s="1498"/>
      <c r="O56" s="1498"/>
      <c r="P56" s="1498"/>
      <c r="Q56" s="1501"/>
      <c r="R56" s="1769" t="s">
        <v>617</v>
      </c>
      <c r="S56" s="1770">
        <v>2.2231649310092472E-2</v>
      </c>
      <c r="T56" s="1770">
        <v>2.2575680483144511E-2</v>
      </c>
      <c r="U56" s="1770">
        <v>3.7442776427267566E-2</v>
      </c>
      <c r="V56" s="1770">
        <v>5.7818261544666072E-2</v>
      </c>
      <c r="W56" s="1770">
        <v>4.926635149995251E-2</v>
      </c>
      <c r="X56" s="1770">
        <v>6.4427956415980647E-2</v>
      </c>
      <c r="Y56" s="1770">
        <v>7.1108041068716377E-2</v>
      </c>
      <c r="Z56" s="1770">
        <v>6.4976766300360644E-2</v>
      </c>
      <c r="AA56" s="1771">
        <v>3.6553041824910038E-2</v>
      </c>
      <c r="AB56" s="1771">
        <v>5.7329999999999999E-2</v>
      </c>
      <c r="AC56" s="1771">
        <v>4.113E-2</v>
      </c>
      <c r="AD56" s="1771">
        <v>4.5747999999999997E-2</v>
      </c>
      <c r="AE56" s="1771">
        <v>3.1532999999999999E-2</v>
      </c>
      <c r="AF56" s="396"/>
      <c r="AG56" s="396"/>
      <c r="AH56" s="396"/>
      <c r="AI56" s="396"/>
      <c r="AJ56" s="396"/>
      <c r="AK56" s="396"/>
      <c r="AL56" s="396"/>
      <c r="AM56" s="396"/>
      <c r="AN56" s="396"/>
      <c r="AO56" s="396"/>
      <c r="AP56" s="396"/>
      <c r="AQ56" s="396"/>
      <c r="AR56" s="396"/>
      <c r="AS56" s="396"/>
      <c r="AT56" s="396"/>
    </row>
    <row r="57" spans="1:46" ht="30" customHeight="1" x14ac:dyDescent="0.25">
      <c r="A57" s="375"/>
      <c r="B57" s="1704"/>
      <c r="C57" s="1869"/>
      <c r="D57" s="1870"/>
      <c r="E57" s="1870"/>
      <c r="F57" s="1702"/>
      <c r="G57" s="1870"/>
      <c r="H57" s="1702"/>
      <c r="I57" s="1870"/>
      <c r="J57" s="1702"/>
      <c r="K57" s="1870"/>
      <c r="L57" s="1702"/>
      <c r="M57" s="1498"/>
      <c r="N57" s="1498"/>
      <c r="O57" s="1498"/>
      <c r="P57" s="1498"/>
      <c r="Q57" s="1501"/>
      <c r="R57" s="1501"/>
      <c r="S57" s="1501"/>
      <c r="T57" s="1501"/>
      <c r="U57" s="1501"/>
      <c r="V57" s="1501"/>
      <c r="W57" s="1501"/>
      <c r="X57" s="1501"/>
      <c r="Y57" s="1501"/>
      <c r="Z57" s="1501"/>
      <c r="AA57" s="1501"/>
      <c r="AB57" s="1501"/>
      <c r="AC57" s="396"/>
      <c r="AD57" s="396"/>
      <c r="AE57" s="396"/>
      <c r="AF57" s="396"/>
      <c r="AG57" s="396"/>
      <c r="AH57" s="396"/>
      <c r="AI57" s="396"/>
      <c r="AJ57" s="396"/>
      <c r="AK57" s="396"/>
      <c r="AL57" s="396"/>
      <c r="AM57" s="396"/>
      <c r="AN57" s="396"/>
      <c r="AO57" s="396"/>
      <c r="AP57" s="396"/>
      <c r="AQ57" s="396"/>
      <c r="AR57" s="396"/>
      <c r="AS57" s="396"/>
      <c r="AT57" s="396"/>
    </row>
    <row r="58" spans="1:46" ht="30" customHeight="1" x14ac:dyDescent="0.25">
      <c r="A58" s="396"/>
      <c r="B58" s="1398"/>
      <c r="C58" s="1399"/>
      <c r="D58" s="1399"/>
      <c r="E58" s="1399"/>
      <c r="F58" s="1399"/>
      <c r="G58" s="1399"/>
      <c r="H58" s="1399"/>
      <c r="I58" s="1399"/>
      <c r="J58" s="1399"/>
      <c r="K58" s="1580"/>
      <c r="L58" s="1399"/>
      <c r="M58" s="547"/>
      <c r="N58" s="547"/>
      <c r="O58" s="547"/>
      <c r="P58" s="1501"/>
      <c r="Q58" s="1501"/>
      <c r="R58" s="1769" t="s">
        <v>576</v>
      </c>
      <c r="S58" s="1501">
        <v>1</v>
      </c>
      <c r="T58" s="1501">
        <f>S58*(1+S47)</f>
        <v>1.0187360269623169</v>
      </c>
      <c r="U58" s="1501">
        <f t="shared" ref="U58:AF58" si="13">T58*(1+T47)</f>
        <v>1.0280154868433902</v>
      </c>
      <c r="V58" s="1501">
        <f t="shared" si="13"/>
        <v>1.0377395908110338</v>
      </c>
      <c r="W58" s="1501">
        <f t="shared" si="13"/>
        <v>1.0838196912275255</v>
      </c>
      <c r="X58" s="1501">
        <f t="shared" si="13"/>
        <v>1.1467485373446902</v>
      </c>
      <c r="Y58" s="1501">
        <f t="shared" si="13"/>
        <v>1.1761246297295846</v>
      </c>
      <c r="Z58" s="1501">
        <f t="shared" si="13"/>
        <v>1.2529255680509264</v>
      </c>
      <c r="AA58" s="1501">
        <f t="shared" si="13"/>
        <v>1.3265975914523207</v>
      </c>
      <c r="AB58" s="1501">
        <f t="shared" si="13"/>
        <v>1.3718345693208449</v>
      </c>
      <c r="AC58" s="1501">
        <f t="shared" si="13"/>
        <v>1.4139297442204866</v>
      </c>
      <c r="AD58" s="1501">
        <f t="shared" si="13"/>
        <v>1.4336004978477943</v>
      </c>
      <c r="AE58" s="1501">
        <f t="shared" si="13"/>
        <v>1.4885831527968438</v>
      </c>
      <c r="AF58" s="1501">
        <f t="shared" si="13"/>
        <v>1.5249752144708693</v>
      </c>
      <c r="AG58" s="396"/>
      <c r="AH58" s="396"/>
      <c r="AI58" s="396"/>
      <c r="AJ58" s="396"/>
      <c r="AK58" s="396"/>
      <c r="AL58" s="396"/>
      <c r="AM58" s="396"/>
      <c r="AN58" s="396"/>
      <c r="AO58" s="396"/>
      <c r="AP58" s="396"/>
      <c r="AQ58" s="396"/>
      <c r="AR58" s="396"/>
      <c r="AS58" s="396"/>
      <c r="AT58" s="396"/>
    </row>
    <row r="59" spans="1:46" x14ac:dyDescent="0.25">
      <c r="A59" s="547"/>
      <c r="B59" s="1400" t="s">
        <v>574</v>
      </c>
      <c r="C59" s="1934" t="s">
        <v>597</v>
      </c>
      <c r="D59" s="1934"/>
      <c r="E59" s="1934" t="s">
        <v>598</v>
      </c>
      <c r="F59" s="1934"/>
      <c r="G59" s="1934" t="s">
        <v>599</v>
      </c>
      <c r="H59" s="1934"/>
      <c r="I59" s="1934" t="s">
        <v>600</v>
      </c>
      <c r="J59" s="1934"/>
      <c r="K59" s="1580" t="s">
        <v>601</v>
      </c>
      <c r="L59" s="1579"/>
      <c r="M59" s="547"/>
      <c r="N59" s="547"/>
      <c r="O59" s="547"/>
      <c r="P59" s="1501"/>
      <c r="Q59" s="1501"/>
      <c r="R59" s="1769" t="s">
        <v>614</v>
      </c>
      <c r="S59" s="1501">
        <v>1</v>
      </c>
      <c r="T59" s="1501">
        <f t="shared" ref="T59:AF67" si="14">S59*(1+S48)</f>
        <v>1.0101602449399893</v>
      </c>
      <c r="U59" s="1501">
        <f t="shared" si="14"/>
        <v>1.022920929474934</v>
      </c>
      <c r="V59" s="1501">
        <f t="shared" si="14"/>
        <v>1.0296156599057082</v>
      </c>
      <c r="W59" s="1501">
        <f t="shared" si="14"/>
        <v>1.0964512745548223</v>
      </c>
      <c r="X59" s="1501">
        <f t="shared" si="14"/>
        <v>1.1761317761716807</v>
      </c>
      <c r="Y59" s="1501">
        <f t="shared" si="14"/>
        <v>1.2427342504501058</v>
      </c>
      <c r="Z59" s="1501">
        <f t="shared" si="14"/>
        <v>1.3310926556571083</v>
      </c>
      <c r="AA59" s="1501">
        <f t="shared" si="14"/>
        <v>1.4176136782748203</v>
      </c>
      <c r="AB59" s="1501">
        <f t="shared" si="14"/>
        <v>1.4694983388996787</v>
      </c>
      <c r="AC59" s="1501">
        <f t="shared" si="14"/>
        <v>1.5317960773302397</v>
      </c>
      <c r="AD59" s="1501">
        <f t="shared" si="14"/>
        <v>1.55118625475357</v>
      </c>
      <c r="AE59" s="1501">
        <f t="shared" si="14"/>
        <v>1.6276584735323554</v>
      </c>
      <c r="AF59" s="1501">
        <f t="shared" si="14"/>
        <v>1.6775729323148627</v>
      </c>
      <c r="AG59" s="396"/>
      <c r="AH59" s="396"/>
      <c r="AI59" s="396"/>
      <c r="AJ59" s="396"/>
      <c r="AK59" s="396"/>
      <c r="AL59" s="396"/>
      <c r="AM59" s="396"/>
      <c r="AN59" s="396"/>
      <c r="AO59" s="396"/>
      <c r="AP59" s="396"/>
      <c r="AQ59" s="396"/>
      <c r="AR59" s="396"/>
      <c r="AS59" s="396"/>
      <c r="AT59" s="396"/>
    </row>
    <row r="60" spans="1:46" x14ac:dyDescent="0.25">
      <c r="A60" s="547"/>
      <c r="B60" s="1401"/>
      <c r="C60" s="1402" t="s">
        <v>602</v>
      </c>
      <c r="D60" s="1402" t="s">
        <v>603</v>
      </c>
      <c r="E60" s="1402" t="s">
        <v>602</v>
      </c>
      <c r="F60" s="1402" t="s">
        <v>603</v>
      </c>
      <c r="G60" s="1402" t="s">
        <v>602</v>
      </c>
      <c r="H60" s="1402" t="s">
        <v>603</v>
      </c>
      <c r="I60" s="1402" t="s">
        <v>602</v>
      </c>
      <c r="J60" s="1402" t="s">
        <v>603</v>
      </c>
      <c r="K60" s="1402" t="s">
        <v>602</v>
      </c>
      <c r="L60" s="1402"/>
      <c r="M60" s="547"/>
      <c r="N60" s="547"/>
      <c r="O60" s="547"/>
      <c r="P60" s="1501"/>
      <c r="Q60" s="1501"/>
      <c r="R60" s="1769" t="s">
        <v>149</v>
      </c>
      <c r="S60" s="1501">
        <v>1</v>
      </c>
      <c r="T60" s="1501">
        <f t="shared" si="14"/>
        <v>1</v>
      </c>
      <c r="U60" s="1501">
        <f t="shared" si="14"/>
        <v>1.0443584967706963</v>
      </c>
      <c r="V60" s="1501">
        <f t="shared" si="14"/>
        <v>1.0793314781086625</v>
      </c>
      <c r="W60" s="1501">
        <f t="shared" si="14"/>
        <v>1.1292960981856668</v>
      </c>
      <c r="X60" s="1501">
        <f t="shared" si="14"/>
        <v>1.1912437238151998</v>
      </c>
      <c r="Y60" s="1501">
        <f t="shared" si="14"/>
        <v>1.313091475110016</v>
      </c>
      <c r="Z60" s="1501">
        <f t="shared" si="14"/>
        <v>1.4438209228110381</v>
      </c>
      <c r="AA60" s="1501">
        <f t="shared" si="14"/>
        <v>1.3454503654378513</v>
      </c>
      <c r="AB60" s="1501">
        <f t="shared" si="14"/>
        <v>1.458541467278994</v>
      </c>
      <c r="AC60" s="1501">
        <f t="shared" si="14"/>
        <v>1.5648265508327881</v>
      </c>
      <c r="AD60" s="1501">
        <f t="shared" si="14"/>
        <v>1.7179138452660698</v>
      </c>
      <c r="AE60" s="1501">
        <f t="shared" si="14"/>
        <v>1.7567936714121315</v>
      </c>
      <c r="AF60" s="1501">
        <f t="shared" si="14"/>
        <v>1.7956188115503395</v>
      </c>
      <c r="AG60" s="396"/>
      <c r="AH60" s="396"/>
      <c r="AI60" s="396"/>
      <c r="AJ60" s="396"/>
      <c r="AK60" s="396"/>
      <c r="AL60" s="396"/>
      <c r="AM60" s="396"/>
      <c r="AN60" s="396"/>
      <c r="AO60" s="396"/>
      <c r="AP60" s="396"/>
      <c r="AQ60" s="396"/>
      <c r="AR60" s="396"/>
      <c r="AS60" s="396"/>
      <c r="AT60" s="396"/>
    </row>
    <row r="61" spans="1:46" ht="36" x14ac:dyDescent="0.25">
      <c r="A61" s="547"/>
      <c r="B61" s="1403" t="s">
        <v>576</v>
      </c>
      <c r="C61" s="1397">
        <v>1.873602696231691E-2</v>
      </c>
      <c r="D61" s="1397">
        <v>1.0160244939989349E-2</v>
      </c>
      <c r="E61" s="1397">
        <v>9.108797210934938E-3</v>
      </c>
      <c r="F61" s="1397">
        <v>1.2632336897897599E-2</v>
      </c>
      <c r="G61" s="1397">
        <v>9.4591026031158876E-3</v>
      </c>
      <c r="H61" s="1397">
        <v>6.5447193794447855E-3</v>
      </c>
      <c r="I61" s="1397">
        <v>4.4404300293176879E-2</v>
      </c>
      <c r="J61" s="1397">
        <v>6.4913168332380256E-2</v>
      </c>
      <c r="K61" s="1397">
        <v>5.8062098914157811E-2</v>
      </c>
      <c r="L61" s="1404"/>
      <c r="M61" s="547"/>
      <c r="N61" s="547"/>
      <c r="O61" s="547"/>
      <c r="P61" s="547"/>
      <c r="Q61" s="547"/>
      <c r="R61" s="1769" t="s">
        <v>588</v>
      </c>
      <c r="S61" s="547">
        <v>1</v>
      </c>
      <c r="T61" s="1501">
        <f t="shared" si="14"/>
        <v>1.0830031645458746</v>
      </c>
      <c r="U61" s="1501">
        <f t="shared" si="14"/>
        <v>1.1189098860234143</v>
      </c>
      <c r="V61" s="1501">
        <f t="shared" si="14"/>
        <v>1.274598585941993</v>
      </c>
      <c r="W61" s="1501">
        <f t="shared" si="14"/>
        <v>1.2421846570198152</v>
      </c>
      <c r="X61" s="1501">
        <f t="shared" si="14"/>
        <v>1.2036165604545792</v>
      </c>
      <c r="Y61" s="1501">
        <f t="shared" si="14"/>
        <v>1.3413117270176207</v>
      </c>
      <c r="Z61" s="1501">
        <f t="shared" si="14"/>
        <v>1.4686884963150255</v>
      </c>
      <c r="AA61" s="1501">
        <f t="shared" si="14"/>
        <v>1.5396615840401395</v>
      </c>
      <c r="AB61" s="1501">
        <f t="shared" si="14"/>
        <v>1.8650079014136476</v>
      </c>
      <c r="AC61" s="1501">
        <f t="shared" si="14"/>
        <v>1.6191744958998697</v>
      </c>
      <c r="AD61" s="1501">
        <f t="shared" si="14"/>
        <v>1.6823686096305472</v>
      </c>
      <c r="AE61" s="1501">
        <f t="shared" si="14"/>
        <v>1.7306307179350187</v>
      </c>
      <c r="AF61" s="1501">
        <f t="shared" si="14"/>
        <v>2.6701193519055768</v>
      </c>
      <c r="AG61" s="396"/>
      <c r="AH61" s="396"/>
      <c r="AI61" s="396"/>
      <c r="AJ61" s="396"/>
      <c r="AK61" s="396"/>
      <c r="AL61" s="396"/>
      <c r="AM61" s="396"/>
      <c r="AN61" s="396"/>
      <c r="AO61" s="396"/>
      <c r="AP61" s="396"/>
      <c r="AQ61" s="396"/>
      <c r="AR61" s="396"/>
      <c r="AS61" s="396"/>
      <c r="AT61" s="396"/>
    </row>
    <row r="62" spans="1:46" ht="23.25" customHeight="1" x14ac:dyDescent="0.25">
      <c r="A62" s="547"/>
      <c r="B62" s="1398" t="s">
        <v>149</v>
      </c>
      <c r="C62" s="1404">
        <v>0.34405834405834401</v>
      </c>
      <c r="D62" s="1405" t="s">
        <v>604</v>
      </c>
      <c r="E62" s="1404">
        <v>4.0935368387547966E-2</v>
      </c>
      <c r="F62" s="1404">
        <v>4.0941830225659226E-2</v>
      </c>
      <c r="G62" s="1397">
        <v>3.2835420218831679E-2</v>
      </c>
      <c r="H62" s="1404">
        <v>3.2829772430213566E-2</v>
      </c>
      <c r="I62" s="1404">
        <v>5.1046557468587217E-2</v>
      </c>
      <c r="J62" s="1404">
        <v>5.1089408812237558E-2</v>
      </c>
      <c r="K62" s="1404">
        <v>5.2455408262192416E-2</v>
      </c>
      <c r="L62" s="1402" t="s">
        <v>603</v>
      </c>
      <c r="M62" s="547"/>
      <c r="N62" s="547"/>
      <c r="O62" s="547"/>
      <c r="P62" s="547"/>
      <c r="Q62" s="547"/>
      <c r="R62" s="1769" t="s">
        <v>231</v>
      </c>
      <c r="S62" s="547">
        <v>1</v>
      </c>
      <c r="T62" s="1501">
        <f t="shared" si="14"/>
        <v>1</v>
      </c>
      <c r="U62" s="1501">
        <f t="shared" si="14"/>
        <v>1</v>
      </c>
      <c r="V62" s="1501">
        <f t="shared" si="14"/>
        <v>1.0039987584829395</v>
      </c>
      <c r="W62" s="1501">
        <f t="shared" si="14"/>
        <v>1.0337291559357029</v>
      </c>
      <c r="X62" s="1501">
        <f t="shared" si="14"/>
        <v>0.96079878662557117</v>
      </c>
      <c r="Y62" s="1501">
        <f t="shared" si="14"/>
        <v>0.97616130562554326</v>
      </c>
      <c r="Z62" s="1501">
        <f t="shared" si="14"/>
        <v>1.0762465302619568</v>
      </c>
      <c r="AA62" s="1501">
        <f t="shared" si="14"/>
        <v>1.0692892901933708</v>
      </c>
      <c r="AB62" s="1501">
        <f t="shared" si="14"/>
        <v>1.1063355140125737</v>
      </c>
      <c r="AC62" s="1501">
        <f t="shared" si="14"/>
        <v>1.1510219542932612</v>
      </c>
      <c r="AD62" s="1501">
        <f t="shared" si="14"/>
        <v>1.2251486889673107</v>
      </c>
      <c r="AE62" s="1501">
        <f t="shared" si="14"/>
        <v>1.2281487105619848</v>
      </c>
      <c r="AF62" s="1501">
        <f t="shared" si="14"/>
        <v>1.106123907571291</v>
      </c>
      <c r="AG62" s="396"/>
      <c r="AH62" s="396"/>
      <c r="AI62" s="396"/>
      <c r="AJ62" s="396"/>
      <c r="AK62" s="396"/>
      <c r="AL62" s="396"/>
      <c r="AM62" s="396"/>
      <c r="AN62" s="396"/>
      <c r="AO62" s="396"/>
      <c r="AP62" s="396"/>
      <c r="AQ62" s="396"/>
      <c r="AR62" s="396"/>
      <c r="AS62" s="396"/>
      <c r="AT62" s="396"/>
    </row>
    <row r="63" spans="1:46" ht="60" x14ac:dyDescent="0.25">
      <c r="A63" s="547"/>
      <c r="B63" s="1398" t="s">
        <v>588</v>
      </c>
      <c r="C63" s="1404">
        <v>8.3003164545874641E-2</v>
      </c>
      <c r="D63" s="1404">
        <v>7.1526917499364462E-2</v>
      </c>
      <c r="E63" s="1404">
        <v>3.3154770598104566E-2</v>
      </c>
      <c r="F63" s="1404">
        <v>4.0117208713358332E-2</v>
      </c>
      <c r="G63" s="1404">
        <v>0.13914319809246978</v>
      </c>
      <c r="H63" s="1404">
        <v>0.13886769311524838</v>
      </c>
      <c r="I63" s="1404">
        <v>-2.5430695812534876E-2</v>
      </c>
      <c r="J63" s="1404">
        <v>-2.535242801273041E-2</v>
      </c>
      <c r="K63" s="1404">
        <v>-3.1048601628816175E-2</v>
      </c>
      <c r="L63" s="1404">
        <v>4.2393881491018082E-2</v>
      </c>
      <c r="M63" s="547"/>
      <c r="N63" s="547"/>
      <c r="O63" s="547"/>
      <c r="P63" s="547"/>
      <c r="Q63" s="547"/>
      <c r="R63" s="1769" t="s">
        <v>591</v>
      </c>
      <c r="S63" s="547">
        <v>1</v>
      </c>
      <c r="T63" s="1501">
        <f t="shared" si="14"/>
        <v>1.0332232747655661</v>
      </c>
      <c r="U63" s="1501">
        <f t="shared" si="14"/>
        <v>1.0572453325709206</v>
      </c>
      <c r="V63" s="1501">
        <f t="shared" si="14"/>
        <v>1.1794501525022827</v>
      </c>
      <c r="W63" s="1501">
        <f t="shared" si="14"/>
        <v>1.2754460903029188</v>
      </c>
      <c r="X63" s="1501">
        <f t="shared" si="14"/>
        <v>1.3746732866158544</v>
      </c>
      <c r="Y63" s="1501">
        <f t="shared" si="14"/>
        <v>1.6101350536133869</v>
      </c>
      <c r="Z63" s="1501">
        <f t="shared" si="14"/>
        <v>1.6607494960571834</v>
      </c>
      <c r="AA63" s="1501">
        <f t="shared" si="14"/>
        <v>2.027321490282505</v>
      </c>
      <c r="AB63" s="1501">
        <f t="shared" si="14"/>
        <v>1.9329205125297464</v>
      </c>
      <c r="AC63" s="1501">
        <f t="shared" si="14"/>
        <v>2.2622873221154944</v>
      </c>
      <c r="AD63" s="1501">
        <f t="shared" si="14"/>
        <v>2.5060063672854915</v>
      </c>
      <c r="AE63" s="1501">
        <f t="shared" si="14"/>
        <v>2.5816343270235214</v>
      </c>
      <c r="AF63" s="1501">
        <f t="shared" si="14"/>
        <v>2.7035491030195353</v>
      </c>
      <c r="AG63" s="396"/>
      <c r="AH63" s="396"/>
      <c r="AI63" s="396"/>
      <c r="AJ63" s="396"/>
      <c r="AK63" s="396"/>
      <c r="AL63" s="396"/>
      <c r="AM63" s="396"/>
      <c r="AN63" s="396"/>
      <c r="AO63" s="396"/>
      <c r="AP63" s="396"/>
      <c r="AQ63" s="396"/>
      <c r="AR63" s="396"/>
      <c r="AS63" s="396"/>
      <c r="AT63" s="396"/>
    </row>
    <row r="64" spans="1:46" x14ac:dyDescent="0.25">
      <c r="A64" s="547"/>
      <c r="B64" s="1398" t="s">
        <v>231</v>
      </c>
      <c r="C64" s="1405" t="s">
        <v>604</v>
      </c>
      <c r="D64" s="1405" t="s">
        <v>604</v>
      </c>
      <c r="E64" s="1405" t="s">
        <v>604</v>
      </c>
      <c r="F64" s="1405" t="s">
        <v>604</v>
      </c>
      <c r="G64" s="1404">
        <v>3.9987584829395129E-3</v>
      </c>
      <c r="H64" s="1405" t="s">
        <v>604</v>
      </c>
      <c r="I64" s="1404">
        <v>2.9611986271463664E-2</v>
      </c>
      <c r="J64" s="1405" t="s">
        <v>604</v>
      </c>
      <c r="K64" s="1404">
        <v>-7.0550751994720717E-2</v>
      </c>
      <c r="L64" s="1404"/>
      <c r="M64" s="547"/>
      <c r="N64" s="547"/>
      <c r="O64" s="547"/>
      <c r="P64" s="547"/>
      <c r="Q64" s="547"/>
      <c r="R64" s="1769" t="s">
        <v>218</v>
      </c>
      <c r="S64" s="547">
        <v>1</v>
      </c>
      <c r="T64" s="1501">
        <f t="shared" si="14"/>
        <v>1.0069124423963134</v>
      </c>
      <c r="U64" s="1501">
        <f t="shared" si="14"/>
        <v>0.99573428625547988</v>
      </c>
      <c r="V64" s="1501">
        <f t="shared" si="14"/>
        <v>0.9705831735365491</v>
      </c>
      <c r="W64" s="1501">
        <f t="shared" si="14"/>
        <v>1.0702370510970329</v>
      </c>
      <c r="X64" s="1501">
        <f t="shared" si="14"/>
        <v>1.1232951498125194</v>
      </c>
      <c r="Y64" s="1501">
        <f t="shared" si="14"/>
        <v>1.1209284926693122</v>
      </c>
      <c r="Z64" s="1501">
        <f t="shared" si="14"/>
        <v>1.1840686442290773</v>
      </c>
      <c r="AA64" s="1501">
        <f t="shared" si="14"/>
        <v>1.216089110618523</v>
      </c>
      <c r="AB64" s="1501">
        <f t="shared" si="14"/>
        <v>1.2132462785340337</v>
      </c>
      <c r="AC64" s="1501">
        <f t="shared" si="14"/>
        <v>1.2460142977236743</v>
      </c>
      <c r="AD64" s="1501">
        <f t="shared" si="14"/>
        <v>1.2460142977236743</v>
      </c>
      <c r="AE64" s="1501">
        <f t="shared" si="14"/>
        <v>1.2030482875286368</v>
      </c>
      <c r="AF64" s="1501">
        <f t="shared" si="14"/>
        <v>1.2493193755105059</v>
      </c>
      <c r="AG64" s="396"/>
      <c r="AH64" s="396"/>
      <c r="AI64" s="396"/>
      <c r="AJ64" s="396"/>
      <c r="AK64" s="396"/>
      <c r="AL64" s="396"/>
      <c r="AM64" s="396"/>
      <c r="AN64" s="396"/>
      <c r="AO64" s="396"/>
      <c r="AP64" s="396"/>
      <c r="AQ64" s="396"/>
      <c r="AR64" s="396"/>
      <c r="AS64" s="396"/>
      <c r="AT64" s="396"/>
    </row>
    <row r="65" spans="1:46" ht="24" x14ac:dyDescent="0.25">
      <c r="A65" s="547"/>
      <c r="B65" s="1398" t="s">
        <v>591</v>
      </c>
      <c r="C65" s="1404">
        <v>3.322327476556608E-2</v>
      </c>
      <c r="D65" s="1405" t="s">
        <v>604</v>
      </c>
      <c r="E65" s="1404">
        <v>2.3249628993118554E-2</v>
      </c>
      <c r="F65" s="1405" t="s">
        <v>604</v>
      </c>
      <c r="G65" s="1404">
        <v>0.11558794933073346</v>
      </c>
      <c r="H65" s="1405" t="s">
        <v>604</v>
      </c>
      <c r="I65" s="1404">
        <v>8.1390415353268075E-2</v>
      </c>
      <c r="J65" s="1405" t="s">
        <v>604</v>
      </c>
      <c r="K65" s="1404">
        <v>7.7798032443197274E-2</v>
      </c>
      <c r="L65" s="1399"/>
      <c r="M65" s="547"/>
      <c r="N65" s="547"/>
      <c r="O65" s="547"/>
      <c r="P65" s="547"/>
      <c r="Q65" s="547"/>
      <c r="R65" s="1769" t="s">
        <v>616</v>
      </c>
      <c r="S65" s="547">
        <v>1</v>
      </c>
      <c r="T65" s="1501">
        <f t="shared" si="14"/>
        <v>1</v>
      </c>
      <c r="U65" s="1501">
        <f t="shared" si="14"/>
        <v>1</v>
      </c>
      <c r="V65" s="1501">
        <f t="shared" si="14"/>
        <v>1</v>
      </c>
      <c r="W65" s="1501">
        <f t="shared" si="14"/>
        <v>1</v>
      </c>
      <c r="X65" s="1501">
        <f t="shared" si="14"/>
        <v>1</v>
      </c>
      <c r="Y65" s="1501">
        <f t="shared" si="14"/>
        <v>1.0454109648451637</v>
      </c>
      <c r="Z65" s="1501">
        <f t="shared" si="14"/>
        <v>1.1292679119447659</v>
      </c>
      <c r="AA65" s="1501">
        <f t="shared" si="14"/>
        <v>1.1820481876434996</v>
      </c>
      <c r="AB65" s="1501">
        <f t="shared" si="14"/>
        <v>1.2205245181940807</v>
      </c>
      <c r="AC65" s="1501">
        <f t="shared" si="14"/>
        <v>1.2546020657493664</v>
      </c>
      <c r="AD65" s="1501">
        <f t="shared" si="14"/>
        <v>1.2552937959070756</v>
      </c>
      <c r="AE65" s="1501">
        <f t="shared" si="14"/>
        <v>1.2127860621125384</v>
      </c>
      <c r="AF65" s="1501">
        <f t="shared" si="14"/>
        <v>1.2599345733557554</v>
      </c>
      <c r="AG65" s="396"/>
      <c r="AH65" s="396"/>
      <c r="AI65" s="396"/>
      <c r="AJ65" s="396"/>
      <c r="AK65" s="396"/>
      <c r="AL65" s="396"/>
      <c r="AM65" s="396"/>
      <c r="AN65" s="396"/>
      <c r="AO65" s="396"/>
      <c r="AP65" s="396"/>
      <c r="AQ65" s="396"/>
      <c r="AR65" s="396"/>
      <c r="AS65" s="396"/>
      <c r="AT65" s="396"/>
    </row>
    <row r="66" spans="1:46" x14ac:dyDescent="0.25">
      <c r="A66" s="547"/>
      <c r="B66" s="1398" t="s">
        <v>218</v>
      </c>
      <c r="C66" s="1404">
        <v>6.9124423963133896E-3</v>
      </c>
      <c r="D66" s="1405" t="s">
        <v>604</v>
      </c>
      <c r="E66" s="1404">
        <v>-1.1101418226823201E-2</v>
      </c>
      <c r="F66" s="1405" t="s">
        <v>604</v>
      </c>
      <c r="G66" s="1404">
        <v>-2.5258859784283549E-2</v>
      </c>
      <c r="H66" s="1405" t="s">
        <v>604</v>
      </c>
      <c r="I66" s="1404">
        <v>0.10267422749291177</v>
      </c>
      <c r="J66" s="1405" t="s">
        <v>604</v>
      </c>
      <c r="K66" s="1404">
        <v>4.9576024919993245E-2</v>
      </c>
      <c r="L66" s="1405" t="s">
        <v>604</v>
      </c>
      <c r="M66" s="547"/>
      <c r="N66" s="547"/>
      <c r="O66" s="547"/>
      <c r="P66" s="547"/>
      <c r="Q66" s="547"/>
      <c r="R66" s="1769" t="s">
        <v>136</v>
      </c>
      <c r="S66" s="547">
        <v>1</v>
      </c>
      <c r="T66" s="1501">
        <f t="shared" si="14"/>
        <v>1.0502956866035564</v>
      </c>
      <c r="U66" s="1501">
        <f t="shared" si="14"/>
        <v>1.1162859276909116</v>
      </c>
      <c r="V66" s="1501">
        <f t="shared" si="14"/>
        <v>1.2002269926736258</v>
      </c>
      <c r="W66" s="1501">
        <f t="shared" si="14"/>
        <v>1.2936741455066179</v>
      </c>
      <c r="X66" s="1501">
        <f t="shared" si="14"/>
        <v>1.3944103037450177</v>
      </c>
      <c r="Y66" s="1501">
        <f t="shared" si="14"/>
        <v>1.5017637106707791</v>
      </c>
      <c r="Z66" s="1501">
        <f t="shared" si="14"/>
        <v>1.622226690567373</v>
      </c>
      <c r="AA66" s="1501">
        <f t="shared" si="14"/>
        <v>1.7182112798340019</v>
      </c>
      <c r="AB66" s="1501">
        <f t="shared" si="14"/>
        <v>1.8334137163776631</v>
      </c>
      <c r="AC66" s="1501">
        <f t="shared" si="14"/>
        <v>1.9499286954114574</v>
      </c>
      <c r="AD66" s="1501">
        <f t="shared" si="14"/>
        <v>2.0850277161598032</v>
      </c>
      <c r="AE66" s="1501">
        <f t="shared" si="14"/>
        <v>2.1842935598626143</v>
      </c>
      <c r="AF66" s="1501">
        <f t="shared" si="14"/>
        <v>2.2574584878946853</v>
      </c>
      <c r="AG66" s="396"/>
      <c r="AH66" s="396"/>
      <c r="AI66" s="396"/>
      <c r="AJ66" s="396"/>
      <c r="AK66" s="396"/>
      <c r="AL66" s="396"/>
      <c r="AM66" s="396"/>
      <c r="AN66" s="396"/>
      <c r="AO66" s="396"/>
      <c r="AP66" s="396"/>
      <c r="AQ66" s="396"/>
      <c r="AR66" s="396"/>
      <c r="AS66" s="396"/>
      <c r="AT66" s="396"/>
    </row>
    <row r="67" spans="1:46" ht="24" x14ac:dyDescent="0.25">
      <c r="A67" s="547"/>
      <c r="B67" s="1398" t="s">
        <v>136</v>
      </c>
      <c r="C67" s="1404">
        <v>5.0295686603556433E-2</v>
      </c>
      <c r="D67" s="1405" t="s">
        <v>604</v>
      </c>
      <c r="E67" s="1404">
        <v>6.2830155287749712E-2</v>
      </c>
      <c r="F67" s="1405" t="s">
        <v>604</v>
      </c>
      <c r="G67" s="1404">
        <v>7.5196742071585554E-2</v>
      </c>
      <c r="H67" s="1405" t="s">
        <v>604</v>
      </c>
      <c r="I67" s="1406">
        <v>7.7857899716810453E-2</v>
      </c>
      <c r="J67" s="1405" t="s">
        <v>604</v>
      </c>
      <c r="K67" s="1406">
        <v>7.7868262721560777E-2</v>
      </c>
      <c r="L67" s="1405" t="s">
        <v>604</v>
      </c>
      <c r="M67" s="547"/>
      <c r="N67" s="547"/>
      <c r="O67" s="547"/>
      <c r="P67" s="547"/>
      <c r="Q67" s="547"/>
      <c r="R67" s="1769" t="s">
        <v>617</v>
      </c>
      <c r="S67" s="547">
        <v>1</v>
      </c>
      <c r="T67" s="1501">
        <f t="shared" si="14"/>
        <v>1.0222316493100925</v>
      </c>
      <c r="U67" s="1501">
        <f t="shared" si="14"/>
        <v>1.0453092244046749</v>
      </c>
      <c r="V67" s="1501">
        <f t="shared" si="14"/>
        <v>1.0844485039914196</v>
      </c>
      <c r="W67" s="1501">
        <f t="shared" si="14"/>
        <v>1.1471494312269173</v>
      </c>
      <c r="X67" s="1501">
        <f t="shared" si="14"/>
        <v>1.2036652983287133</v>
      </c>
      <c r="Y67" s="1501">
        <f t="shared" si="14"/>
        <v>1.2812149937088639</v>
      </c>
      <c r="Z67" s="1501">
        <f t="shared" si="14"/>
        <v>1.3723196820993691</v>
      </c>
      <c r="AA67" s="1501">
        <f t="shared" si="14"/>
        <v>1.461488577372525</v>
      </c>
      <c r="AB67" s="1501">
        <f t="shared" si="14"/>
        <v>1.5149104304678511</v>
      </c>
      <c r="AC67" s="1501">
        <f t="shared" si="14"/>
        <v>1.6017602454465731</v>
      </c>
      <c r="AD67" s="1501">
        <f t="shared" si="14"/>
        <v>1.6676406443417906</v>
      </c>
      <c r="AE67" s="1501">
        <f t="shared" si="14"/>
        <v>1.7439318685391387</v>
      </c>
      <c r="AF67" s="1501">
        <f t="shared" si="14"/>
        <v>1.7989232721497834</v>
      </c>
      <c r="AG67" s="396"/>
      <c r="AH67" s="396"/>
      <c r="AI67" s="396"/>
      <c r="AJ67" s="396"/>
      <c r="AK67" s="396"/>
      <c r="AL67" s="396"/>
      <c r="AM67" s="396"/>
      <c r="AN67" s="396"/>
      <c r="AO67" s="396"/>
      <c r="AP67" s="396"/>
      <c r="AQ67" s="396"/>
      <c r="AR67" s="396"/>
      <c r="AS67" s="396"/>
      <c r="AT67" s="396"/>
    </row>
    <row r="68" spans="1:46" x14ac:dyDescent="0.25">
      <c r="A68" s="547"/>
      <c r="B68" s="1398"/>
      <c r="C68" s="1401"/>
      <c r="D68" s="1401"/>
      <c r="E68" s="1401"/>
      <c r="F68" s="1401"/>
      <c r="G68" s="1401"/>
      <c r="H68" s="1401"/>
      <c r="I68" s="1401"/>
      <c r="J68" s="1401"/>
      <c r="K68" s="1401"/>
      <c r="L68" s="1404">
        <v>2.792041212388563E-2</v>
      </c>
      <c r="M68" s="547"/>
      <c r="N68" s="547"/>
      <c r="O68" s="547"/>
      <c r="P68" s="547"/>
      <c r="Q68" s="547"/>
      <c r="R68" s="547"/>
      <c r="S68" s="547"/>
      <c r="T68" s="547"/>
      <c r="U68" s="547"/>
      <c r="V68" s="547"/>
      <c r="W68" s="547"/>
      <c r="X68" s="547"/>
      <c r="Y68" s="547"/>
      <c r="Z68" s="396"/>
      <c r="AA68" s="396"/>
      <c r="AB68" s="396"/>
      <c r="AC68" s="396"/>
      <c r="AD68" s="396"/>
      <c r="AE68" s="396"/>
      <c r="AF68" s="396"/>
      <c r="AG68" s="396"/>
      <c r="AH68" s="396"/>
      <c r="AI68" s="396"/>
      <c r="AJ68" s="396"/>
      <c r="AK68" s="396"/>
      <c r="AL68" s="396"/>
      <c r="AM68" s="396"/>
      <c r="AN68" s="396"/>
      <c r="AO68" s="396"/>
      <c r="AP68" s="396"/>
      <c r="AQ68" s="396"/>
      <c r="AR68" s="396"/>
      <c r="AS68" s="396"/>
      <c r="AT68" s="396"/>
    </row>
    <row r="69" spans="1:46" ht="23.25" customHeight="1" x14ac:dyDescent="0.25">
      <c r="A69" s="547"/>
      <c r="B69" s="1398" t="s">
        <v>605</v>
      </c>
      <c r="C69" s="1397">
        <v>2.6141586544053297E-2</v>
      </c>
      <c r="D69" s="1397">
        <v>2.2231649310092472E-2</v>
      </c>
      <c r="E69" s="1397">
        <v>2.1106339642627425E-2</v>
      </c>
      <c r="F69" s="1397">
        <v>2.2575680483144511E-2</v>
      </c>
      <c r="G69" s="1404">
        <v>3.8510808202477653E-2</v>
      </c>
      <c r="H69" s="1397">
        <v>3.7442776427267566E-2</v>
      </c>
      <c r="I69" s="1404">
        <v>5.2555402934154394E-2</v>
      </c>
      <c r="J69" s="1397">
        <v>5.9779005624033266E-2</v>
      </c>
      <c r="K69" s="1404">
        <v>4.4349747293614739E-2</v>
      </c>
      <c r="L69" s="1405" t="s">
        <v>604</v>
      </c>
      <c r="M69" s="547"/>
      <c r="N69" s="547"/>
      <c r="O69" s="547"/>
      <c r="P69" s="547"/>
      <c r="Q69" s="547"/>
      <c r="R69" s="547"/>
      <c r="S69" s="547"/>
      <c r="T69" s="547"/>
      <c r="U69" s="547"/>
      <c r="V69" s="547"/>
      <c r="W69" s="547"/>
      <c r="X69" s="547"/>
      <c r="Y69" s="547"/>
      <c r="Z69" s="396"/>
      <c r="AA69" s="396"/>
      <c r="AB69" s="396"/>
      <c r="AC69" s="396"/>
      <c r="AD69" s="396"/>
      <c r="AE69" s="396"/>
      <c r="AF69" s="396"/>
      <c r="AG69" s="396"/>
      <c r="AH69" s="396"/>
      <c r="AI69" s="396"/>
      <c r="AJ69" s="396"/>
      <c r="AK69" s="396"/>
      <c r="AL69" s="396"/>
      <c r="AM69" s="396"/>
      <c r="AN69" s="396"/>
      <c r="AO69" s="396"/>
      <c r="AP69" s="396"/>
      <c r="AQ69" s="396"/>
      <c r="AR69" s="396"/>
      <c r="AS69" s="396"/>
      <c r="AT69" s="396"/>
    </row>
    <row r="70" spans="1:46" x14ac:dyDescent="0.25">
      <c r="A70" s="547"/>
      <c r="B70" s="1398"/>
      <c r="C70" s="1397"/>
      <c r="D70" s="1397"/>
      <c r="E70" s="1397"/>
      <c r="F70" s="1397"/>
      <c r="G70" s="1404"/>
      <c r="H70" s="1397"/>
      <c r="I70" s="1404"/>
      <c r="J70" s="1397"/>
      <c r="K70" s="1404"/>
      <c r="L70" s="1401"/>
      <c r="M70" s="547"/>
      <c r="N70" s="547"/>
      <c r="O70" s="547"/>
      <c r="P70" s="547"/>
      <c r="Q70" s="547"/>
      <c r="R70" s="1769" t="s">
        <v>231</v>
      </c>
      <c r="S70" s="547">
        <f>IF($J$29=TRUE,S62,"")</f>
        <v>1</v>
      </c>
      <c r="T70" s="547">
        <f t="shared" ref="T70:AF70" si="15">IF($J$29=TRUE,T62,"")</f>
        <v>1</v>
      </c>
      <c r="U70" s="547">
        <f t="shared" si="15"/>
        <v>1</v>
      </c>
      <c r="V70" s="547">
        <f t="shared" si="15"/>
        <v>1.0039987584829395</v>
      </c>
      <c r="W70" s="547">
        <f t="shared" si="15"/>
        <v>1.0337291559357029</v>
      </c>
      <c r="X70" s="547">
        <f t="shared" si="15"/>
        <v>0.96079878662557117</v>
      </c>
      <c r="Y70" s="547">
        <f t="shared" si="15"/>
        <v>0.97616130562554326</v>
      </c>
      <c r="Z70" s="547">
        <f t="shared" si="15"/>
        <v>1.0762465302619568</v>
      </c>
      <c r="AA70" s="547">
        <f t="shared" si="15"/>
        <v>1.0692892901933708</v>
      </c>
      <c r="AB70" s="547">
        <f t="shared" si="15"/>
        <v>1.1063355140125737</v>
      </c>
      <c r="AC70" s="547">
        <f t="shared" si="15"/>
        <v>1.1510219542932612</v>
      </c>
      <c r="AD70" s="547">
        <f t="shared" si="15"/>
        <v>1.2251486889673107</v>
      </c>
      <c r="AE70" s="547">
        <f t="shared" si="15"/>
        <v>1.2281487105619848</v>
      </c>
      <c r="AF70" s="547">
        <f t="shared" si="15"/>
        <v>1.106123907571291</v>
      </c>
      <c r="AG70" s="396"/>
      <c r="AH70" s="396"/>
      <c r="AI70" s="396"/>
      <c r="AJ70" s="396"/>
      <c r="AK70" s="396"/>
      <c r="AL70" s="396"/>
      <c r="AM70" s="396"/>
      <c r="AN70" s="396"/>
      <c r="AO70" s="396"/>
      <c r="AP70" s="396"/>
      <c r="AQ70" s="396"/>
      <c r="AR70" s="396"/>
      <c r="AS70" s="396"/>
      <c r="AT70" s="396"/>
    </row>
    <row r="71" spans="1:46" x14ac:dyDescent="0.25">
      <c r="A71" s="547"/>
      <c r="B71" s="1398"/>
      <c r="C71" s="1397"/>
      <c r="D71" s="1397"/>
      <c r="E71" s="1397"/>
      <c r="F71" s="1397"/>
      <c r="G71" s="1404"/>
      <c r="H71" s="1397"/>
      <c r="I71" s="1404"/>
      <c r="J71" s="1397"/>
      <c r="K71" s="1399"/>
      <c r="L71" s="1404">
        <v>5.7299999999999997E-2</v>
      </c>
      <c r="M71" s="547"/>
      <c r="N71" s="547"/>
      <c r="O71" s="547"/>
      <c r="P71" s="547"/>
      <c r="Q71" s="547"/>
      <c r="R71" s="547" t="s">
        <v>805</v>
      </c>
      <c r="S71" s="547">
        <f>IF($J$26=TRUE,S59,"")</f>
        <v>1</v>
      </c>
      <c r="T71" s="547">
        <f t="shared" ref="T71:AF71" si="16">IF($J$26=TRUE,T59,"")</f>
        <v>1.0101602449399893</v>
      </c>
      <c r="U71" s="547">
        <f t="shared" si="16"/>
        <v>1.022920929474934</v>
      </c>
      <c r="V71" s="547">
        <f t="shared" si="16"/>
        <v>1.0296156599057082</v>
      </c>
      <c r="W71" s="547">
        <f t="shared" si="16"/>
        <v>1.0964512745548223</v>
      </c>
      <c r="X71" s="547">
        <f t="shared" si="16"/>
        <v>1.1761317761716807</v>
      </c>
      <c r="Y71" s="547">
        <f t="shared" si="16"/>
        <v>1.2427342504501058</v>
      </c>
      <c r="Z71" s="547">
        <f t="shared" si="16"/>
        <v>1.3310926556571083</v>
      </c>
      <c r="AA71" s="547">
        <f t="shared" si="16"/>
        <v>1.4176136782748203</v>
      </c>
      <c r="AB71" s="547">
        <f t="shared" si="16"/>
        <v>1.4694983388996787</v>
      </c>
      <c r="AC71" s="547">
        <f t="shared" si="16"/>
        <v>1.5317960773302397</v>
      </c>
      <c r="AD71" s="547">
        <f t="shared" si="16"/>
        <v>1.55118625475357</v>
      </c>
      <c r="AE71" s="547">
        <f t="shared" si="16"/>
        <v>1.6276584735323554</v>
      </c>
      <c r="AF71" s="547">
        <f t="shared" si="16"/>
        <v>1.6775729323148627</v>
      </c>
      <c r="AG71" s="396"/>
      <c r="AH71" s="396"/>
      <c r="AI71" s="396"/>
      <c r="AJ71" s="396"/>
      <c r="AK71" s="396"/>
      <c r="AL71" s="396"/>
      <c r="AM71" s="396"/>
      <c r="AN71" s="396"/>
      <c r="AO71" s="396"/>
      <c r="AP71" s="396"/>
      <c r="AQ71" s="396"/>
      <c r="AR71" s="396"/>
      <c r="AS71" s="396"/>
      <c r="AT71" s="396"/>
    </row>
    <row r="72" spans="1:46" x14ac:dyDescent="0.25">
      <c r="A72" s="547"/>
      <c r="B72" s="1398"/>
      <c r="C72" s="1399"/>
      <c r="D72" s="1399"/>
      <c r="E72" s="1399"/>
      <c r="F72" s="1399"/>
      <c r="G72" s="1399"/>
      <c r="H72" s="1399"/>
      <c r="I72" s="1399"/>
      <c r="J72" s="1399"/>
      <c r="K72" s="1579"/>
      <c r="L72" s="1399"/>
      <c r="M72" s="547"/>
      <c r="N72" s="547"/>
      <c r="O72" s="547"/>
      <c r="P72" s="547"/>
      <c r="Q72" s="547"/>
      <c r="R72" s="547" t="s">
        <v>781</v>
      </c>
      <c r="S72" s="547">
        <f>IF($J$31=TRUE,S64,"")</f>
        <v>1</v>
      </c>
      <c r="T72" s="547">
        <f t="shared" ref="T72:AF72" si="17">IF($J$31=TRUE,T64,"")</f>
        <v>1.0069124423963134</v>
      </c>
      <c r="U72" s="547">
        <f t="shared" si="17"/>
        <v>0.99573428625547988</v>
      </c>
      <c r="V72" s="547">
        <f t="shared" si="17"/>
        <v>0.9705831735365491</v>
      </c>
      <c r="W72" s="547">
        <f t="shared" si="17"/>
        <v>1.0702370510970329</v>
      </c>
      <c r="X72" s="547">
        <f t="shared" si="17"/>
        <v>1.1232951498125194</v>
      </c>
      <c r="Y72" s="547">
        <f t="shared" si="17"/>
        <v>1.1209284926693122</v>
      </c>
      <c r="Z72" s="547">
        <f t="shared" si="17"/>
        <v>1.1840686442290773</v>
      </c>
      <c r="AA72" s="547">
        <f t="shared" si="17"/>
        <v>1.216089110618523</v>
      </c>
      <c r="AB72" s="547">
        <f t="shared" si="17"/>
        <v>1.2132462785340337</v>
      </c>
      <c r="AC72" s="547">
        <f t="shared" si="17"/>
        <v>1.2460142977236743</v>
      </c>
      <c r="AD72" s="547">
        <f t="shared" si="17"/>
        <v>1.2460142977236743</v>
      </c>
      <c r="AE72" s="547">
        <f t="shared" si="17"/>
        <v>1.2030482875286368</v>
      </c>
      <c r="AF72" s="547">
        <f t="shared" si="17"/>
        <v>1.2493193755105059</v>
      </c>
      <c r="AG72" s="396"/>
      <c r="AH72" s="396"/>
      <c r="AI72" s="396"/>
      <c r="AJ72" s="396"/>
      <c r="AK72" s="396"/>
      <c r="AL72" s="396"/>
      <c r="AM72" s="396"/>
      <c r="AN72" s="396"/>
      <c r="AO72" s="396"/>
      <c r="AP72" s="396"/>
      <c r="AQ72" s="396"/>
      <c r="AR72" s="396"/>
      <c r="AS72" s="396"/>
      <c r="AT72" s="396"/>
    </row>
    <row r="73" spans="1:46" ht="36" x14ac:dyDescent="0.25">
      <c r="A73" s="547"/>
      <c r="B73" s="1400" t="s">
        <v>574</v>
      </c>
      <c r="C73" s="1934" t="s">
        <v>606</v>
      </c>
      <c r="D73" s="1934"/>
      <c r="E73" s="1934" t="s">
        <v>607</v>
      </c>
      <c r="F73" s="1934"/>
      <c r="G73" s="1934" t="s">
        <v>608</v>
      </c>
      <c r="H73" s="1934"/>
      <c r="I73" s="1934" t="s">
        <v>609</v>
      </c>
      <c r="J73" s="1934"/>
      <c r="K73" s="1579" t="s">
        <v>610</v>
      </c>
      <c r="L73" s="1399"/>
      <c r="M73" s="547"/>
      <c r="N73" s="547"/>
      <c r="O73" s="547"/>
      <c r="P73" s="547"/>
      <c r="Q73" s="547"/>
      <c r="R73" s="1769" t="s">
        <v>588</v>
      </c>
      <c r="S73" s="547">
        <f>IF($J$28=TRUE,S61,"")</f>
        <v>1</v>
      </c>
      <c r="T73" s="547">
        <f t="shared" ref="T73:AE73" si="18">IF($J$28=TRUE,T61,"")</f>
        <v>1.0830031645458746</v>
      </c>
      <c r="U73" s="547">
        <f t="shared" si="18"/>
        <v>1.1189098860234143</v>
      </c>
      <c r="V73" s="547">
        <f t="shared" si="18"/>
        <v>1.274598585941993</v>
      </c>
      <c r="W73" s="547">
        <f t="shared" si="18"/>
        <v>1.2421846570198152</v>
      </c>
      <c r="X73" s="547">
        <f t="shared" si="18"/>
        <v>1.2036165604545792</v>
      </c>
      <c r="Y73" s="547">
        <f t="shared" si="18"/>
        <v>1.3413117270176207</v>
      </c>
      <c r="Z73" s="547">
        <f t="shared" si="18"/>
        <v>1.4686884963150255</v>
      </c>
      <c r="AA73" s="547">
        <f t="shared" si="18"/>
        <v>1.5396615840401395</v>
      </c>
      <c r="AB73" s="547">
        <f t="shared" si="18"/>
        <v>1.8650079014136476</v>
      </c>
      <c r="AC73" s="547">
        <f t="shared" si="18"/>
        <v>1.6191744958998697</v>
      </c>
      <c r="AD73" s="547">
        <f t="shared" si="18"/>
        <v>1.6823686096305472</v>
      </c>
      <c r="AE73" s="547">
        <f t="shared" si="18"/>
        <v>1.7306307179350187</v>
      </c>
      <c r="AF73" s="547"/>
      <c r="AG73" s="396"/>
      <c r="AH73" s="396"/>
      <c r="AI73" s="396"/>
      <c r="AJ73" s="396"/>
      <c r="AK73" s="396"/>
      <c r="AL73" s="396"/>
      <c r="AM73" s="396"/>
      <c r="AN73" s="396"/>
      <c r="AO73" s="396"/>
      <c r="AP73" s="396"/>
      <c r="AQ73" s="396"/>
      <c r="AR73" s="396"/>
      <c r="AS73" s="396"/>
      <c r="AT73" s="396"/>
    </row>
    <row r="74" spans="1:46" x14ac:dyDescent="0.25">
      <c r="A74" s="547"/>
      <c r="B74" s="1398"/>
      <c r="C74" s="1402" t="s">
        <v>602</v>
      </c>
      <c r="D74" s="1402" t="s">
        <v>603</v>
      </c>
      <c r="E74" s="1402" t="s">
        <v>602</v>
      </c>
      <c r="F74" s="1402" t="s">
        <v>603</v>
      </c>
      <c r="G74" s="1402" t="s">
        <v>602</v>
      </c>
      <c r="H74" s="1402" t="s">
        <v>603</v>
      </c>
      <c r="I74" s="1402" t="s">
        <v>602</v>
      </c>
      <c r="J74" s="1402" t="s">
        <v>603</v>
      </c>
      <c r="K74" s="1402" t="s">
        <v>602</v>
      </c>
      <c r="L74" s="1401"/>
      <c r="M74" s="547"/>
      <c r="N74" s="547"/>
      <c r="O74" s="547"/>
      <c r="P74" s="547"/>
      <c r="Q74" s="547"/>
      <c r="R74" s="547" t="s">
        <v>48</v>
      </c>
      <c r="S74" s="547">
        <f>IF($J$32=TRUE, S67,"")</f>
        <v>1</v>
      </c>
      <c r="T74" s="547">
        <f t="shared" ref="T74:AF74" si="19">IF($J$32=TRUE, T67,"")</f>
        <v>1.0222316493100925</v>
      </c>
      <c r="U74" s="547">
        <f t="shared" si="19"/>
        <v>1.0453092244046749</v>
      </c>
      <c r="V74" s="547">
        <f t="shared" si="19"/>
        <v>1.0844485039914196</v>
      </c>
      <c r="W74" s="547">
        <f t="shared" si="19"/>
        <v>1.1471494312269173</v>
      </c>
      <c r="X74" s="547">
        <f t="shared" si="19"/>
        <v>1.2036652983287133</v>
      </c>
      <c r="Y74" s="547">
        <f t="shared" si="19"/>
        <v>1.2812149937088639</v>
      </c>
      <c r="Z74" s="547">
        <f t="shared" si="19"/>
        <v>1.3723196820993691</v>
      </c>
      <c r="AA74" s="547">
        <f t="shared" si="19"/>
        <v>1.461488577372525</v>
      </c>
      <c r="AB74" s="547">
        <f t="shared" si="19"/>
        <v>1.5149104304678511</v>
      </c>
      <c r="AC74" s="547">
        <f t="shared" si="19"/>
        <v>1.6017602454465731</v>
      </c>
      <c r="AD74" s="547">
        <f t="shared" si="19"/>
        <v>1.6676406443417906</v>
      </c>
      <c r="AE74" s="547">
        <f t="shared" si="19"/>
        <v>1.7439318685391387</v>
      </c>
      <c r="AF74" s="547">
        <f t="shared" si="19"/>
        <v>1.7989232721497834</v>
      </c>
      <c r="AG74" s="396"/>
      <c r="AH74" s="396"/>
      <c r="AI74" s="396"/>
      <c r="AJ74" s="396"/>
      <c r="AK74" s="396"/>
      <c r="AL74" s="396"/>
      <c r="AM74" s="396"/>
      <c r="AN74" s="396"/>
      <c r="AO74" s="396"/>
      <c r="AP74" s="396"/>
      <c r="AQ74" s="396"/>
      <c r="AR74" s="396"/>
      <c r="AS74" s="396"/>
      <c r="AT74" s="396"/>
    </row>
    <row r="75" spans="1:46" x14ac:dyDescent="0.25">
      <c r="A75" s="547"/>
      <c r="B75" s="1398" t="s">
        <v>576</v>
      </c>
      <c r="C75" s="1397">
        <v>2.5616856205384897E-2</v>
      </c>
      <c r="D75" s="1397">
        <v>5.6628411567296144E-2</v>
      </c>
      <c r="E75" s="1397">
        <v>5.4807702853551854E-2</v>
      </c>
      <c r="F75" s="1397">
        <v>7.4830090932752835E-2</v>
      </c>
      <c r="G75" s="1397">
        <v>2.8043645772247716E-2</v>
      </c>
      <c r="H75" s="1397">
        <v>4.8796547606567264E-2</v>
      </c>
      <c r="I75" s="1397">
        <v>4.1873879162783068E-2</v>
      </c>
      <c r="J75" s="1404">
        <v>5.1397782208088882E-2</v>
      </c>
      <c r="K75" s="1404">
        <v>3.0685314279900178E-2</v>
      </c>
      <c r="L75" s="1399"/>
      <c r="M75" s="547"/>
      <c r="N75" s="547"/>
      <c r="O75" s="547"/>
      <c r="P75" s="547"/>
      <c r="Q75" s="547"/>
      <c r="R75" s="547" t="s">
        <v>806</v>
      </c>
      <c r="S75" s="547">
        <f>IF($J$33=TRUE,S66,"")</f>
        <v>1</v>
      </c>
      <c r="T75" s="547">
        <f t="shared" ref="T75:AF75" si="20">IF($J$33=TRUE,T66,"")</f>
        <v>1.0502956866035564</v>
      </c>
      <c r="U75" s="547">
        <f t="shared" si="20"/>
        <v>1.1162859276909116</v>
      </c>
      <c r="V75" s="547">
        <f t="shared" si="20"/>
        <v>1.2002269926736258</v>
      </c>
      <c r="W75" s="547">
        <f t="shared" si="20"/>
        <v>1.2936741455066179</v>
      </c>
      <c r="X75" s="547">
        <f t="shared" si="20"/>
        <v>1.3944103037450177</v>
      </c>
      <c r="Y75" s="547">
        <f t="shared" si="20"/>
        <v>1.5017637106707791</v>
      </c>
      <c r="Z75" s="547">
        <f t="shared" si="20"/>
        <v>1.622226690567373</v>
      </c>
      <c r="AA75" s="547">
        <f t="shared" si="20"/>
        <v>1.7182112798340019</v>
      </c>
      <c r="AB75" s="547">
        <f t="shared" si="20"/>
        <v>1.8334137163776631</v>
      </c>
      <c r="AC75" s="547">
        <f t="shared" si="20"/>
        <v>1.9499286954114574</v>
      </c>
      <c r="AD75" s="547">
        <f t="shared" si="20"/>
        <v>2.0850277161598032</v>
      </c>
      <c r="AE75" s="547">
        <f t="shared" si="20"/>
        <v>2.1842935598626143</v>
      </c>
      <c r="AF75" s="547">
        <f t="shared" si="20"/>
        <v>2.2574584878946853</v>
      </c>
      <c r="AG75" s="396"/>
      <c r="AH75" s="396"/>
      <c r="AI75" s="396"/>
      <c r="AJ75" s="396"/>
      <c r="AK75" s="396"/>
      <c r="AL75" s="396"/>
      <c r="AM75" s="396"/>
      <c r="AN75" s="396"/>
      <c r="AO75" s="396"/>
      <c r="AP75" s="396"/>
      <c r="AQ75" s="396"/>
      <c r="AR75" s="396"/>
      <c r="AS75" s="396"/>
      <c r="AT75" s="396"/>
    </row>
    <row r="76" spans="1:46" ht="23.25" customHeight="1" x14ac:dyDescent="0.25">
      <c r="A76" s="547"/>
      <c r="B76" s="1398" t="s">
        <v>149</v>
      </c>
      <c r="C76" s="1397">
        <v>0.10142546919528872</v>
      </c>
      <c r="D76" s="1397">
        <v>0.10228616433299975</v>
      </c>
      <c r="E76" s="1404">
        <v>9.8719895811427483E-2</v>
      </c>
      <c r="F76" s="1397">
        <v>9.955852290494005E-2</v>
      </c>
      <c r="G76" s="1397">
        <v>-6.8552823741646063E-2</v>
      </c>
      <c r="H76" s="1397">
        <v>-6.8132104071234045E-2</v>
      </c>
      <c r="I76" s="1404">
        <v>8.1592493501527752E-2</v>
      </c>
      <c r="J76" s="1404">
        <v>8.4054458452162528E-2</v>
      </c>
      <c r="K76" s="1404">
        <v>7.2870800000000013E-2</v>
      </c>
      <c r="L76" s="1399"/>
      <c r="M76" s="547"/>
      <c r="N76" s="547"/>
      <c r="O76" s="547"/>
      <c r="P76" s="547"/>
      <c r="Q76" s="547"/>
      <c r="R76" s="547" t="s">
        <v>149</v>
      </c>
      <c r="S76" s="547">
        <f>IF($J$27=TRUE,S60,"")</f>
        <v>1</v>
      </c>
      <c r="T76" s="547">
        <f t="shared" ref="T76:AF76" si="21">IF($J$27=TRUE,T60,"")</f>
        <v>1</v>
      </c>
      <c r="U76" s="547">
        <f t="shared" si="21"/>
        <v>1.0443584967706963</v>
      </c>
      <c r="V76" s="547">
        <f t="shared" si="21"/>
        <v>1.0793314781086625</v>
      </c>
      <c r="W76" s="547">
        <f t="shared" si="21"/>
        <v>1.1292960981856668</v>
      </c>
      <c r="X76" s="547">
        <f t="shared" si="21"/>
        <v>1.1912437238151998</v>
      </c>
      <c r="Y76" s="547">
        <f t="shared" si="21"/>
        <v>1.313091475110016</v>
      </c>
      <c r="Z76" s="547">
        <f t="shared" si="21"/>
        <v>1.4438209228110381</v>
      </c>
      <c r="AA76" s="547">
        <f t="shared" si="21"/>
        <v>1.3454503654378513</v>
      </c>
      <c r="AB76" s="547">
        <f t="shared" si="21"/>
        <v>1.458541467278994</v>
      </c>
      <c r="AC76" s="547">
        <f t="shared" si="21"/>
        <v>1.5648265508327881</v>
      </c>
      <c r="AD76" s="547">
        <f t="shared" si="21"/>
        <v>1.7179138452660698</v>
      </c>
      <c r="AE76" s="547">
        <f t="shared" si="21"/>
        <v>1.7567936714121315</v>
      </c>
      <c r="AF76" s="547">
        <f t="shared" si="21"/>
        <v>1.7956188115503395</v>
      </c>
      <c r="AG76" s="396"/>
      <c r="AH76" s="396"/>
      <c r="AI76" s="396"/>
      <c r="AJ76" s="396"/>
      <c r="AK76" s="396"/>
      <c r="AL76" s="396"/>
      <c r="AM76" s="396"/>
      <c r="AN76" s="396"/>
      <c r="AO76" s="396"/>
      <c r="AP76" s="396"/>
      <c r="AQ76" s="396"/>
      <c r="AR76" s="396"/>
      <c r="AS76" s="396"/>
      <c r="AT76" s="396"/>
    </row>
    <row r="77" spans="1:46" ht="60" x14ac:dyDescent="0.25">
      <c r="A77" s="547"/>
      <c r="B77" s="1398" t="s">
        <v>588</v>
      </c>
      <c r="C77" s="1397">
        <v>0.11440118978675162</v>
      </c>
      <c r="D77" s="1397">
        <v>0.11831101204632977</v>
      </c>
      <c r="E77" s="1397">
        <v>9.4964329865828034E-2</v>
      </c>
      <c r="F77" s="1397">
        <v>9.4209018537058542E-2</v>
      </c>
      <c r="G77" s="1397">
        <v>4.8324125846418209E-2</v>
      </c>
      <c r="H77" s="1397">
        <v>4.8236747307323524E-2</v>
      </c>
      <c r="I77" s="1404">
        <v>0.21131027801563063</v>
      </c>
      <c r="J77" s="1397">
        <v>0.24646786052871961</v>
      </c>
      <c r="K77" s="1404">
        <v>-0.13181359999999998</v>
      </c>
      <c r="L77" s="1399"/>
      <c r="M77" s="547"/>
      <c r="N77" s="547"/>
      <c r="O77" s="547"/>
      <c r="P77" s="547"/>
      <c r="Q77" s="547"/>
      <c r="R77" s="547" t="s">
        <v>807</v>
      </c>
      <c r="S77" s="547">
        <f>IF($J$30=TRUE,S63,"")</f>
        <v>1</v>
      </c>
      <c r="T77" s="547">
        <f t="shared" ref="T77:AF77" si="22">IF($J$30=TRUE,T63,"")</f>
        <v>1.0332232747655661</v>
      </c>
      <c r="U77" s="547">
        <f t="shared" si="22"/>
        <v>1.0572453325709206</v>
      </c>
      <c r="V77" s="547">
        <f t="shared" si="22"/>
        <v>1.1794501525022827</v>
      </c>
      <c r="W77" s="547">
        <f t="shared" si="22"/>
        <v>1.2754460903029188</v>
      </c>
      <c r="X77" s="547">
        <f t="shared" si="22"/>
        <v>1.3746732866158544</v>
      </c>
      <c r="Y77" s="547">
        <f t="shared" si="22"/>
        <v>1.6101350536133869</v>
      </c>
      <c r="Z77" s="547">
        <f t="shared" si="22"/>
        <v>1.6607494960571834</v>
      </c>
      <c r="AA77" s="547">
        <f t="shared" si="22"/>
        <v>2.027321490282505</v>
      </c>
      <c r="AB77" s="547">
        <f t="shared" si="22"/>
        <v>1.9329205125297464</v>
      </c>
      <c r="AC77" s="547">
        <f t="shared" si="22"/>
        <v>2.2622873221154944</v>
      </c>
      <c r="AD77" s="547">
        <f t="shared" si="22"/>
        <v>2.5060063672854915</v>
      </c>
      <c r="AE77" s="547">
        <f t="shared" si="22"/>
        <v>2.5816343270235214</v>
      </c>
      <c r="AF77" s="547">
        <f t="shared" si="22"/>
        <v>2.7035491030195353</v>
      </c>
      <c r="AG77" s="396"/>
      <c r="AH77" s="396"/>
      <c r="AI77" s="396"/>
      <c r="AJ77" s="396"/>
      <c r="AK77" s="396"/>
      <c r="AL77" s="396"/>
      <c r="AM77" s="396"/>
      <c r="AN77" s="396"/>
      <c r="AO77" s="396"/>
      <c r="AP77" s="396"/>
      <c r="AQ77" s="396"/>
      <c r="AR77" s="396"/>
      <c r="AS77" s="396"/>
      <c r="AT77" s="396"/>
    </row>
    <row r="78" spans="1:46" x14ac:dyDescent="0.25">
      <c r="A78" s="547"/>
      <c r="B78" s="1398" t="s">
        <v>231</v>
      </c>
      <c r="C78" s="1397">
        <v>3.1552645719505072</v>
      </c>
      <c r="D78" s="1405" t="s">
        <v>604</v>
      </c>
      <c r="E78" s="1397">
        <v>0.10252939146392093</v>
      </c>
      <c r="F78" s="1405" t="s">
        <v>604</v>
      </c>
      <c r="G78" s="1397">
        <v>-6.4643553990297864E-3</v>
      </c>
      <c r="H78" s="1405" t="s">
        <v>604</v>
      </c>
      <c r="I78" s="1397">
        <v>3.4645651236723252E-2</v>
      </c>
      <c r="J78" s="1405" t="s">
        <v>604</v>
      </c>
      <c r="K78" s="1404">
        <v>4.0391400000000077E-2</v>
      </c>
      <c r="L78" s="1399"/>
      <c r="M78" s="547"/>
      <c r="N78" s="547"/>
      <c r="O78" s="547"/>
      <c r="P78" s="547"/>
      <c r="Q78" s="547"/>
      <c r="R78" s="547"/>
      <c r="S78" s="547"/>
      <c r="T78" s="547"/>
      <c r="U78" s="547"/>
      <c r="V78" s="547"/>
      <c r="W78" s="547"/>
      <c r="X78" s="547"/>
      <c r="Y78" s="547"/>
      <c r="Z78" s="396"/>
      <c r="AA78" s="396"/>
      <c r="AB78" s="396"/>
      <c r="AC78" s="396"/>
      <c r="AD78" s="396"/>
      <c r="AE78" s="396"/>
      <c r="AF78" s="396"/>
      <c r="AG78" s="396"/>
      <c r="AH78" s="396"/>
      <c r="AI78" s="396"/>
      <c r="AJ78" s="396"/>
      <c r="AK78" s="396"/>
      <c r="AL78" s="396"/>
      <c r="AM78" s="396"/>
      <c r="AN78" s="396"/>
      <c r="AO78" s="396"/>
      <c r="AP78" s="396"/>
      <c r="AQ78" s="396"/>
      <c r="AR78" s="396"/>
      <c r="AS78" s="396"/>
      <c r="AT78" s="396"/>
    </row>
    <row r="79" spans="1:46" x14ac:dyDescent="0.25">
      <c r="A79" s="547"/>
      <c r="B79" s="1398" t="s">
        <v>591</v>
      </c>
      <c r="C79" s="1397">
        <v>0.17128562058348273</v>
      </c>
      <c r="D79" s="1405" t="s">
        <v>604</v>
      </c>
      <c r="E79" s="1397">
        <v>3.1434904997695634E-2</v>
      </c>
      <c r="F79" s="1405" t="s">
        <v>604</v>
      </c>
      <c r="G79" s="1397">
        <v>0.22072684357009109</v>
      </c>
      <c r="H79" s="1405" t="s">
        <v>604</v>
      </c>
      <c r="I79" s="1397">
        <v>-4.6564384684544491E-2</v>
      </c>
      <c r="J79" s="1405" t="s">
        <v>604</v>
      </c>
      <c r="K79" s="1404">
        <v>0.17039852774632869</v>
      </c>
      <c r="L79" s="1399"/>
      <c r="M79" s="547"/>
      <c r="N79" s="547"/>
      <c r="O79" s="547"/>
      <c r="P79" s="547"/>
      <c r="Q79" s="547"/>
      <c r="R79" s="547"/>
      <c r="S79" s="547"/>
      <c r="T79" s="547"/>
      <c r="U79" s="547"/>
      <c r="V79" s="547"/>
      <c r="W79" s="547"/>
      <c r="X79" s="547"/>
      <c r="Y79" s="547"/>
      <c r="Z79" s="396"/>
      <c r="AA79" s="396"/>
      <c r="AB79" s="396"/>
      <c r="AC79" s="396"/>
      <c r="AD79" s="396"/>
      <c r="AE79" s="396"/>
      <c r="AF79" s="396"/>
      <c r="AG79" s="396"/>
      <c r="AH79" s="396"/>
      <c r="AI79" s="396"/>
      <c r="AJ79" s="396"/>
      <c r="AK79" s="396"/>
      <c r="AL79" s="396"/>
      <c r="AM79" s="396"/>
      <c r="AN79" s="396"/>
      <c r="AO79" s="396"/>
      <c r="AP79" s="396"/>
      <c r="AQ79" s="396"/>
      <c r="AR79" s="396"/>
      <c r="AS79" s="396"/>
      <c r="AT79" s="396"/>
    </row>
    <row r="80" spans="1:46" x14ac:dyDescent="0.25">
      <c r="A80" s="547"/>
      <c r="B80" s="1398" t="s">
        <v>218</v>
      </c>
      <c r="C80" s="1404">
        <v>-2.106888063749035E-3</v>
      </c>
      <c r="D80" s="1404">
        <v>4.5410964845163715E-2</v>
      </c>
      <c r="E80" s="1404">
        <v>5.6328438408597359E-2</v>
      </c>
      <c r="F80" s="1404">
        <v>8.0214336676698528E-2</v>
      </c>
      <c r="G80" s="1404">
        <v>2.7042744984006939E-2</v>
      </c>
      <c r="H80" s="1404">
        <v>4.6738488839055181E-2</v>
      </c>
      <c r="I80" s="1404">
        <v>-2.3376840230429075E-3</v>
      </c>
      <c r="J80" s="1404">
        <v>3.2550560081045843E-2</v>
      </c>
      <c r="K80" s="1404">
        <v>2.7008547043914533E-2</v>
      </c>
      <c r="L80" s="1399"/>
      <c r="M80" s="547"/>
      <c r="N80" s="547"/>
      <c r="O80" s="547"/>
      <c r="P80" s="547"/>
      <c r="Q80" s="547"/>
      <c r="R80" s="547"/>
      <c r="S80" s="547"/>
      <c r="T80" s="547"/>
      <c r="U80" s="547"/>
      <c r="V80" s="547"/>
      <c r="W80" s="547"/>
      <c r="X80" s="547"/>
      <c r="Y80" s="547"/>
      <c r="Z80" s="396"/>
      <c r="AA80" s="396"/>
      <c r="AB80" s="396"/>
      <c r="AC80" s="396"/>
      <c r="AD80" s="396"/>
      <c r="AE80" s="396"/>
      <c r="AF80" s="396"/>
      <c r="AG80" s="396"/>
      <c r="AH80" s="396"/>
      <c r="AI80" s="396"/>
      <c r="AJ80" s="396"/>
      <c r="AK80" s="396"/>
      <c r="AL80" s="396"/>
      <c r="AM80" s="396"/>
      <c r="AN80" s="396"/>
      <c r="AO80" s="396"/>
      <c r="AP80" s="396"/>
      <c r="AQ80" s="396"/>
      <c r="AR80" s="396"/>
      <c r="AS80" s="396"/>
      <c r="AT80" s="396"/>
    </row>
    <row r="81" spans="1:46" x14ac:dyDescent="0.25">
      <c r="A81" s="547"/>
      <c r="B81" s="1398" t="s">
        <v>136</v>
      </c>
      <c r="C81" s="1397">
        <v>7.698839189400597E-2</v>
      </c>
      <c r="D81" s="1405" t="s">
        <v>604</v>
      </c>
      <c r="E81" s="1397">
        <v>8.0214336676698528E-2</v>
      </c>
      <c r="F81" s="1405" t="s">
        <v>604</v>
      </c>
      <c r="G81" s="1397">
        <v>5.916841944762874E-2</v>
      </c>
      <c r="H81" s="1405" t="s">
        <v>604</v>
      </c>
      <c r="I81" s="1404">
        <v>6.704788747213386E-2</v>
      </c>
      <c r="J81" s="1405" t="s">
        <v>604</v>
      </c>
      <c r="K81" s="1404">
        <v>6.3550838522140385E-2</v>
      </c>
      <c r="L81" s="1407"/>
      <c r="M81" s="547"/>
      <c r="N81" s="547"/>
      <c r="O81" s="547"/>
      <c r="P81" s="547"/>
      <c r="Q81" s="547"/>
      <c r="R81" s="547"/>
      <c r="S81" s="547"/>
      <c r="T81" s="547"/>
      <c r="U81" s="547"/>
      <c r="V81" s="547"/>
      <c r="W81" s="547"/>
      <c r="X81" s="547"/>
      <c r="Y81" s="547"/>
      <c r="Z81" s="396"/>
      <c r="AA81" s="396"/>
      <c r="AB81" s="396"/>
      <c r="AC81" s="396"/>
      <c r="AD81" s="396"/>
      <c r="AE81" s="396"/>
      <c r="AF81" s="396"/>
      <c r="AG81" s="396"/>
      <c r="AH81" s="396"/>
      <c r="AI81" s="396"/>
      <c r="AJ81" s="396"/>
      <c r="AK81" s="396"/>
      <c r="AL81" s="396"/>
      <c r="AM81" s="396"/>
      <c r="AN81" s="396"/>
      <c r="AO81" s="396"/>
      <c r="AP81" s="396"/>
      <c r="AQ81" s="396"/>
      <c r="AR81" s="396"/>
      <c r="AS81" s="396"/>
      <c r="AT81" s="396"/>
    </row>
    <row r="82" spans="1:46" x14ac:dyDescent="0.25">
      <c r="A82" s="547"/>
      <c r="B82" s="1398"/>
      <c r="C82" s="1401"/>
      <c r="D82" s="1401"/>
      <c r="E82" s="1401"/>
      <c r="F82" s="1401"/>
      <c r="G82" s="1401"/>
      <c r="H82" s="1401"/>
      <c r="I82" s="1401"/>
      <c r="J82" s="1401"/>
      <c r="K82" s="1401"/>
      <c r="L82" s="1399"/>
      <c r="M82" s="547"/>
      <c r="N82" s="547"/>
      <c r="O82" s="547"/>
      <c r="P82" s="547"/>
      <c r="Q82" s="547"/>
      <c r="R82" s="547"/>
      <c r="S82" s="547"/>
      <c r="T82" s="547"/>
      <c r="U82" s="547"/>
      <c r="V82" s="547"/>
      <c r="W82" s="547"/>
      <c r="X82" s="547"/>
      <c r="Y82" s="547"/>
      <c r="Z82" s="396"/>
      <c r="AA82" s="396"/>
      <c r="AB82" s="396"/>
      <c r="AC82" s="396"/>
      <c r="AD82" s="396"/>
      <c r="AE82" s="396"/>
      <c r="AF82" s="396"/>
      <c r="AG82" s="396"/>
      <c r="AH82" s="396"/>
      <c r="AI82" s="396"/>
      <c r="AJ82" s="396"/>
      <c r="AK82" s="396"/>
      <c r="AL82" s="396"/>
      <c r="AM82" s="396"/>
      <c r="AN82" s="396"/>
      <c r="AO82" s="396"/>
      <c r="AP82" s="396"/>
      <c r="AQ82" s="396"/>
      <c r="AR82" s="396"/>
      <c r="AS82" s="396"/>
      <c r="AT82" s="396"/>
    </row>
    <row r="83" spans="1:46" ht="23.25" customHeight="1" x14ac:dyDescent="0.25">
      <c r="A83" s="547"/>
      <c r="B83" s="1398" t="s">
        <v>605</v>
      </c>
      <c r="C83" s="1401">
        <v>27.9</v>
      </c>
      <c r="D83" s="1404">
        <v>0.28799999999999998</v>
      </c>
      <c r="E83" s="1404">
        <v>6.5000000000000002E-2</v>
      </c>
      <c r="F83" s="1404">
        <v>7.0999999999999994E-2</v>
      </c>
      <c r="G83" s="1404">
        <v>5.8999999999999997E-2</v>
      </c>
      <c r="H83" s="1404">
        <v>6.5000000000000002E-2</v>
      </c>
      <c r="I83" s="1408">
        <v>3.4090949472603382E-2</v>
      </c>
      <c r="J83" s="1408">
        <v>3.6553041824910038E-2</v>
      </c>
      <c r="K83" s="1404">
        <v>5.3400000000000003E-2</v>
      </c>
      <c r="L83" s="1399"/>
      <c r="M83" s="547"/>
      <c r="N83" s="547"/>
      <c r="O83" s="547"/>
      <c r="P83" s="547"/>
      <c r="Q83" s="547"/>
      <c r="R83" s="547"/>
      <c r="S83" s="547"/>
      <c r="T83" s="547"/>
      <c r="U83" s="547"/>
      <c r="V83" s="547"/>
      <c r="W83" s="547"/>
      <c r="X83" s="547"/>
      <c r="Y83" s="547"/>
      <c r="Z83" s="396"/>
      <c r="AA83" s="396"/>
      <c r="AB83" s="396"/>
      <c r="AC83" s="396"/>
      <c r="AD83" s="396"/>
      <c r="AE83" s="396"/>
      <c r="AF83" s="396"/>
      <c r="AG83" s="396"/>
      <c r="AH83" s="396"/>
      <c r="AI83" s="396"/>
      <c r="AJ83" s="396"/>
      <c r="AK83" s="396"/>
      <c r="AL83" s="396"/>
      <c r="AM83" s="396"/>
      <c r="AN83" s="396"/>
      <c r="AO83" s="396"/>
      <c r="AP83" s="396"/>
      <c r="AQ83" s="396"/>
      <c r="AR83" s="396"/>
      <c r="AS83" s="396"/>
      <c r="AT83" s="396"/>
    </row>
    <row r="84" spans="1:46" x14ac:dyDescent="0.25">
      <c r="A84" s="547"/>
      <c r="B84" s="1398"/>
      <c r="C84" s="1401"/>
      <c r="D84" s="1401"/>
      <c r="E84" s="1401"/>
      <c r="F84" s="1401"/>
      <c r="G84" s="1401"/>
      <c r="H84" s="1401"/>
      <c r="I84" s="1401"/>
      <c r="J84" s="1401"/>
      <c r="K84" s="1399"/>
      <c r="L84" s="1399"/>
      <c r="M84" s="547"/>
      <c r="N84" s="547"/>
      <c r="O84" s="547"/>
      <c r="P84" s="547"/>
      <c r="Q84" s="547"/>
      <c r="R84" s="547"/>
      <c r="S84" s="547"/>
      <c r="T84" s="547"/>
      <c r="U84" s="547"/>
      <c r="V84" s="547"/>
      <c r="W84" s="547"/>
      <c r="X84" s="547"/>
      <c r="Y84" s="547"/>
      <c r="Z84" s="396"/>
      <c r="AA84" s="396"/>
      <c r="AB84" s="396"/>
      <c r="AC84" s="396"/>
      <c r="AD84" s="396"/>
      <c r="AE84" s="396"/>
      <c r="AF84" s="396"/>
      <c r="AG84" s="396"/>
      <c r="AH84" s="396"/>
      <c r="AI84" s="396"/>
      <c r="AJ84" s="396"/>
      <c r="AK84" s="396"/>
      <c r="AL84" s="396"/>
      <c r="AM84" s="396"/>
      <c r="AN84" s="396"/>
      <c r="AO84" s="396"/>
      <c r="AP84" s="396"/>
      <c r="AQ84" s="396"/>
      <c r="AR84" s="396"/>
      <c r="AS84" s="396"/>
      <c r="AT84" s="396"/>
    </row>
    <row r="85" spans="1:46" x14ac:dyDescent="0.25">
      <c r="A85" s="547"/>
      <c r="B85" s="1398"/>
      <c r="C85" s="1401"/>
      <c r="D85" s="1401"/>
      <c r="E85" s="1401"/>
      <c r="F85" s="1401"/>
      <c r="G85" s="1401"/>
      <c r="H85" s="1401"/>
      <c r="I85" s="1401"/>
      <c r="J85" s="1401"/>
      <c r="K85" s="1399"/>
      <c r="L85" s="547"/>
      <c r="M85" s="547"/>
      <c r="N85" s="547"/>
      <c r="O85" s="547"/>
      <c r="P85" s="547"/>
      <c r="Q85" s="547"/>
      <c r="R85" s="547"/>
      <c r="S85" s="547"/>
      <c r="T85" s="547"/>
      <c r="U85" s="547"/>
      <c r="V85" s="547"/>
      <c r="W85" s="547"/>
      <c r="X85" s="547"/>
      <c r="Y85" s="547"/>
      <c r="Z85" s="396"/>
      <c r="AA85" s="396"/>
      <c r="AB85" s="396"/>
      <c r="AC85" s="396"/>
      <c r="AD85" s="396"/>
      <c r="AE85" s="396"/>
      <c r="AF85" s="396"/>
      <c r="AG85" s="396"/>
      <c r="AH85" s="396"/>
      <c r="AI85" s="396"/>
      <c r="AJ85" s="396"/>
      <c r="AK85" s="396"/>
      <c r="AL85" s="396"/>
      <c r="AM85" s="396"/>
      <c r="AN85" s="396"/>
      <c r="AO85" s="396"/>
      <c r="AP85" s="396"/>
      <c r="AQ85" s="396"/>
      <c r="AR85" s="396"/>
      <c r="AS85" s="396"/>
      <c r="AT85" s="396"/>
    </row>
    <row r="86" spans="1:46" x14ac:dyDescent="0.25">
      <c r="A86" s="547"/>
      <c r="B86" s="1398"/>
      <c r="C86" s="1399"/>
      <c r="D86" s="1399"/>
      <c r="E86" s="1399"/>
      <c r="F86" s="1399"/>
      <c r="G86" s="1399"/>
      <c r="H86" s="1399"/>
      <c r="I86" s="1399"/>
      <c r="J86" s="1399"/>
      <c r="K86" s="1399"/>
      <c r="L86" s="547"/>
      <c r="M86" s="547"/>
      <c r="N86" s="547"/>
      <c r="O86" s="547"/>
      <c r="P86" s="547"/>
      <c r="Q86" s="547"/>
      <c r="R86" s="547"/>
      <c r="S86" s="547"/>
      <c r="T86" s="547"/>
      <c r="U86" s="547"/>
      <c r="V86" s="547"/>
      <c r="W86" s="547"/>
      <c r="X86" s="547"/>
      <c r="Y86" s="547"/>
      <c r="Z86" s="396"/>
      <c r="AA86" s="396"/>
      <c r="AB86" s="396"/>
      <c r="AC86" s="396"/>
      <c r="AD86" s="396"/>
      <c r="AE86" s="396"/>
      <c r="AF86" s="396"/>
      <c r="AG86" s="396"/>
      <c r="AH86" s="396"/>
      <c r="AI86" s="396"/>
      <c r="AJ86" s="396"/>
      <c r="AK86" s="396"/>
      <c r="AL86" s="396"/>
      <c r="AM86" s="396"/>
      <c r="AN86" s="396"/>
      <c r="AO86" s="396"/>
      <c r="AP86" s="396"/>
      <c r="AQ86" s="396"/>
      <c r="AR86" s="396"/>
      <c r="AS86" s="396"/>
      <c r="AT86" s="396"/>
    </row>
    <row r="87" spans="1:46" x14ac:dyDescent="0.25">
      <c r="A87" s="547"/>
      <c r="B87" s="1400" t="s">
        <v>574</v>
      </c>
      <c r="C87" s="1935" t="s">
        <v>611</v>
      </c>
      <c r="D87" s="1935"/>
      <c r="E87" s="1934" t="s">
        <v>612</v>
      </c>
      <c r="F87" s="1934"/>
      <c r="G87" s="1934" t="s">
        <v>613</v>
      </c>
      <c r="H87" s="1934"/>
      <c r="I87" s="1934"/>
      <c r="J87" s="1934"/>
      <c r="K87" s="1401"/>
      <c r="L87" s="547"/>
      <c r="M87" s="547"/>
      <c r="N87" s="547"/>
      <c r="O87" s="547"/>
      <c r="P87" s="547"/>
      <c r="Q87" s="547"/>
      <c r="R87" s="547"/>
      <c r="S87" s="547"/>
      <c r="T87" s="547"/>
      <c r="U87" s="547"/>
      <c r="V87" s="547"/>
      <c r="W87" s="547"/>
      <c r="X87" s="547"/>
      <c r="Y87" s="547"/>
      <c r="Z87" s="396"/>
      <c r="AA87" s="396"/>
      <c r="AB87" s="396"/>
      <c r="AC87" s="396"/>
      <c r="AD87" s="396"/>
      <c r="AE87" s="396"/>
      <c r="AF87" s="396"/>
      <c r="AG87" s="396"/>
      <c r="AH87" s="396"/>
      <c r="AI87" s="396"/>
      <c r="AJ87" s="396"/>
      <c r="AK87" s="396"/>
      <c r="AL87" s="396"/>
      <c r="AM87" s="396"/>
      <c r="AN87" s="396"/>
      <c r="AO87" s="396"/>
      <c r="AP87" s="396"/>
      <c r="AQ87" s="396"/>
      <c r="AR87" s="396"/>
      <c r="AS87" s="396"/>
      <c r="AT87" s="396"/>
    </row>
    <row r="88" spans="1:46" ht="30" x14ac:dyDescent="0.25">
      <c r="A88" s="547"/>
      <c r="B88" s="1398"/>
      <c r="C88" s="1402" t="s">
        <v>602</v>
      </c>
      <c r="D88" s="1402" t="s">
        <v>603</v>
      </c>
      <c r="E88" s="1402" t="s">
        <v>602</v>
      </c>
      <c r="F88" s="1402" t="s">
        <v>603</v>
      </c>
      <c r="G88" s="1402" t="s">
        <v>602</v>
      </c>
      <c r="H88" s="1402" t="s">
        <v>603</v>
      </c>
      <c r="I88" s="1401"/>
      <c r="J88" s="1401"/>
      <c r="K88" s="1399"/>
      <c r="L88" s="1579" t="s">
        <v>610</v>
      </c>
      <c r="M88" s="1409" t="s">
        <v>611</v>
      </c>
      <c r="N88" s="1410" t="s">
        <v>612</v>
      </c>
      <c r="O88" s="1410" t="s">
        <v>613</v>
      </c>
      <c r="P88" s="547"/>
      <c r="Q88" s="547"/>
      <c r="R88" s="547"/>
      <c r="S88" s="547"/>
      <c r="T88" s="547"/>
      <c r="U88" s="547"/>
      <c r="V88" s="547"/>
      <c r="W88" s="547"/>
      <c r="X88" s="547"/>
      <c r="Y88" s="547"/>
      <c r="Z88" s="396"/>
      <c r="AA88" s="396"/>
      <c r="AB88" s="396"/>
      <c r="AC88" s="396"/>
      <c r="AD88" s="396"/>
      <c r="AE88" s="396"/>
      <c r="AF88" s="396"/>
      <c r="AG88" s="396"/>
      <c r="AH88" s="396"/>
      <c r="AI88" s="396"/>
      <c r="AJ88" s="396"/>
      <c r="AK88" s="396"/>
      <c r="AL88" s="396"/>
      <c r="AM88" s="396"/>
      <c r="AN88" s="396"/>
      <c r="AO88" s="396"/>
      <c r="AP88" s="396"/>
      <c r="AQ88" s="396"/>
      <c r="AR88" s="396"/>
      <c r="AS88" s="396"/>
      <c r="AT88" s="396"/>
    </row>
    <row r="89" spans="1:46" x14ac:dyDescent="0.25">
      <c r="A89" s="547"/>
      <c r="B89" s="1398" t="s">
        <v>576</v>
      </c>
      <c r="C89" s="1404">
        <v>1.3912115299726135E-2</v>
      </c>
      <c r="D89" s="1404">
        <v>1.2658458727172972E-2</v>
      </c>
      <c r="E89" s="1397">
        <v>3.835284309093967E-2</v>
      </c>
      <c r="F89" s="1404">
        <v>4.9299185410158319E-2</v>
      </c>
      <c r="G89" s="1404">
        <v>2.4447449647438058E-2</v>
      </c>
      <c r="H89" s="1404">
        <v>3.0666420255953675E-2</v>
      </c>
      <c r="I89" s="1399"/>
      <c r="J89" s="1399"/>
      <c r="K89" s="1399"/>
      <c r="L89" s="1404">
        <v>3.0685314279900178E-2</v>
      </c>
      <c r="M89" s="1404">
        <v>1.3912115299726135E-2</v>
      </c>
      <c r="N89" s="1397">
        <v>3.835284309093967E-2</v>
      </c>
      <c r="O89" s="1404">
        <v>2.4447449647438058E-2</v>
      </c>
      <c r="P89" s="547"/>
      <c r="Q89" s="547"/>
      <c r="R89" s="547"/>
      <c r="S89" s="547"/>
      <c r="T89" s="547"/>
      <c r="U89" s="547"/>
      <c r="V89" s="547"/>
      <c r="W89" s="547"/>
      <c r="X89" s="547"/>
      <c r="Y89" s="547"/>
      <c r="Z89" s="396"/>
      <c r="AA89" s="396"/>
      <c r="AB89" s="396"/>
      <c r="AC89" s="396"/>
      <c r="AD89" s="396"/>
      <c r="AE89" s="396"/>
      <c r="AF89" s="396"/>
      <c r="AG89" s="396"/>
      <c r="AH89" s="396"/>
      <c r="AI89" s="396"/>
      <c r="AJ89" s="396"/>
      <c r="AK89" s="396"/>
      <c r="AL89" s="396"/>
      <c r="AM89" s="396"/>
      <c r="AN89" s="396"/>
      <c r="AO89" s="396"/>
      <c r="AP89" s="396"/>
      <c r="AQ89" s="396"/>
      <c r="AR89" s="396"/>
      <c r="AS89" s="396"/>
      <c r="AT89" s="396"/>
    </row>
    <row r="90" spans="1:46" ht="30" x14ac:dyDescent="0.25">
      <c r="A90" s="547"/>
      <c r="B90" s="1398" t="s">
        <v>149</v>
      </c>
      <c r="C90" s="1404">
        <v>9.7930199999999967E-2</v>
      </c>
      <c r="D90" s="1399"/>
      <c r="E90" s="1404">
        <v>2.2731999999999974E-2</v>
      </c>
      <c r="F90" s="1399"/>
      <c r="G90" s="1404">
        <v>-2.1093999999999946E-2</v>
      </c>
      <c r="H90" s="1399"/>
      <c r="I90" s="1399" t="s">
        <v>857</v>
      </c>
      <c r="J90" s="1411"/>
      <c r="K90" s="1411"/>
      <c r="L90" s="1404">
        <v>4.2393881491018082E-2</v>
      </c>
      <c r="M90" s="1404">
        <v>1.2658458727172972E-2</v>
      </c>
      <c r="N90" s="1404">
        <v>4.9299185410158319E-2</v>
      </c>
      <c r="O90" s="1404">
        <v>3.0666420255953675E-2</v>
      </c>
      <c r="P90" s="547"/>
      <c r="Q90" s="547"/>
      <c r="R90" s="547"/>
      <c r="S90" s="547"/>
      <c r="T90" s="547"/>
      <c r="U90" s="547"/>
      <c r="V90" s="547"/>
      <c r="W90" s="547"/>
      <c r="X90" s="547"/>
      <c r="Y90" s="547"/>
      <c r="Z90" s="396"/>
      <c r="AA90" s="396"/>
      <c r="AB90" s="396"/>
      <c r="AC90" s="396"/>
      <c r="AD90" s="396"/>
      <c r="AE90" s="396"/>
      <c r="AF90" s="396"/>
      <c r="AG90" s="396"/>
      <c r="AH90" s="396"/>
      <c r="AI90" s="396"/>
      <c r="AJ90" s="396"/>
      <c r="AK90" s="396"/>
      <c r="AL90" s="396"/>
      <c r="AM90" s="396"/>
      <c r="AN90" s="396"/>
      <c r="AO90" s="396"/>
      <c r="AP90" s="396"/>
      <c r="AQ90" s="396"/>
      <c r="AR90" s="396"/>
      <c r="AS90" s="396"/>
      <c r="AT90" s="396"/>
    </row>
    <row r="91" spans="1:46" ht="23.25" customHeight="1" x14ac:dyDescent="0.25">
      <c r="A91" s="547"/>
      <c r="B91" s="1398" t="s">
        <v>588</v>
      </c>
      <c r="C91" s="1404">
        <v>3.9028599999999969E-2</v>
      </c>
      <c r="D91" s="1399"/>
      <c r="E91" s="1404">
        <v>2.8686999999999907E-2</v>
      </c>
      <c r="F91" s="1399"/>
      <c r="G91" s="1404">
        <v>0.54285910000000004</v>
      </c>
      <c r="H91" s="1399"/>
      <c r="I91" s="1399"/>
      <c r="J91" s="1411"/>
      <c r="K91" s="1411"/>
      <c r="L91" s="1404">
        <v>7.2870800000000013E-2</v>
      </c>
      <c r="M91" s="1404">
        <v>9.7930199999999967E-2</v>
      </c>
      <c r="N91" s="1404">
        <v>2.2731999999999974E-2</v>
      </c>
      <c r="O91" s="1404">
        <v>-2.1093999999999946E-2</v>
      </c>
      <c r="P91" s="547"/>
      <c r="Q91" s="547"/>
      <c r="R91" s="547"/>
      <c r="S91" s="547"/>
      <c r="T91" s="547"/>
      <c r="U91" s="547"/>
      <c r="V91" s="547"/>
      <c r="W91" s="547"/>
      <c r="X91" s="547"/>
      <c r="Y91" s="547"/>
      <c r="Z91" s="396"/>
      <c r="AA91" s="396"/>
      <c r="AB91" s="396"/>
      <c r="AC91" s="396"/>
      <c r="AD91" s="396"/>
      <c r="AE91" s="396"/>
      <c r="AF91" s="396"/>
      <c r="AG91" s="396"/>
      <c r="AH91" s="396"/>
      <c r="AI91" s="396"/>
      <c r="AJ91" s="396"/>
      <c r="AK91" s="396"/>
      <c r="AL91" s="396"/>
      <c r="AM91" s="396"/>
      <c r="AN91" s="396"/>
      <c r="AO91" s="396"/>
      <c r="AP91" s="396"/>
      <c r="AQ91" s="396"/>
      <c r="AR91" s="396"/>
      <c r="AS91" s="396"/>
      <c r="AT91" s="396"/>
    </row>
    <row r="92" spans="1:46" x14ac:dyDescent="0.25">
      <c r="A92" s="547"/>
      <c r="B92" s="1398" t="s">
        <v>231</v>
      </c>
      <c r="C92" s="1404">
        <v>6.4400800000000036E-2</v>
      </c>
      <c r="D92" s="1405" t="s">
        <v>604</v>
      </c>
      <c r="E92" s="1397">
        <v>2.4486999999999703E-3</v>
      </c>
      <c r="F92" s="1405" t="s">
        <v>604</v>
      </c>
      <c r="G92" s="1404">
        <v>-9.9356699999999964E-2</v>
      </c>
      <c r="H92" s="1405" t="s">
        <v>604</v>
      </c>
      <c r="I92" s="396">
        <v>0.99988917700000002</v>
      </c>
      <c r="J92" s="1804">
        <f>L103*I92</f>
        <v>7.2862724239331614E-2</v>
      </c>
      <c r="K92" s="1411"/>
      <c r="L92" s="547"/>
      <c r="M92" s="547"/>
      <c r="N92" s="547"/>
      <c r="O92" s="547"/>
      <c r="P92" s="547"/>
      <c r="Q92" s="547"/>
      <c r="R92" s="547"/>
      <c r="S92" s="547"/>
      <c r="T92" s="547"/>
      <c r="U92" s="547"/>
      <c r="V92" s="547"/>
      <c r="W92" s="547"/>
      <c r="X92" s="547"/>
      <c r="Y92" s="547"/>
      <c r="Z92" s="396"/>
      <c r="AA92" s="396"/>
      <c r="AB92" s="396"/>
      <c r="AC92" s="396"/>
      <c r="AD92" s="396"/>
      <c r="AE92" s="396"/>
      <c r="AF92" s="396"/>
      <c r="AG92" s="396"/>
      <c r="AH92" s="396"/>
      <c r="AI92" s="396"/>
      <c r="AJ92" s="396"/>
      <c r="AK92" s="396"/>
      <c r="AL92" s="396"/>
      <c r="AM92" s="396"/>
      <c r="AN92" s="396"/>
      <c r="AO92" s="396"/>
      <c r="AP92" s="396"/>
      <c r="AQ92" s="396"/>
      <c r="AR92" s="396"/>
      <c r="AS92" s="396"/>
      <c r="AT92" s="396"/>
    </row>
    <row r="93" spans="1:46" x14ac:dyDescent="0.25">
      <c r="A93" s="547"/>
      <c r="B93" s="1398" t="s">
        <v>591</v>
      </c>
      <c r="C93" s="1397">
        <v>0.10773125181203436</v>
      </c>
      <c r="D93" s="1405" t="s">
        <v>604</v>
      </c>
      <c r="E93" s="1404">
        <v>3.0178678205015963E-2</v>
      </c>
      <c r="F93" s="1405" t="s">
        <v>604</v>
      </c>
      <c r="G93" s="1404">
        <v>4.7223874705979219E-2</v>
      </c>
      <c r="H93" s="1405" t="s">
        <v>604</v>
      </c>
      <c r="I93" s="1399">
        <v>0.99994548000000005</v>
      </c>
      <c r="J93" s="1804">
        <f>M103*I93</f>
        <v>9.782486629749601E-2</v>
      </c>
      <c r="K93" s="1411"/>
      <c r="L93" s="1404">
        <v>-0.13181359999999998</v>
      </c>
      <c r="M93" s="1404">
        <v>3.9028599999999969E-2</v>
      </c>
      <c r="N93" s="1404">
        <v>2.8686999999999907E-2</v>
      </c>
      <c r="O93" s="1404">
        <v>0.54285910000000004</v>
      </c>
      <c r="P93" s="547"/>
      <c r="Q93" s="547"/>
      <c r="R93" s="547"/>
      <c r="S93" s="547"/>
      <c r="T93" s="547"/>
      <c r="U93" s="547"/>
      <c r="V93" s="547"/>
      <c r="W93" s="547"/>
      <c r="X93" s="547"/>
      <c r="Y93" s="547"/>
      <c r="Z93" s="396"/>
      <c r="AA93" s="396"/>
      <c r="AB93" s="396"/>
      <c r="AC93" s="396"/>
      <c r="AD93" s="396"/>
      <c r="AE93" s="396"/>
      <c r="AF93" s="396"/>
      <c r="AG93" s="396"/>
      <c r="AH93" s="396"/>
      <c r="AI93" s="396"/>
      <c r="AJ93" s="396"/>
      <c r="AK93" s="396"/>
      <c r="AL93" s="396"/>
      <c r="AM93" s="396"/>
      <c r="AN93" s="396"/>
      <c r="AO93" s="396"/>
      <c r="AP93" s="396"/>
      <c r="AQ93" s="396"/>
      <c r="AR93" s="396"/>
      <c r="AS93" s="396"/>
      <c r="AT93" s="396"/>
    </row>
    <row r="94" spans="1:46" x14ac:dyDescent="0.25">
      <c r="A94" s="547"/>
      <c r="B94" s="1398" t="s">
        <v>218</v>
      </c>
      <c r="C94" s="1404">
        <v>0</v>
      </c>
      <c r="D94" s="1404">
        <v>5.5135423142793627E-4</v>
      </c>
      <c r="E94" s="1404">
        <v>-3.4482758563470384E-2</v>
      </c>
      <c r="F94" s="1404">
        <v>-3.3862776931691152E-2</v>
      </c>
      <c r="G94" s="1404">
        <v>3.8461538461537215E-2</v>
      </c>
      <c r="H94" s="1404">
        <v>3.8876198132661299E-2</v>
      </c>
      <c r="I94" s="1399">
        <v>0.99994601699999996</v>
      </c>
      <c r="J94" s="1804">
        <f>N103*I94</f>
        <v>2.2630778256743998E-2</v>
      </c>
      <c r="K94" s="1407"/>
      <c r="L94" s="1404">
        <v>4.0391400000000077E-2</v>
      </c>
      <c r="M94" s="1404">
        <v>6.4400800000000036E-2</v>
      </c>
      <c r="N94" s="1397">
        <v>2.4486999999999703E-3</v>
      </c>
      <c r="O94" s="1404">
        <v>-9.9356699999999964E-2</v>
      </c>
      <c r="P94" s="547"/>
      <c r="Q94" s="547"/>
      <c r="R94" s="547"/>
      <c r="S94" s="547"/>
      <c r="T94" s="547"/>
      <c r="U94" s="547"/>
      <c r="V94" s="547"/>
      <c r="W94" s="547"/>
      <c r="X94" s="547"/>
      <c r="Y94" s="547"/>
      <c r="Z94" s="396"/>
      <c r="AA94" s="396"/>
      <c r="AB94" s="396"/>
      <c r="AC94" s="396"/>
      <c r="AD94" s="396"/>
      <c r="AE94" s="396"/>
      <c r="AF94" s="396"/>
      <c r="AG94" s="396"/>
      <c r="AH94" s="396"/>
      <c r="AI94" s="396"/>
      <c r="AJ94" s="396"/>
      <c r="AK94" s="396"/>
      <c r="AL94" s="396"/>
      <c r="AM94" s="396"/>
      <c r="AN94" s="396"/>
      <c r="AO94" s="396"/>
      <c r="AP94" s="396"/>
      <c r="AQ94" s="396"/>
      <c r="AR94" s="396"/>
      <c r="AS94" s="396"/>
      <c r="AT94" s="396"/>
    </row>
    <row r="95" spans="1:46" x14ac:dyDescent="0.25">
      <c r="A95" s="547"/>
      <c r="B95" s="1398" t="s">
        <v>136</v>
      </c>
      <c r="C95" s="1404">
        <v>6.9284082575049366E-2</v>
      </c>
      <c r="D95" s="1405" t="s">
        <v>604</v>
      </c>
      <c r="E95" s="1404">
        <v>4.7608884492738923E-2</v>
      </c>
      <c r="F95" s="1405" t="s">
        <v>604</v>
      </c>
      <c r="G95" s="1404">
        <v>3.3495922606974426E-2</v>
      </c>
      <c r="H95" s="1405" t="s">
        <v>604</v>
      </c>
      <c r="I95" s="1399">
        <v>0.99994601699999996</v>
      </c>
      <c r="J95" s="1804">
        <f>O103*I95</f>
        <v>2.2098806975700002E-2</v>
      </c>
      <c r="K95" s="1399"/>
      <c r="L95" s="1404">
        <v>0.17039852774632869</v>
      </c>
      <c r="M95" s="1397">
        <v>0.10773125181203436</v>
      </c>
      <c r="N95" s="1404">
        <v>3.0178678205015963E-2</v>
      </c>
      <c r="O95" s="1404">
        <v>4.7223874705979219E-2</v>
      </c>
      <c r="P95" s="547"/>
      <c r="Q95" s="547"/>
      <c r="R95" s="547"/>
      <c r="S95" s="547"/>
      <c r="T95" s="547"/>
      <c r="U95" s="547"/>
      <c r="V95" s="547"/>
      <c r="W95" s="547"/>
      <c r="X95" s="547"/>
      <c r="Y95" s="547"/>
      <c r="Z95" s="396"/>
      <c r="AA95" s="396"/>
      <c r="AB95" s="396"/>
      <c r="AC95" s="396"/>
      <c r="AD95" s="396"/>
      <c r="AE95" s="396"/>
      <c r="AF95" s="396"/>
      <c r="AG95" s="396"/>
      <c r="AH95" s="396"/>
      <c r="AI95" s="396"/>
      <c r="AJ95" s="396"/>
      <c r="AK95" s="396"/>
      <c r="AL95" s="396"/>
      <c r="AM95" s="396"/>
      <c r="AN95" s="396"/>
      <c r="AO95" s="396"/>
      <c r="AP95" s="396"/>
      <c r="AQ95" s="396"/>
      <c r="AR95" s="396"/>
      <c r="AS95" s="396"/>
      <c r="AT95" s="396"/>
    </row>
    <row r="96" spans="1:46" x14ac:dyDescent="0.25">
      <c r="A96" s="547"/>
      <c r="B96" s="1398"/>
      <c r="C96" s="1401"/>
      <c r="D96" s="1401"/>
      <c r="E96" s="1401"/>
      <c r="F96" s="1401"/>
      <c r="G96" s="1401"/>
      <c r="H96" s="1401"/>
      <c r="I96" s="1399"/>
      <c r="J96" s="1399"/>
      <c r="K96" s="1399"/>
      <c r="L96" s="1404">
        <v>2.7008547043914533E-2</v>
      </c>
      <c r="M96" s="1404">
        <v>0</v>
      </c>
      <c r="N96" s="1404">
        <v>-3.4482758563470384E-2</v>
      </c>
      <c r="O96" s="1413">
        <v>3.8461538461537215E-2</v>
      </c>
      <c r="P96" s="547"/>
      <c r="Q96" s="547"/>
      <c r="R96" s="547"/>
      <c r="S96" s="547"/>
      <c r="T96" s="547"/>
      <c r="U96" s="547"/>
      <c r="V96" s="547"/>
      <c r="W96" s="547"/>
      <c r="X96" s="547"/>
      <c r="Y96" s="547"/>
      <c r="Z96" s="396"/>
      <c r="AA96" s="396"/>
      <c r="AB96" s="396"/>
      <c r="AC96" s="396"/>
      <c r="AD96" s="396"/>
      <c r="AE96" s="396"/>
      <c r="AF96" s="396"/>
      <c r="AG96" s="396"/>
      <c r="AH96" s="396"/>
      <c r="AI96" s="396"/>
      <c r="AJ96" s="396"/>
      <c r="AK96" s="396"/>
      <c r="AL96" s="396"/>
      <c r="AM96" s="396"/>
      <c r="AN96" s="396"/>
      <c r="AO96" s="396"/>
      <c r="AP96" s="396"/>
      <c r="AQ96" s="396"/>
      <c r="AR96" s="396"/>
      <c r="AS96" s="396"/>
      <c r="AT96" s="396"/>
    </row>
    <row r="97" spans="1:46" x14ac:dyDescent="0.25">
      <c r="A97" s="547"/>
      <c r="B97" s="1397">
        <v>0.10142546919528872</v>
      </c>
      <c r="C97" s="1397">
        <v>0.10228616433299975</v>
      </c>
      <c r="D97" s="1404">
        <v>9.8719895811427483E-2</v>
      </c>
      <c r="E97" s="1397">
        <v>9.955852290494005E-2</v>
      </c>
      <c r="F97" s="1397">
        <v>-6.8552823741646063E-2</v>
      </c>
      <c r="G97" s="1397">
        <v>-6.8132104071234045E-2</v>
      </c>
      <c r="H97" s="1404">
        <v>8.1592493501527752E-2</v>
      </c>
      <c r="I97" s="1404">
        <v>8.4054458452162528E-2</v>
      </c>
      <c r="J97" s="1404">
        <v>7.2870800000000013E-2</v>
      </c>
      <c r="K97" s="1404"/>
      <c r="L97" s="1413">
        <v>2.792041212388563E-2</v>
      </c>
      <c r="M97" s="1413">
        <v>5.5135423142793627E-4</v>
      </c>
      <c r="N97" s="1413">
        <v>-3.3862776931691152E-2</v>
      </c>
      <c r="O97" s="1413">
        <v>3.8876198132661299E-2</v>
      </c>
      <c r="P97" s="547"/>
      <c r="Q97" s="547"/>
      <c r="R97" s="547"/>
      <c r="S97" s="547"/>
      <c r="T97" s="547"/>
      <c r="U97" s="547"/>
      <c r="V97" s="547"/>
      <c r="W97" s="547"/>
      <c r="X97" s="547"/>
      <c r="Y97" s="547"/>
      <c r="Z97" s="396"/>
      <c r="AA97" s="396"/>
      <c r="AB97" s="396"/>
      <c r="AC97" s="396"/>
      <c r="AD97" s="396"/>
      <c r="AE97" s="396"/>
      <c r="AF97" s="396"/>
      <c r="AG97" s="396"/>
      <c r="AH97" s="396"/>
      <c r="AI97" s="396"/>
      <c r="AJ97" s="396"/>
      <c r="AK97" s="396"/>
      <c r="AL97" s="396"/>
      <c r="AM97" s="396"/>
      <c r="AN97" s="396"/>
      <c r="AO97" s="396"/>
      <c r="AP97" s="396"/>
      <c r="AQ97" s="396"/>
      <c r="AR97" s="396"/>
      <c r="AS97" s="396"/>
      <c r="AT97" s="396"/>
    </row>
    <row r="98" spans="1:46" x14ac:dyDescent="0.25">
      <c r="A98" s="547"/>
      <c r="B98" s="1805">
        <v>4.4351077834433816E-2</v>
      </c>
      <c r="C98" s="1404">
        <v>4.4358496770696254E-2</v>
      </c>
      <c r="D98" s="1805">
        <v>3.3493659153591704E-2</v>
      </c>
      <c r="E98" s="1404">
        <v>3.348752506549002E-2</v>
      </c>
      <c r="F98" s="1805">
        <v>4.6775334439247862E-2</v>
      </c>
      <c r="G98" s="1404">
        <v>4.6292192056288872E-2</v>
      </c>
      <c r="H98" s="1805">
        <v>5.4831226813270906E-2</v>
      </c>
      <c r="I98" s="1404">
        <v>5.4855078069479202E-2</v>
      </c>
      <c r="J98" s="1409"/>
      <c r="K98" s="1316"/>
      <c r="L98" s="1413">
        <v>6.3550838522140385E-2</v>
      </c>
      <c r="M98" s="1413">
        <v>6.9284082575049366E-2</v>
      </c>
      <c r="N98" s="1413">
        <v>4.7608884492738923E-2</v>
      </c>
      <c r="O98" s="1413">
        <v>3.3495922606974426E-2</v>
      </c>
      <c r="P98" s="547"/>
      <c r="Q98" s="547"/>
      <c r="R98" s="547"/>
      <c r="S98" s="547"/>
      <c r="T98" s="547"/>
      <c r="U98" s="547"/>
      <c r="V98" s="547"/>
      <c r="W98" s="547"/>
      <c r="X98" s="547"/>
      <c r="Y98" s="547"/>
      <c r="Z98" s="396"/>
      <c r="AA98" s="396"/>
      <c r="AB98" s="396"/>
      <c r="AC98" s="396"/>
      <c r="AD98" s="396"/>
      <c r="AE98" s="396"/>
      <c r="AF98" s="396"/>
      <c r="AG98" s="396"/>
      <c r="AH98" s="396"/>
      <c r="AI98" s="396"/>
      <c r="AJ98" s="396"/>
      <c r="AK98" s="396"/>
      <c r="AL98" s="396"/>
      <c r="AM98" s="396"/>
      <c r="AN98" s="396"/>
      <c r="AO98" s="396"/>
      <c r="AP98" s="396"/>
      <c r="AQ98" s="396"/>
      <c r="AR98" s="396"/>
      <c r="AS98" s="396"/>
      <c r="AT98" s="396"/>
    </row>
    <row r="99" spans="1:46" x14ac:dyDescent="0.25">
      <c r="A99" s="547"/>
      <c r="B99" s="1805">
        <v>4.4351077834433816E-2</v>
      </c>
      <c r="C99" s="1404">
        <v>4.4358496770696254E-2</v>
      </c>
      <c r="D99" s="1805">
        <v>3.3493659153591704E-2</v>
      </c>
      <c r="E99" s="1404">
        <v>3.348752506549002E-2</v>
      </c>
      <c r="F99" s="1805">
        <v>4.6775334439247862E-2</v>
      </c>
      <c r="G99" s="1404">
        <v>4.6292192056288872E-2</v>
      </c>
      <c r="H99" s="1805">
        <v>5.4831226813270906E-2</v>
      </c>
      <c r="I99" s="1404">
        <v>4.6292192056288872E-2</v>
      </c>
      <c r="J99" s="1316"/>
      <c r="K99" s="1316"/>
      <c r="L99" s="1413">
        <v>5.3400000000000003E-2</v>
      </c>
      <c r="M99" s="1413">
        <v>3.44E-2</v>
      </c>
      <c r="N99" s="1413">
        <v>3.61E-2</v>
      </c>
      <c r="O99" s="1415">
        <v>1.6799999999999999E-2</v>
      </c>
      <c r="P99" s="547"/>
      <c r="Q99" s="547"/>
      <c r="R99" s="547"/>
      <c r="S99" s="547"/>
      <c r="T99" s="547"/>
      <c r="U99" s="547"/>
      <c r="V99" s="547"/>
      <c r="W99" s="547"/>
      <c r="X99" s="547"/>
      <c r="Y99" s="547"/>
      <c r="Z99" s="396"/>
      <c r="AA99" s="396"/>
      <c r="AB99" s="396"/>
      <c r="AC99" s="396"/>
      <c r="AD99" s="396"/>
      <c r="AE99" s="396"/>
      <c r="AF99" s="396"/>
      <c r="AG99" s="396"/>
      <c r="AH99" s="396"/>
      <c r="AI99" s="396"/>
      <c r="AJ99" s="396"/>
      <c r="AK99" s="396"/>
      <c r="AL99" s="396"/>
      <c r="AM99" s="396"/>
      <c r="AN99" s="396"/>
      <c r="AO99" s="396"/>
      <c r="AP99" s="396"/>
      <c r="AQ99" s="396"/>
      <c r="AR99" s="396"/>
      <c r="AS99" s="396"/>
      <c r="AT99" s="396"/>
    </row>
    <row r="100" spans="1:46" x14ac:dyDescent="0.25">
      <c r="A100" s="547"/>
      <c r="B100" s="1316" t="s">
        <v>68</v>
      </c>
      <c r="C100" s="1410" t="s">
        <v>69</v>
      </c>
      <c r="D100" s="1410" t="s">
        <v>70</v>
      </c>
      <c r="E100" s="1410" t="s">
        <v>71</v>
      </c>
      <c r="F100" s="1410" t="s">
        <v>72</v>
      </c>
      <c r="G100" s="1410" t="s">
        <v>73</v>
      </c>
      <c r="H100" s="1410" t="s">
        <v>74</v>
      </c>
      <c r="I100" s="1410" t="s">
        <v>75</v>
      </c>
      <c r="J100" s="1410" t="s">
        <v>76</v>
      </c>
      <c r="K100" s="1410" t="s">
        <v>4</v>
      </c>
      <c r="L100" s="1410" t="s">
        <v>5</v>
      </c>
      <c r="M100" s="1410" t="s">
        <v>6</v>
      </c>
      <c r="N100" s="1410" t="s">
        <v>7</v>
      </c>
      <c r="O100" s="1410" t="s">
        <v>489</v>
      </c>
      <c r="P100" s="1316"/>
      <c r="Q100" s="1316"/>
      <c r="R100" s="1316"/>
      <c r="S100" s="1316"/>
      <c r="T100" s="1316"/>
      <c r="U100" s="1316"/>
      <c r="V100" s="1316"/>
      <c r="W100" s="1316"/>
      <c r="X100" s="1316"/>
      <c r="Y100" s="1316"/>
      <c r="Z100" s="1381"/>
      <c r="AA100" s="1381"/>
      <c r="AB100" s="1381"/>
      <c r="AC100" s="396"/>
      <c r="AD100" s="396"/>
      <c r="AE100" s="396"/>
      <c r="AF100" s="396"/>
      <c r="AG100" s="396"/>
      <c r="AH100" s="396"/>
      <c r="AI100" s="396"/>
      <c r="AJ100" s="396"/>
      <c r="AK100" s="396"/>
      <c r="AL100" s="396"/>
      <c r="AM100" s="396"/>
      <c r="AN100" s="396"/>
      <c r="AO100" s="396"/>
      <c r="AP100" s="396"/>
      <c r="AQ100" s="396"/>
      <c r="AR100" s="396"/>
      <c r="AS100" s="396"/>
      <c r="AT100" s="396"/>
    </row>
    <row r="101" spans="1:46" x14ac:dyDescent="0.25">
      <c r="A101" s="547"/>
      <c r="B101" s="1416" t="s">
        <v>576</v>
      </c>
      <c r="C101" s="1417">
        <v>1.873602696231691E-2</v>
      </c>
      <c r="D101" s="1417">
        <v>9.108797210934938E-3</v>
      </c>
      <c r="E101" s="1417">
        <v>9.4591026031158876E-3</v>
      </c>
      <c r="F101" s="1417">
        <v>4.4404300293176879E-2</v>
      </c>
      <c r="G101" s="1417">
        <v>5.8062098914157811E-2</v>
      </c>
      <c r="H101" s="1417">
        <v>2.5616856205384897E-2</v>
      </c>
      <c r="I101" s="1417">
        <v>6.5299999999999997E-2</v>
      </c>
      <c r="J101" s="1417">
        <v>5.8799999999999998E-2</v>
      </c>
      <c r="K101" s="1417">
        <v>3.4099999999999998E-2</v>
      </c>
      <c r="L101" s="1404">
        <v>3.0685314279900178E-2</v>
      </c>
      <c r="M101" s="1404">
        <v>1.3912115299726135E-2</v>
      </c>
      <c r="N101" s="1397">
        <v>3.835284309093967E-2</v>
      </c>
      <c r="O101" s="1404">
        <v>2.4447449647438058E-2</v>
      </c>
      <c r="P101" s="1316"/>
      <c r="Q101" s="1316"/>
      <c r="R101" s="1316"/>
      <c r="S101" s="1316"/>
      <c r="T101" s="1316"/>
      <c r="U101" s="1316"/>
      <c r="V101" s="1316"/>
      <c r="W101" s="1316"/>
      <c r="X101" s="1316"/>
      <c r="Y101" s="1316"/>
      <c r="Z101" s="1381"/>
      <c r="AA101" s="1381"/>
      <c r="AB101" s="1381"/>
      <c r="AC101" s="396"/>
      <c r="AD101" s="396"/>
      <c r="AE101" s="396"/>
      <c r="AF101" s="396"/>
      <c r="AG101" s="396"/>
      <c r="AH101" s="396"/>
      <c r="AI101" s="396"/>
      <c r="AJ101" s="396"/>
      <c r="AK101" s="396"/>
      <c r="AL101" s="396"/>
      <c r="AM101" s="396"/>
      <c r="AN101" s="396"/>
      <c r="AO101" s="396"/>
      <c r="AP101" s="396"/>
      <c r="AQ101" s="396"/>
      <c r="AR101" s="396"/>
      <c r="AS101" s="396"/>
      <c r="AT101" s="396"/>
    </row>
    <row r="102" spans="1:46" ht="25.5" x14ac:dyDescent="0.25">
      <c r="A102" s="547"/>
      <c r="B102" s="1416" t="s">
        <v>614</v>
      </c>
      <c r="C102" s="1417">
        <v>1.0160244939989349E-2</v>
      </c>
      <c r="D102" s="1417">
        <v>1.2632336897897599E-2</v>
      </c>
      <c r="E102" s="1417">
        <v>6.5447193794447855E-3</v>
      </c>
      <c r="F102" s="1417">
        <v>6.4913168332380256E-2</v>
      </c>
      <c r="G102" s="1417">
        <v>7.26712654415127E-2</v>
      </c>
      <c r="H102" s="1417">
        <v>5.6628411567296144E-2</v>
      </c>
      <c r="I102" s="1417">
        <v>7.1099999999999997E-2</v>
      </c>
      <c r="J102" s="1417">
        <v>6.5000000000000002E-2</v>
      </c>
      <c r="K102" s="1413">
        <v>3.6600000000000001E-2</v>
      </c>
      <c r="L102" s="1404">
        <v>4.2393881491018082E-2</v>
      </c>
      <c r="M102" s="1404">
        <v>1.2658458727172972E-2</v>
      </c>
      <c r="N102" s="1404">
        <v>4.9299185410158319E-2</v>
      </c>
      <c r="O102" s="1404">
        <v>3.0666420255953675E-2</v>
      </c>
      <c r="P102" s="1316"/>
      <c r="Q102" s="1316"/>
      <c r="R102" s="1316"/>
      <c r="S102" s="1316"/>
      <c r="T102" s="1316"/>
      <c r="U102" s="1316"/>
      <c r="V102" s="1316"/>
      <c r="W102" s="1316"/>
      <c r="X102" s="1316"/>
      <c r="Y102" s="1316"/>
      <c r="Z102" s="1381"/>
      <c r="AA102" s="1381"/>
      <c r="AB102" s="1381"/>
      <c r="AC102" s="396"/>
      <c r="AD102" s="396"/>
      <c r="AE102" s="396"/>
      <c r="AF102" s="396"/>
      <c r="AG102" s="396"/>
      <c r="AH102" s="396"/>
      <c r="AI102" s="396"/>
      <c r="AJ102" s="396"/>
      <c r="AK102" s="396"/>
      <c r="AL102" s="396"/>
      <c r="AM102" s="396"/>
      <c r="AN102" s="396"/>
      <c r="AO102" s="396"/>
      <c r="AP102" s="396"/>
      <c r="AQ102" s="396"/>
      <c r="AR102" s="396"/>
      <c r="AS102" s="396"/>
      <c r="AT102" s="396"/>
    </row>
    <row r="103" spans="1:46" x14ac:dyDescent="0.25">
      <c r="A103" s="547"/>
      <c r="B103" s="1416" t="s">
        <v>149</v>
      </c>
      <c r="C103" s="1413"/>
      <c r="D103" s="1404">
        <v>4.4358496770696254E-2</v>
      </c>
      <c r="E103" s="1404">
        <v>3.348752506549002E-2</v>
      </c>
      <c r="F103" s="1404">
        <v>4.6292192056288872E-2</v>
      </c>
      <c r="G103" s="1404">
        <v>5.4855078069479202E-2</v>
      </c>
      <c r="H103" s="1397">
        <v>0.10228616433299975</v>
      </c>
      <c r="I103" s="1397">
        <v>9.955852290494005E-2</v>
      </c>
      <c r="J103" s="1397">
        <v>-6.8132104071234045E-2</v>
      </c>
      <c r="K103" s="1404">
        <v>8.4054458452162528E-2</v>
      </c>
      <c r="L103" s="1413">
        <v>7.2870800000000013E-2</v>
      </c>
      <c r="M103" s="1413">
        <v>9.7830200000000006E-2</v>
      </c>
      <c r="N103" s="1413">
        <v>2.2631999999999999E-2</v>
      </c>
      <c r="O103" s="1413">
        <v>2.2100000000000002E-2</v>
      </c>
      <c r="P103" s="1410">
        <v>2012</v>
      </c>
      <c r="Q103" s="1410">
        <v>2012</v>
      </c>
      <c r="R103" s="1316"/>
      <c r="S103" s="1316"/>
      <c r="T103" s="1316"/>
      <c r="U103" s="1316"/>
      <c r="V103" s="1316"/>
      <c r="W103" s="1316"/>
      <c r="X103" s="1316"/>
      <c r="Y103" s="1316"/>
      <c r="Z103" s="1381"/>
      <c r="AA103" s="1381"/>
      <c r="AB103" s="1381"/>
      <c r="AC103" s="396"/>
      <c r="AD103" s="396"/>
      <c r="AE103" s="396"/>
      <c r="AF103" s="396"/>
      <c r="AG103" s="396"/>
      <c r="AH103" s="396"/>
      <c r="AI103" s="396"/>
      <c r="AJ103" s="396"/>
      <c r="AK103" s="396"/>
      <c r="AL103" s="396"/>
      <c r="AM103" s="396"/>
      <c r="AN103" s="396"/>
      <c r="AO103" s="396"/>
      <c r="AP103" s="396"/>
      <c r="AQ103" s="396"/>
      <c r="AR103" s="396"/>
      <c r="AS103" s="396"/>
      <c r="AT103" s="396"/>
    </row>
    <row r="104" spans="1:46" ht="38.25" x14ac:dyDescent="0.25">
      <c r="A104" s="547"/>
      <c r="B104" s="1416" t="s">
        <v>588</v>
      </c>
      <c r="C104" s="1413">
        <v>8.3003164545874641E-2</v>
      </c>
      <c r="D104" s="1413">
        <v>3.3154770598104566E-2</v>
      </c>
      <c r="E104" s="1413">
        <v>0.13914319809246978</v>
      </c>
      <c r="F104" s="1413">
        <v>-2.5430695812534876E-2</v>
      </c>
      <c r="G104" s="1413">
        <v>-3.1048601628816175E-2</v>
      </c>
      <c r="H104" s="1417">
        <v>0.11440118978675162</v>
      </c>
      <c r="I104" s="1417">
        <v>9.4964329865828034E-2</v>
      </c>
      <c r="J104" s="1417">
        <v>4.8324125846418209E-2</v>
      </c>
      <c r="K104" s="1413">
        <v>0.21131027801563063</v>
      </c>
      <c r="L104" s="1413">
        <v>-0.13181359999999998</v>
      </c>
      <c r="M104" s="1413">
        <v>3.9028599999999969E-2</v>
      </c>
      <c r="N104" s="1413">
        <v>2.8686999999999907E-2</v>
      </c>
      <c r="O104" s="1413"/>
      <c r="P104" s="1316"/>
      <c r="Q104" s="1316"/>
      <c r="R104" s="1316"/>
      <c r="S104" s="1316"/>
      <c r="T104" s="1316"/>
      <c r="U104" s="1316"/>
      <c r="V104" s="1316"/>
      <c r="W104" s="1316"/>
      <c r="X104" s="1316"/>
      <c r="Y104" s="1316"/>
      <c r="Z104" s="1381"/>
      <c r="AA104" s="1381"/>
      <c r="AB104" s="1381"/>
      <c r="AC104" s="396"/>
      <c r="AD104" s="396"/>
      <c r="AE104" s="396"/>
      <c r="AF104" s="396"/>
      <c r="AG104" s="396"/>
      <c r="AH104" s="396"/>
      <c r="AI104" s="396"/>
      <c r="AJ104" s="396"/>
      <c r="AK104" s="396"/>
      <c r="AL104" s="396"/>
      <c r="AM104" s="396"/>
      <c r="AN104" s="396"/>
      <c r="AO104" s="396"/>
      <c r="AP104" s="396"/>
      <c r="AQ104" s="396"/>
      <c r="AR104" s="396"/>
      <c r="AS104" s="396"/>
      <c r="AT104" s="396"/>
    </row>
    <row r="105" spans="1:46" x14ac:dyDescent="0.25">
      <c r="A105" s="547"/>
      <c r="B105" s="1284" t="s">
        <v>231</v>
      </c>
      <c r="C105" s="547"/>
      <c r="D105" s="547"/>
      <c r="E105" s="1404">
        <v>3.9987584829395129E-3</v>
      </c>
      <c r="F105" s="1404">
        <v>2.9611986271463664E-2</v>
      </c>
      <c r="G105" s="1404">
        <v>-7.0550751994720717E-2</v>
      </c>
      <c r="H105" s="1397">
        <f>(G105+I105)/2</f>
        <v>1.5989319734600105E-2</v>
      </c>
      <c r="I105" s="1397">
        <v>0.10252939146392093</v>
      </c>
      <c r="J105" s="1397">
        <v>-6.4643553990297864E-3</v>
      </c>
      <c r="K105" s="1397">
        <v>3.4645651236723252E-2</v>
      </c>
      <c r="L105" s="1404">
        <v>4.0391400000000077E-2</v>
      </c>
      <c r="M105" s="1404">
        <v>6.4400800000000036E-2</v>
      </c>
      <c r="N105" s="1397">
        <v>2.4486999999999703E-3</v>
      </c>
      <c r="O105" s="1404">
        <v>-9.9356699999999964E-2</v>
      </c>
      <c r="P105" s="1316"/>
      <c r="Q105" s="1316"/>
      <c r="R105" s="1316"/>
      <c r="S105" s="1316"/>
      <c r="T105" s="1316"/>
      <c r="U105" s="1316"/>
      <c r="V105" s="1316"/>
      <c r="W105" s="1316"/>
      <c r="X105" s="1316"/>
      <c r="Y105" s="1316"/>
      <c r="Z105" s="1381"/>
      <c r="AA105" s="1381"/>
      <c r="AB105" s="1381"/>
      <c r="AC105" s="396"/>
      <c r="AD105" s="396"/>
      <c r="AE105" s="396"/>
      <c r="AF105" s="396"/>
      <c r="AG105" s="396"/>
      <c r="AH105" s="396"/>
      <c r="AI105" s="396"/>
      <c r="AJ105" s="396"/>
      <c r="AK105" s="396"/>
      <c r="AL105" s="396"/>
      <c r="AM105" s="396"/>
      <c r="AN105" s="396"/>
      <c r="AO105" s="396"/>
      <c r="AP105" s="396"/>
      <c r="AQ105" s="396"/>
      <c r="AR105" s="396"/>
      <c r="AS105" s="396"/>
      <c r="AT105" s="396"/>
    </row>
    <row r="106" spans="1:46" x14ac:dyDescent="0.25">
      <c r="A106" s="547"/>
      <c r="B106" s="1284" t="s">
        <v>591</v>
      </c>
      <c r="C106" s="1404">
        <v>3.322327476556608E-2</v>
      </c>
      <c r="D106" s="1404">
        <v>2.3249628993118554E-2</v>
      </c>
      <c r="E106" s="1404">
        <v>0.11558794933073346</v>
      </c>
      <c r="F106" s="1404">
        <v>8.1390415353268075E-2</v>
      </c>
      <c r="G106" s="1404">
        <v>7.7798032443197274E-2</v>
      </c>
      <c r="H106" s="1397">
        <v>0.17128562058348273</v>
      </c>
      <c r="I106" s="1397">
        <v>3.1434904997695634E-2</v>
      </c>
      <c r="J106" s="1397">
        <v>0.22072684357009109</v>
      </c>
      <c r="K106" s="1397">
        <v>-4.6564384684544491E-2</v>
      </c>
      <c r="L106" s="1404">
        <v>0.17039852774632869</v>
      </c>
      <c r="M106" s="1397">
        <v>0.10773125181203436</v>
      </c>
      <c r="N106" s="1404">
        <v>3.0178678205015963E-2</v>
      </c>
      <c r="O106" s="1404">
        <v>4.7223874705979219E-2</v>
      </c>
      <c r="P106" s="1316"/>
      <c r="Q106" s="1316"/>
      <c r="R106" s="1316"/>
      <c r="S106" s="1316"/>
      <c r="T106" s="1316"/>
      <c r="U106" s="1316"/>
      <c r="V106" s="1316"/>
      <c r="W106" s="1316"/>
      <c r="X106" s="1316"/>
      <c r="Y106" s="1316"/>
      <c r="Z106" s="1381"/>
      <c r="AA106" s="1381"/>
      <c r="AB106" s="1381"/>
      <c r="AC106" s="396"/>
      <c r="AD106" s="396"/>
      <c r="AE106" s="396"/>
      <c r="AF106" s="396"/>
      <c r="AG106" s="396"/>
      <c r="AH106" s="396"/>
      <c r="AI106" s="396"/>
      <c r="AJ106" s="396"/>
      <c r="AK106" s="396"/>
      <c r="AL106" s="396"/>
      <c r="AM106" s="396"/>
      <c r="AN106" s="396"/>
      <c r="AO106" s="396"/>
      <c r="AP106" s="396"/>
      <c r="AQ106" s="396"/>
      <c r="AR106" s="396"/>
      <c r="AS106" s="396"/>
      <c r="AT106" s="396"/>
    </row>
    <row r="107" spans="1:46" x14ac:dyDescent="0.25">
      <c r="A107" s="547"/>
      <c r="B107" s="1284" t="s">
        <v>218</v>
      </c>
      <c r="C107" s="1404">
        <v>6.9124423963133896E-3</v>
      </c>
      <c r="D107" s="1404">
        <v>-1.1101418226823201E-2</v>
      </c>
      <c r="E107" s="1404">
        <v>-2.5258859784283549E-2</v>
      </c>
      <c r="F107" s="1404">
        <v>0.10267422749291177</v>
      </c>
      <c r="G107" s="1404">
        <v>4.9576024919993245E-2</v>
      </c>
      <c r="H107" s="1404">
        <v>-2.106888063749035E-3</v>
      </c>
      <c r="I107" s="1404">
        <v>5.6328438408597359E-2</v>
      </c>
      <c r="J107" s="1404">
        <v>2.7042744984006939E-2</v>
      </c>
      <c r="K107" s="1404">
        <v>-2.3376840230429075E-3</v>
      </c>
      <c r="L107" s="1404">
        <v>2.7008547043914533E-2</v>
      </c>
      <c r="M107" s="1404">
        <v>0</v>
      </c>
      <c r="N107" s="1404">
        <v>-3.4482758563470384E-2</v>
      </c>
      <c r="O107" s="1413">
        <v>3.8461538461537215E-2</v>
      </c>
      <c r="P107" s="1316"/>
      <c r="Q107" s="1316"/>
      <c r="R107" s="1316"/>
      <c r="S107" s="1316"/>
      <c r="T107" s="1316"/>
      <c r="U107" s="1316"/>
      <c r="V107" s="1316"/>
      <c r="W107" s="1316"/>
      <c r="X107" s="1316"/>
      <c r="Y107" s="1316"/>
      <c r="Z107" s="1381"/>
      <c r="AA107" s="1381"/>
      <c r="AB107" s="1381"/>
      <c r="AC107" s="396"/>
      <c r="AD107" s="396"/>
      <c r="AE107" s="396"/>
      <c r="AF107" s="396"/>
      <c r="AG107" s="396"/>
      <c r="AH107" s="396"/>
      <c r="AI107" s="396"/>
      <c r="AJ107" s="396"/>
      <c r="AK107" s="396"/>
      <c r="AL107" s="396"/>
      <c r="AM107" s="396"/>
      <c r="AN107" s="396"/>
      <c r="AO107" s="396"/>
      <c r="AP107" s="396"/>
      <c r="AQ107" s="396"/>
      <c r="AR107" s="396"/>
      <c r="AS107" s="396"/>
      <c r="AT107" s="396"/>
    </row>
    <row r="108" spans="1:46" ht="25.5" x14ac:dyDescent="0.25">
      <c r="A108" s="547"/>
      <c r="B108" s="1284" t="s">
        <v>616</v>
      </c>
      <c r="C108" s="547">
        <v>0</v>
      </c>
      <c r="D108" s="1404">
        <v>0</v>
      </c>
      <c r="E108" s="547">
        <v>0</v>
      </c>
      <c r="F108" s="547">
        <v>0</v>
      </c>
      <c r="G108" s="547">
        <v>0</v>
      </c>
      <c r="H108" s="1404">
        <v>4.5410964845163715E-2</v>
      </c>
      <c r="I108" s="1404">
        <v>8.0214336676698528E-2</v>
      </c>
      <c r="J108" s="1404">
        <v>4.6738488839055181E-2</v>
      </c>
      <c r="K108" s="1404">
        <v>3.2550560081045843E-2</v>
      </c>
      <c r="L108" s="1404">
        <v>2.792041212388563E-2</v>
      </c>
      <c r="M108" s="1404">
        <v>5.5135423142793627E-4</v>
      </c>
      <c r="N108" s="1404">
        <v>-3.3862776931691152E-2</v>
      </c>
      <c r="O108" s="1404">
        <v>3.8876198132661299E-2</v>
      </c>
      <c r="P108" s="547"/>
      <c r="Q108" s="547"/>
      <c r="R108" s="547"/>
      <c r="S108" s="547"/>
      <c r="T108" s="547"/>
      <c r="U108" s="547"/>
      <c r="V108" s="547"/>
      <c r="W108" s="547"/>
      <c r="X108" s="547"/>
      <c r="Y108" s="547"/>
      <c r="Z108" s="396"/>
      <c r="AA108" s="396"/>
      <c r="AB108" s="396"/>
      <c r="AC108" s="396"/>
      <c r="AD108" s="396"/>
      <c r="AE108" s="396"/>
      <c r="AF108" s="396"/>
      <c r="AG108" s="396"/>
      <c r="AH108" s="396"/>
      <c r="AI108" s="396"/>
      <c r="AJ108" s="396"/>
      <c r="AK108" s="396"/>
      <c r="AL108" s="396"/>
      <c r="AM108" s="396"/>
      <c r="AN108" s="396"/>
      <c r="AO108" s="396"/>
      <c r="AP108" s="396"/>
      <c r="AQ108" s="396"/>
      <c r="AR108" s="396"/>
      <c r="AS108" s="396"/>
      <c r="AT108" s="396"/>
    </row>
    <row r="109" spans="1:46" x14ac:dyDescent="0.25">
      <c r="A109" s="547"/>
      <c r="B109" s="1284" t="s">
        <v>136</v>
      </c>
      <c r="C109" s="1404">
        <v>5.0295686603556433E-2</v>
      </c>
      <c r="D109" s="1404">
        <v>6.2830155287749712E-2</v>
      </c>
      <c r="E109" s="1404">
        <v>7.5196742071585554E-2</v>
      </c>
      <c r="F109" s="1406">
        <v>7.7857899716810453E-2</v>
      </c>
      <c r="G109" s="1406">
        <v>7.7868262721560777E-2</v>
      </c>
      <c r="H109" s="1397">
        <v>7.698839189400597E-2</v>
      </c>
      <c r="I109" s="1397">
        <v>8.0214336676698528E-2</v>
      </c>
      <c r="J109" s="1397">
        <v>5.916841944762874E-2</v>
      </c>
      <c r="K109" s="1404">
        <v>6.704788747213386E-2</v>
      </c>
      <c r="L109" s="1404">
        <v>6.3550838522140385E-2</v>
      </c>
      <c r="M109" s="1404">
        <v>6.9284082575049366E-2</v>
      </c>
      <c r="N109" s="1404">
        <v>4.7608884492738923E-2</v>
      </c>
      <c r="O109" s="1404">
        <v>3.3495922606974426E-2</v>
      </c>
      <c r="P109" s="547"/>
      <c r="Q109" s="547"/>
      <c r="R109" s="547"/>
      <c r="S109" s="547"/>
      <c r="T109" s="547"/>
      <c r="U109" s="547"/>
      <c r="V109" s="547"/>
      <c r="W109" s="547"/>
      <c r="X109" s="547"/>
      <c r="Y109" s="547"/>
      <c r="Z109" s="396"/>
      <c r="AA109" s="396"/>
      <c r="AB109" s="396"/>
      <c r="AC109" s="396"/>
      <c r="AD109" s="396"/>
      <c r="AE109" s="396"/>
      <c r="AF109" s="396"/>
      <c r="AG109" s="396"/>
      <c r="AH109" s="396"/>
      <c r="AI109" s="396"/>
      <c r="AJ109" s="396"/>
      <c r="AK109" s="396"/>
      <c r="AL109" s="396"/>
      <c r="AM109" s="396"/>
      <c r="AN109" s="396"/>
      <c r="AO109" s="396"/>
      <c r="AP109" s="396"/>
      <c r="AQ109" s="396"/>
      <c r="AR109" s="396"/>
      <c r="AS109" s="396"/>
      <c r="AT109" s="396"/>
    </row>
    <row r="110" spans="1:46" ht="25.5" x14ac:dyDescent="0.25">
      <c r="A110" s="547"/>
      <c r="B110" s="1416" t="s">
        <v>617</v>
      </c>
      <c r="C110" s="1397">
        <v>2.2231649310092472E-2</v>
      </c>
      <c r="D110" s="1397">
        <v>2.2575680483144511E-2</v>
      </c>
      <c r="E110" s="1397">
        <v>3.7442776427267566E-2</v>
      </c>
      <c r="F110" s="1397">
        <v>5.7818261544666072E-2</v>
      </c>
      <c r="G110" s="1397">
        <v>4.926635149995251E-2</v>
      </c>
      <c r="H110" s="1404">
        <v>6.4427956415980647E-2</v>
      </c>
      <c r="I110" s="1404">
        <v>7.1108041068716377E-2</v>
      </c>
      <c r="J110" s="1404">
        <v>6.4976766300360644E-2</v>
      </c>
      <c r="K110" s="1408">
        <v>3.6553041824910038E-2</v>
      </c>
      <c r="L110" s="1404">
        <v>5.7329999999999999E-2</v>
      </c>
      <c r="M110" s="1404">
        <v>4.113E-2</v>
      </c>
      <c r="N110" s="1404">
        <v>4.5747999999999997E-2</v>
      </c>
      <c r="O110" s="1411">
        <v>3.1532999999999999E-2</v>
      </c>
      <c r="P110" s="547"/>
      <c r="Q110" s="547"/>
      <c r="R110" s="547"/>
      <c r="S110" s="547"/>
      <c r="T110" s="547"/>
      <c r="U110" s="547"/>
      <c r="V110" s="547"/>
      <c r="W110" s="547"/>
      <c r="X110" s="547"/>
      <c r="Y110" s="547"/>
      <c r="Z110" s="396"/>
      <c r="AA110" s="396"/>
      <c r="AB110" s="396"/>
      <c r="AC110" s="396"/>
      <c r="AD110" s="396"/>
      <c r="AE110" s="396"/>
      <c r="AF110" s="396"/>
      <c r="AG110" s="396"/>
      <c r="AH110" s="396"/>
      <c r="AI110" s="396"/>
      <c r="AJ110" s="396"/>
      <c r="AK110" s="396"/>
      <c r="AL110" s="396"/>
      <c r="AM110" s="396"/>
      <c r="AN110" s="396"/>
      <c r="AO110" s="396"/>
      <c r="AP110" s="396"/>
      <c r="AQ110" s="396"/>
      <c r="AR110" s="396"/>
      <c r="AS110" s="396"/>
      <c r="AT110" s="396"/>
    </row>
    <row r="111" spans="1:46" x14ac:dyDescent="0.25">
      <c r="A111" s="547"/>
      <c r="B111" s="547"/>
      <c r="C111" s="547"/>
      <c r="D111" s="547"/>
      <c r="E111" s="547"/>
      <c r="F111" s="547"/>
      <c r="G111" s="547"/>
      <c r="H111" s="547"/>
      <c r="I111" s="547"/>
      <c r="J111" s="547"/>
      <c r="K111" s="547"/>
      <c r="L111" s="547"/>
      <c r="M111" s="547"/>
      <c r="N111" s="547"/>
      <c r="O111" s="547"/>
      <c r="P111" s="547"/>
      <c r="Q111" s="547"/>
      <c r="R111" s="547"/>
      <c r="S111" s="547"/>
      <c r="T111" s="547"/>
      <c r="U111" s="547"/>
      <c r="V111" s="547"/>
      <c r="W111" s="547"/>
      <c r="X111" s="547"/>
      <c r="Y111" s="547"/>
      <c r="Z111" s="396"/>
      <c r="AA111" s="396"/>
      <c r="AB111" s="396"/>
      <c r="AC111" s="396"/>
      <c r="AD111" s="396"/>
      <c r="AE111" s="396"/>
      <c r="AF111" s="396"/>
      <c r="AG111" s="396"/>
      <c r="AH111" s="396"/>
      <c r="AI111" s="396"/>
      <c r="AJ111" s="396"/>
      <c r="AK111" s="396"/>
      <c r="AL111" s="396"/>
      <c r="AM111" s="396"/>
      <c r="AN111" s="396"/>
      <c r="AO111" s="396"/>
      <c r="AP111" s="396"/>
      <c r="AQ111" s="396"/>
      <c r="AR111" s="396"/>
      <c r="AS111" s="396"/>
      <c r="AT111" s="396"/>
    </row>
    <row r="112" spans="1:46" x14ac:dyDescent="0.25">
      <c r="A112" s="547"/>
      <c r="B112" s="547"/>
      <c r="C112" s="547"/>
      <c r="D112" s="547"/>
      <c r="E112" s="547"/>
      <c r="F112" s="547"/>
      <c r="G112" s="547"/>
      <c r="H112" s="547"/>
      <c r="I112" s="547"/>
      <c r="J112" s="547"/>
      <c r="K112" s="547"/>
      <c r="L112" s="547"/>
      <c r="M112" s="547"/>
      <c r="N112" s="547"/>
      <c r="O112" s="547"/>
      <c r="P112" s="547"/>
      <c r="Q112" s="547"/>
      <c r="R112" s="547"/>
      <c r="S112" s="547"/>
      <c r="T112" s="547"/>
      <c r="U112" s="547"/>
      <c r="V112" s="547"/>
      <c r="W112" s="547"/>
      <c r="X112" s="547"/>
      <c r="Y112" s="547"/>
      <c r="Z112" s="396"/>
      <c r="AA112" s="396"/>
      <c r="AB112" s="396"/>
      <c r="AC112" s="396"/>
      <c r="AD112" s="396"/>
      <c r="AE112" s="396"/>
      <c r="AF112" s="396"/>
      <c r="AG112" s="396"/>
      <c r="AH112" s="396"/>
      <c r="AI112" s="396"/>
      <c r="AJ112" s="396"/>
      <c r="AK112" s="396"/>
      <c r="AL112" s="396"/>
      <c r="AM112" s="396"/>
      <c r="AN112" s="396"/>
      <c r="AO112" s="396"/>
      <c r="AP112" s="396"/>
      <c r="AQ112" s="396"/>
      <c r="AR112" s="396"/>
      <c r="AS112" s="396"/>
      <c r="AT112" s="396"/>
    </row>
    <row r="113" spans="1:46" x14ac:dyDescent="0.25">
      <c r="A113" s="547"/>
      <c r="B113" s="1285">
        <v>1</v>
      </c>
      <c r="C113" s="1286">
        <f t="shared" ref="C113:O113" si="23">C101+1</f>
        <v>1.0187360269623169</v>
      </c>
      <c r="D113" s="1286">
        <f t="shared" si="23"/>
        <v>1.0091087972109349</v>
      </c>
      <c r="E113" s="1286">
        <f t="shared" si="23"/>
        <v>1.0094591026031159</v>
      </c>
      <c r="F113" s="1286">
        <f t="shared" si="23"/>
        <v>1.0444043002931769</v>
      </c>
      <c r="G113" s="1286">
        <f t="shared" si="23"/>
        <v>1.0580620989141578</v>
      </c>
      <c r="H113" s="1286">
        <f t="shared" si="23"/>
        <v>1.0256168562053849</v>
      </c>
      <c r="I113" s="1286">
        <f t="shared" si="23"/>
        <v>1.0652999999999999</v>
      </c>
      <c r="J113" s="1286">
        <f t="shared" si="23"/>
        <v>1.0588</v>
      </c>
      <c r="K113" s="1286">
        <f t="shared" si="23"/>
        <v>1.0341</v>
      </c>
      <c r="L113" s="1286">
        <f t="shared" si="23"/>
        <v>1.0306853142799002</v>
      </c>
      <c r="M113" s="1286">
        <f t="shared" si="23"/>
        <v>1.0139121152997261</v>
      </c>
      <c r="N113" s="1286">
        <f t="shared" si="23"/>
        <v>1.0383528430909397</v>
      </c>
      <c r="O113" s="1286">
        <f t="shared" si="23"/>
        <v>1.0244474496474381</v>
      </c>
      <c r="P113" s="547"/>
      <c r="Q113" s="547"/>
      <c r="R113" s="547"/>
      <c r="S113" s="547"/>
      <c r="T113" s="547"/>
      <c r="U113" s="547"/>
      <c r="V113" s="547"/>
      <c r="W113" s="547"/>
      <c r="X113" s="547"/>
      <c r="Y113" s="547"/>
      <c r="Z113" s="396"/>
      <c r="AA113" s="396"/>
      <c r="AB113" s="396"/>
      <c r="AC113" s="396"/>
      <c r="AD113" s="396"/>
      <c r="AE113" s="396"/>
      <c r="AF113" s="396"/>
      <c r="AG113" s="396"/>
      <c r="AH113" s="396"/>
      <c r="AI113" s="396"/>
      <c r="AJ113" s="396"/>
      <c r="AK113" s="396"/>
      <c r="AL113" s="396"/>
      <c r="AM113" s="396"/>
      <c r="AN113" s="396"/>
      <c r="AO113" s="396"/>
      <c r="AP113" s="396"/>
      <c r="AQ113" s="396"/>
      <c r="AR113" s="396"/>
      <c r="AS113" s="396"/>
      <c r="AT113" s="396"/>
    </row>
    <row r="114" spans="1:46" x14ac:dyDescent="0.25">
      <c r="A114" s="1284" t="s">
        <v>576</v>
      </c>
      <c r="B114" s="1285">
        <v>1</v>
      </c>
      <c r="C114" s="1286">
        <f t="shared" ref="C114:O114" si="24">C102+1</f>
        <v>1.0101602449399893</v>
      </c>
      <c r="D114" s="1286">
        <f t="shared" si="24"/>
        <v>1.0126323368978976</v>
      </c>
      <c r="E114" s="1286">
        <f t="shared" si="24"/>
        <v>1.0065447193794448</v>
      </c>
      <c r="F114" s="1286">
        <f t="shared" si="24"/>
        <v>1.0649131683323803</v>
      </c>
      <c r="G114" s="1286">
        <f t="shared" si="24"/>
        <v>1.0726712654415127</v>
      </c>
      <c r="H114" s="1286">
        <f t="shared" si="24"/>
        <v>1.0566284115672961</v>
      </c>
      <c r="I114" s="1286">
        <f t="shared" si="24"/>
        <v>1.0710999999999999</v>
      </c>
      <c r="J114" s="1286">
        <f t="shared" si="24"/>
        <v>1.0649999999999999</v>
      </c>
      <c r="K114" s="1286">
        <f t="shared" si="24"/>
        <v>1.0366</v>
      </c>
      <c r="L114" s="1286">
        <f t="shared" si="24"/>
        <v>1.0423938814910181</v>
      </c>
      <c r="M114" s="1286">
        <f t="shared" si="24"/>
        <v>1.012658458727173</v>
      </c>
      <c r="N114" s="1286">
        <f t="shared" si="24"/>
        <v>1.0492991854101583</v>
      </c>
      <c r="O114" s="1286">
        <f t="shared" si="24"/>
        <v>1.0306664202559537</v>
      </c>
      <c r="P114" s="547"/>
      <c r="Q114" s="547"/>
      <c r="R114" s="547"/>
      <c r="S114" s="547"/>
      <c r="T114" s="547"/>
      <c r="U114" s="547"/>
      <c r="V114" s="547"/>
      <c r="W114" s="547"/>
      <c r="X114" s="547"/>
      <c r="Y114" s="547"/>
      <c r="Z114" s="396"/>
      <c r="AA114" s="396"/>
      <c r="AB114" s="396"/>
      <c r="AC114" s="396"/>
      <c r="AD114" s="396"/>
      <c r="AE114" s="396"/>
      <c r="AF114" s="396"/>
      <c r="AG114" s="396"/>
      <c r="AH114" s="396"/>
      <c r="AI114" s="396"/>
      <c r="AJ114" s="396"/>
      <c r="AK114" s="396"/>
      <c r="AL114" s="396"/>
      <c r="AM114" s="396"/>
      <c r="AN114" s="396"/>
      <c r="AO114" s="396"/>
      <c r="AP114" s="396"/>
      <c r="AQ114" s="396"/>
      <c r="AR114" s="396"/>
      <c r="AS114" s="396"/>
      <c r="AT114" s="396"/>
    </row>
    <row r="115" spans="1:46" ht="38.25" x14ac:dyDescent="0.25">
      <c r="A115" s="1284" t="s">
        <v>614</v>
      </c>
      <c r="B115" s="1285">
        <v>1</v>
      </c>
      <c r="C115" s="1286">
        <f t="shared" ref="C115:O115" si="25">C103+1</f>
        <v>1</v>
      </c>
      <c r="D115" s="1286">
        <f t="shared" si="25"/>
        <v>1.0443584967706963</v>
      </c>
      <c r="E115" s="1286">
        <f t="shared" si="25"/>
        <v>1.03348752506549</v>
      </c>
      <c r="F115" s="1286">
        <f t="shared" si="25"/>
        <v>1.0462921920562889</v>
      </c>
      <c r="G115" s="1286">
        <f t="shared" si="25"/>
        <v>1.0548550780694792</v>
      </c>
      <c r="H115" s="1286">
        <f t="shared" si="25"/>
        <v>1.1022861643329998</v>
      </c>
      <c r="I115" s="1286">
        <f t="shared" si="25"/>
        <v>1.09955852290494</v>
      </c>
      <c r="J115" s="1286">
        <f t="shared" si="25"/>
        <v>0.93186789592876595</v>
      </c>
      <c r="K115" s="1286">
        <f t="shared" si="25"/>
        <v>1.0840544584521625</v>
      </c>
      <c r="L115" s="1286">
        <f t="shared" si="25"/>
        <v>1.0728708</v>
      </c>
      <c r="M115" s="1286">
        <f t="shared" si="25"/>
        <v>1.0978302</v>
      </c>
      <c r="N115" s="1286">
        <f t="shared" si="25"/>
        <v>1.022632</v>
      </c>
      <c r="O115" s="1286">
        <f t="shared" si="25"/>
        <v>1.0221</v>
      </c>
      <c r="P115" s="547"/>
      <c r="Q115" s="547"/>
      <c r="R115" s="547"/>
      <c r="S115" s="547"/>
      <c r="T115" s="547"/>
      <c r="U115" s="547"/>
      <c r="V115" s="547"/>
      <c r="W115" s="547"/>
      <c r="X115" s="547"/>
      <c r="Y115" s="547"/>
      <c r="Z115" s="396"/>
      <c r="AA115" s="396"/>
      <c r="AB115" s="396"/>
      <c r="AC115" s="396"/>
      <c r="AD115" s="396"/>
      <c r="AE115" s="396"/>
      <c r="AF115" s="396"/>
      <c r="AG115" s="396"/>
      <c r="AH115" s="396"/>
      <c r="AI115" s="396"/>
      <c r="AJ115" s="396"/>
      <c r="AK115" s="396"/>
      <c r="AL115" s="396"/>
      <c r="AM115" s="396"/>
      <c r="AN115" s="396"/>
      <c r="AO115" s="396"/>
      <c r="AP115" s="396"/>
      <c r="AQ115" s="396"/>
      <c r="AR115" s="396"/>
      <c r="AS115" s="396"/>
      <c r="AT115" s="396"/>
    </row>
    <row r="116" spans="1:46" ht="25.5" x14ac:dyDescent="0.25">
      <c r="A116" s="1284" t="s">
        <v>149</v>
      </c>
      <c r="B116" s="1285">
        <v>1</v>
      </c>
      <c r="C116" s="1286" t="e">
        <f>#REF!+1</f>
        <v>#REF!</v>
      </c>
      <c r="D116" s="1286" t="e">
        <f>#REF!+1</f>
        <v>#REF!</v>
      </c>
      <c r="E116" s="1286" t="e">
        <f>#REF!+1</f>
        <v>#REF!</v>
      </c>
      <c r="F116" s="1286" t="e">
        <f>#REF!+1</f>
        <v>#REF!</v>
      </c>
      <c r="G116" s="1286" t="e">
        <f>#REF!+1</f>
        <v>#REF!</v>
      </c>
      <c r="H116" s="1286" t="e">
        <f>#REF!+1</f>
        <v>#REF!</v>
      </c>
      <c r="I116" s="1286" t="e">
        <f>#REF!+1</f>
        <v>#REF!</v>
      </c>
      <c r="J116" s="1286" t="e">
        <f>#REF!+1</f>
        <v>#REF!</v>
      </c>
      <c r="K116" s="1286" t="e">
        <f>#REF!+1</f>
        <v>#REF!</v>
      </c>
      <c r="L116" s="1286" t="e">
        <f>#REF!+1</f>
        <v>#REF!</v>
      </c>
      <c r="M116" s="1286" t="e">
        <f>#REF!+1</f>
        <v>#REF!</v>
      </c>
      <c r="N116" s="1286" t="e">
        <f>#REF!+1</f>
        <v>#REF!</v>
      </c>
      <c r="O116" s="1286" t="e">
        <f>#REF!+1</f>
        <v>#REF!</v>
      </c>
      <c r="P116" s="1286"/>
      <c r="Q116" s="547"/>
      <c r="R116" s="547"/>
      <c r="S116" s="547"/>
      <c r="T116" s="547"/>
      <c r="U116" s="547"/>
      <c r="V116" s="547"/>
      <c r="W116" s="547"/>
      <c r="X116" s="547"/>
      <c r="Y116" s="547"/>
      <c r="Z116" s="396"/>
      <c r="AA116" s="396"/>
      <c r="AB116" s="396"/>
      <c r="AC116" s="396"/>
      <c r="AD116" s="396"/>
      <c r="AE116" s="396"/>
      <c r="AF116" s="396"/>
      <c r="AG116" s="396"/>
      <c r="AH116" s="396"/>
      <c r="AI116" s="396"/>
      <c r="AJ116" s="396"/>
      <c r="AK116" s="396"/>
      <c r="AL116" s="396"/>
      <c r="AM116" s="396"/>
      <c r="AN116" s="396"/>
      <c r="AO116" s="396"/>
      <c r="AP116" s="396"/>
      <c r="AQ116" s="396"/>
      <c r="AR116" s="396"/>
      <c r="AS116" s="396"/>
      <c r="AT116" s="396"/>
    </row>
    <row r="117" spans="1:46" ht="38.25" x14ac:dyDescent="0.25">
      <c r="A117" s="1284" t="s">
        <v>615</v>
      </c>
      <c r="B117" s="1285">
        <v>1</v>
      </c>
      <c r="C117" s="1286">
        <f t="shared" ref="C117:O117" si="26">C104+1</f>
        <v>1.0830031645458746</v>
      </c>
      <c r="D117" s="1286">
        <f t="shared" si="26"/>
        <v>1.0331547705981046</v>
      </c>
      <c r="E117" s="1286">
        <f t="shared" si="26"/>
        <v>1.1391431980924698</v>
      </c>
      <c r="F117" s="1286">
        <f t="shared" si="26"/>
        <v>0.97456930418746512</v>
      </c>
      <c r="G117" s="1286">
        <f t="shared" si="26"/>
        <v>0.96895139837118383</v>
      </c>
      <c r="H117" s="1286">
        <f t="shared" si="26"/>
        <v>1.1144011897867516</v>
      </c>
      <c r="I117" s="1286">
        <f t="shared" si="26"/>
        <v>1.094964329865828</v>
      </c>
      <c r="J117" s="1286">
        <f t="shared" si="26"/>
        <v>1.0483241258464182</v>
      </c>
      <c r="K117" s="1286">
        <f t="shared" si="26"/>
        <v>1.2113102780156306</v>
      </c>
      <c r="L117" s="1286">
        <f t="shared" si="26"/>
        <v>0.86818640000000002</v>
      </c>
      <c r="M117" s="1286">
        <f t="shared" si="26"/>
        <v>1.0390286</v>
      </c>
      <c r="N117" s="1286">
        <f t="shared" si="26"/>
        <v>1.0286869999999999</v>
      </c>
      <c r="O117" s="1286">
        <f t="shared" si="26"/>
        <v>1</v>
      </c>
      <c r="P117" s="1286"/>
      <c r="Q117" s="547"/>
      <c r="R117" s="547"/>
      <c r="S117" s="547"/>
      <c r="T117" s="547"/>
      <c r="U117" s="547"/>
      <c r="V117" s="547"/>
      <c r="W117" s="547"/>
      <c r="X117" s="547"/>
      <c r="Y117" s="547"/>
      <c r="Z117" s="396"/>
      <c r="AA117" s="396"/>
      <c r="AB117" s="396"/>
      <c r="AC117" s="396"/>
      <c r="AD117" s="396"/>
      <c r="AE117" s="396"/>
      <c r="AF117" s="396"/>
      <c r="AG117" s="396"/>
      <c r="AH117" s="396"/>
      <c r="AI117" s="396"/>
      <c r="AJ117" s="396"/>
      <c r="AK117" s="396"/>
      <c r="AL117" s="396"/>
      <c r="AM117" s="396"/>
      <c r="AN117" s="396"/>
      <c r="AO117" s="396"/>
      <c r="AP117" s="396"/>
      <c r="AQ117" s="396"/>
      <c r="AR117" s="396"/>
      <c r="AS117" s="396"/>
      <c r="AT117" s="396"/>
    </row>
    <row r="118" spans="1:46" ht="89.25" x14ac:dyDescent="0.25">
      <c r="A118" s="1284" t="s">
        <v>588</v>
      </c>
      <c r="B118" s="1285"/>
      <c r="C118" s="1286"/>
      <c r="D118" s="1286"/>
      <c r="E118" s="1286"/>
      <c r="F118" s="1286"/>
      <c r="G118" s="1286"/>
      <c r="H118" s="1286">
        <v>1</v>
      </c>
      <c r="I118" s="1286">
        <f t="shared" ref="I118:O123" si="27">I104+1</f>
        <v>1.094964329865828</v>
      </c>
      <c r="J118" s="1286">
        <f t="shared" si="27"/>
        <v>1.0483241258464182</v>
      </c>
      <c r="K118" s="1286">
        <f t="shared" si="27"/>
        <v>1.2113102780156306</v>
      </c>
      <c r="L118" s="1286">
        <f t="shared" si="27"/>
        <v>0.86818640000000002</v>
      </c>
      <c r="M118" s="1286">
        <f t="shared" si="27"/>
        <v>1.0390286</v>
      </c>
      <c r="N118" s="1286">
        <f t="shared" si="27"/>
        <v>1.0286869999999999</v>
      </c>
      <c r="O118" s="1286">
        <f t="shared" si="27"/>
        <v>1</v>
      </c>
      <c r="P118" s="1286"/>
      <c r="Q118" s="547"/>
      <c r="R118" s="547"/>
      <c r="S118" s="547"/>
      <c r="T118" s="547"/>
      <c r="U118" s="547"/>
      <c r="V118" s="547"/>
      <c r="W118" s="547"/>
      <c r="X118" s="547"/>
      <c r="Y118" s="547"/>
      <c r="Z118" s="396"/>
      <c r="AA118" s="396"/>
      <c r="AB118" s="396"/>
      <c r="AC118" s="396"/>
      <c r="AD118" s="396"/>
      <c r="AE118" s="396"/>
      <c r="AF118" s="396"/>
      <c r="AG118" s="396"/>
      <c r="AH118" s="396"/>
      <c r="AI118" s="396"/>
      <c r="AJ118" s="396"/>
      <c r="AK118" s="396"/>
      <c r="AL118" s="396"/>
      <c r="AM118" s="396"/>
      <c r="AN118" s="396"/>
      <c r="AO118" s="396"/>
      <c r="AP118" s="396"/>
      <c r="AQ118" s="396"/>
      <c r="AR118" s="396"/>
      <c r="AS118" s="396"/>
      <c r="AT118" s="396"/>
    </row>
    <row r="119" spans="1:46" ht="25.5" x14ac:dyDescent="0.25">
      <c r="A119" s="1284" t="s">
        <v>231</v>
      </c>
      <c r="B119" s="1285">
        <v>1</v>
      </c>
      <c r="C119" s="1286">
        <f t="shared" ref="C119:H123" si="28">C105+1</f>
        <v>1</v>
      </c>
      <c r="D119" s="1286">
        <f t="shared" si="28"/>
        <v>1</v>
      </c>
      <c r="E119" s="1286">
        <f t="shared" si="28"/>
        <v>1.0039987584829395</v>
      </c>
      <c r="F119" s="1286">
        <f t="shared" si="28"/>
        <v>1.0296119862714637</v>
      </c>
      <c r="G119" s="1286">
        <f t="shared" si="28"/>
        <v>0.92944924800527928</v>
      </c>
      <c r="H119" s="1286">
        <f t="shared" si="28"/>
        <v>1.0159893197346002</v>
      </c>
      <c r="I119" s="1286">
        <f t="shared" si="27"/>
        <v>1.1025293914639209</v>
      </c>
      <c r="J119" s="1286">
        <f t="shared" si="27"/>
        <v>0.99353564460097021</v>
      </c>
      <c r="K119" s="1286">
        <f t="shared" si="27"/>
        <v>1.0346456512367233</v>
      </c>
      <c r="L119" s="1286">
        <f t="shared" si="27"/>
        <v>1.0403914000000001</v>
      </c>
      <c r="M119" s="1286">
        <f t="shared" si="27"/>
        <v>1.0644008</v>
      </c>
      <c r="N119" s="1286">
        <f t="shared" si="27"/>
        <v>1.0024487</v>
      </c>
      <c r="O119" s="1286">
        <f t="shared" si="27"/>
        <v>0.90064330000000004</v>
      </c>
      <c r="P119" s="1286"/>
      <c r="Q119" s="547"/>
      <c r="R119" s="547"/>
      <c r="S119" s="547"/>
      <c r="T119" s="547"/>
      <c r="U119" s="547"/>
      <c r="V119" s="547"/>
      <c r="W119" s="547"/>
      <c r="X119" s="547"/>
      <c r="Y119" s="547"/>
      <c r="Z119" s="396"/>
      <c r="AA119" s="396"/>
      <c r="AB119" s="396"/>
      <c r="AC119" s="396"/>
      <c r="AD119" s="396"/>
      <c r="AE119" s="396"/>
      <c r="AF119" s="396"/>
      <c r="AG119" s="396"/>
      <c r="AH119" s="396"/>
      <c r="AI119" s="396"/>
      <c r="AJ119" s="396"/>
      <c r="AK119" s="396"/>
      <c r="AL119" s="396"/>
      <c r="AM119" s="396"/>
      <c r="AN119" s="396"/>
      <c r="AO119" s="396"/>
      <c r="AP119" s="396"/>
      <c r="AQ119" s="396"/>
      <c r="AR119" s="396"/>
      <c r="AS119" s="396"/>
      <c r="AT119" s="396"/>
    </row>
    <row r="120" spans="1:46" ht="25.5" x14ac:dyDescent="0.25">
      <c r="A120" s="1284" t="s">
        <v>591</v>
      </c>
      <c r="B120" s="1285">
        <v>1</v>
      </c>
      <c r="C120" s="1286">
        <f t="shared" si="28"/>
        <v>1.0332232747655661</v>
      </c>
      <c r="D120" s="1286">
        <f t="shared" si="28"/>
        <v>1.0232496289931186</v>
      </c>
      <c r="E120" s="1286">
        <f t="shared" si="28"/>
        <v>1.1155879493307335</v>
      </c>
      <c r="F120" s="1286">
        <f t="shared" si="28"/>
        <v>1.0813904153532681</v>
      </c>
      <c r="G120" s="1286">
        <f t="shared" si="28"/>
        <v>1.0777980324431973</v>
      </c>
      <c r="H120" s="1286">
        <f t="shared" si="28"/>
        <v>1.1712856205834827</v>
      </c>
      <c r="I120" s="1286">
        <f t="shared" si="27"/>
        <v>1.0314349049976956</v>
      </c>
      <c r="J120" s="1286">
        <f t="shared" si="27"/>
        <v>1.2207268435700911</v>
      </c>
      <c r="K120" s="1286">
        <f t="shared" si="27"/>
        <v>0.95343561531545551</v>
      </c>
      <c r="L120" s="1286">
        <f t="shared" si="27"/>
        <v>1.1703985277463287</v>
      </c>
      <c r="M120" s="1286">
        <f t="shared" si="27"/>
        <v>1.1077312518120344</v>
      </c>
      <c r="N120" s="1286">
        <f t="shared" si="27"/>
        <v>1.030178678205016</v>
      </c>
      <c r="O120" s="1286">
        <f t="shared" si="27"/>
        <v>1.0472238747059792</v>
      </c>
      <c r="P120" s="1286"/>
      <c r="Q120" s="547"/>
      <c r="R120" s="547"/>
      <c r="S120" s="547"/>
      <c r="T120" s="547"/>
      <c r="U120" s="547"/>
      <c r="V120" s="547"/>
      <c r="W120" s="547"/>
      <c r="X120" s="547"/>
      <c r="Y120" s="547"/>
      <c r="Z120" s="396"/>
      <c r="AA120" s="396"/>
      <c r="AB120" s="396"/>
      <c r="AC120" s="396"/>
      <c r="AD120" s="396"/>
      <c r="AE120" s="396"/>
      <c r="AF120" s="396"/>
      <c r="AG120" s="396"/>
      <c r="AH120" s="396"/>
      <c r="AI120" s="396"/>
      <c r="AJ120" s="396"/>
      <c r="AK120" s="396"/>
      <c r="AL120" s="396"/>
      <c r="AM120" s="396"/>
      <c r="AN120" s="396"/>
      <c r="AO120" s="396"/>
      <c r="AP120" s="396"/>
      <c r="AQ120" s="396"/>
      <c r="AR120" s="396"/>
      <c r="AS120" s="396"/>
      <c r="AT120" s="396"/>
    </row>
    <row r="121" spans="1:46" ht="25.5" x14ac:dyDescent="0.25">
      <c r="A121" s="1284" t="s">
        <v>218</v>
      </c>
      <c r="B121" s="1285">
        <v>1</v>
      </c>
      <c r="C121" s="1286">
        <f t="shared" si="28"/>
        <v>1.0069124423963134</v>
      </c>
      <c r="D121" s="1286">
        <f t="shared" si="28"/>
        <v>0.9888985817731768</v>
      </c>
      <c r="E121" s="1286">
        <f t="shared" si="28"/>
        <v>0.97474114021571645</v>
      </c>
      <c r="F121" s="1286">
        <f t="shared" si="28"/>
        <v>1.1026742274929118</v>
      </c>
      <c r="G121" s="1286">
        <f t="shared" si="28"/>
        <v>1.0495760249199932</v>
      </c>
      <c r="H121" s="1286">
        <f t="shared" si="28"/>
        <v>0.99789311193625096</v>
      </c>
      <c r="I121" s="1286">
        <f t="shared" si="27"/>
        <v>1.0563284384085974</v>
      </c>
      <c r="J121" s="1286">
        <f t="shared" si="27"/>
        <v>1.0270427449840069</v>
      </c>
      <c r="K121" s="1286">
        <f t="shared" si="27"/>
        <v>0.99766231597695709</v>
      </c>
      <c r="L121" s="1286">
        <f t="shared" si="27"/>
        <v>1.0270085470439145</v>
      </c>
      <c r="M121" s="1286">
        <f t="shared" si="27"/>
        <v>1</v>
      </c>
      <c r="N121" s="1286">
        <f t="shared" si="27"/>
        <v>0.96551724143652962</v>
      </c>
      <c r="O121" s="1286">
        <f t="shared" si="27"/>
        <v>1.0384615384615372</v>
      </c>
      <c r="P121" s="1286"/>
      <c r="Q121" s="547"/>
      <c r="R121" s="547"/>
      <c r="S121" s="547"/>
      <c r="T121" s="547"/>
      <c r="U121" s="547"/>
      <c r="V121" s="547"/>
      <c r="W121" s="547"/>
      <c r="X121" s="547"/>
      <c r="Y121" s="547"/>
      <c r="Z121" s="396"/>
      <c r="AA121" s="396"/>
      <c r="AB121" s="396"/>
      <c r="AC121" s="396"/>
      <c r="AD121" s="396"/>
      <c r="AE121" s="396"/>
      <c r="AF121" s="396"/>
      <c r="AG121" s="396"/>
      <c r="AH121" s="396"/>
      <c r="AI121" s="396"/>
      <c r="AJ121" s="396"/>
      <c r="AK121" s="396"/>
      <c r="AL121" s="396"/>
      <c r="AM121" s="396"/>
      <c r="AN121" s="396"/>
      <c r="AO121" s="396"/>
      <c r="AP121" s="396"/>
      <c r="AQ121" s="396"/>
      <c r="AR121" s="396"/>
      <c r="AS121" s="396"/>
      <c r="AT121" s="396"/>
    </row>
    <row r="122" spans="1:46" ht="51" x14ac:dyDescent="0.25">
      <c r="A122" s="1284" t="s">
        <v>616</v>
      </c>
      <c r="B122" s="1285">
        <v>1</v>
      </c>
      <c r="C122" s="1286">
        <f t="shared" si="28"/>
        <v>1</v>
      </c>
      <c r="D122" s="1286">
        <f t="shared" si="28"/>
        <v>1</v>
      </c>
      <c r="E122" s="1286">
        <f t="shared" si="28"/>
        <v>1</v>
      </c>
      <c r="F122" s="1286">
        <f t="shared" si="28"/>
        <v>1</v>
      </c>
      <c r="G122" s="1286">
        <f t="shared" si="28"/>
        <v>1</v>
      </c>
      <c r="H122" s="1286">
        <f t="shared" si="28"/>
        <v>1.0454109648451637</v>
      </c>
      <c r="I122" s="1286">
        <f t="shared" si="27"/>
        <v>1.0802143366766985</v>
      </c>
      <c r="J122" s="1286">
        <f t="shared" si="27"/>
        <v>1.0467384888390552</v>
      </c>
      <c r="K122" s="1286">
        <f t="shared" si="27"/>
        <v>1.0325505600810458</v>
      </c>
      <c r="L122" s="1286">
        <f t="shared" si="27"/>
        <v>1.0279204121238856</v>
      </c>
      <c r="M122" s="1286">
        <f t="shared" si="27"/>
        <v>1.0005513542314279</v>
      </c>
      <c r="N122" s="1286">
        <f t="shared" si="27"/>
        <v>0.96613722306830885</v>
      </c>
      <c r="O122" s="1286">
        <f t="shared" si="27"/>
        <v>1.0388761981326613</v>
      </c>
      <c r="P122" s="1286"/>
      <c r="Q122" s="547"/>
      <c r="R122" s="547"/>
      <c r="S122" s="547"/>
      <c r="T122" s="547"/>
      <c r="U122" s="547"/>
      <c r="V122" s="547"/>
      <c r="W122" s="547"/>
      <c r="X122" s="547"/>
      <c r="Y122" s="547"/>
      <c r="Z122" s="396"/>
      <c r="AA122" s="396"/>
      <c r="AB122" s="396"/>
      <c r="AC122" s="396"/>
      <c r="AD122" s="396"/>
      <c r="AE122" s="396"/>
      <c r="AF122" s="396"/>
      <c r="AG122" s="396"/>
      <c r="AH122" s="396"/>
      <c r="AI122" s="396"/>
      <c r="AJ122" s="396"/>
      <c r="AK122" s="396"/>
      <c r="AL122" s="396"/>
      <c r="AM122" s="396"/>
      <c r="AN122" s="396"/>
      <c r="AO122" s="396"/>
      <c r="AP122" s="396"/>
      <c r="AQ122" s="396"/>
      <c r="AR122" s="396"/>
      <c r="AS122" s="396"/>
      <c r="AT122" s="396"/>
    </row>
    <row r="123" spans="1:46" ht="25.5" x14ac:dyDescent="0.25">
      <c r="A123" s="1284" t="s">
        <v>136</v>
      </c>
      <c r="B123" s="1285">
        <v>1</v>
      </c>
      <c r="C123" s="1286">
        <f t="shared" si="28"/>
        <v>1.0502956866035564</v>
      </c>
      <c r="D123" s="1286">
        <f t="shared" si="28"/>
        <v>1.0628301552877497</v>
      </c>
      <c r="E123" s="1286">
        <f t="shared" si="28"/>
        <v>1.0751967420715856</v>
      </c>
      <c r="F123" s="1286">
        <f t="shared" si="28"/>
        <v>1.0778578997168105</v>
      </c>
      <c r="G123" s="1286">
        <f t="shared" si="28"/>
        <v>1.0778682627215608</v>
      </c>
      <c r="H123" s="1286">
        <f t="shared" si="28"/>
        <v>1.076988391894006</v>
      </c>
      <c r="I123" s="1286">
        <f t="shared" si="27"/>
        <v>1.0802143366766985</v>
      </c>
      <c r="J123" s="1286">
        <f t="shared" si="27"/>
        <v>1.0591684194476287</v>
      </c>
      <c r="K123" s="1286">
        <f t="shared" si="27"/>
        <v>1.0670478874721339</v>
      </c>
      <c r="L123" s="1286">
        <f t="shared" si="27"/>
        <v>1.0635508385221404</v>
      </c>
      <c r="M123" s="1286">
        <f t="shared" si="27"/>
        <v>1.0692840825750494</v>
      </c>
      <c r="N123" s="1286">
        <f t="shared" si="27"/>
        <v>1.0476088844927389</v>
      </c>
      <c r="O123" s="1286">
        <f t="shared" si="27"/>
        <v>1.0334959226069744</v>
      </c>
      <c r="P123" s="1286"/>
      <c r="Q123" s="547"/>
      <c r="R123" s="547"/>
      <c r="S123" s="547"/>
      <c r="T123" s="547"/>
      <c r="U123" s="547"/>
      <c r="V123" s="547"/>
      <c r="W123" s="547"/>
      <c r="X123" s="547"/>
      <c r="Y123" s="547"/>
      <c r="Z123" s="396"/>
      <c r="AA123" s="396"/>
      <c r="AB123" s="396"/>
      <c r="AC123" s="396"/>
      <c r="AD123" s="396"/>
      <c r="AE123" s="396"/>
      <c r="AF123" s="396"/>
      <c r="AG123" s="396"/>
      <c r="AH123" s="396"/>
      <c r="AI123" s="396"/>
      <c r="AJ123" s="396"/>
      <c r="AK123" s="396"/>
      <c r="AL123" s="396"/>
      <c r="AM123" s="396"/>
      <c r="AN123" s="396"/>
      <c r="AO123" s="396"/>
      <c r="AP123" s="396"/>
      <c r="AQ123" s="396"/>
      <c r="AR123" s="396"/>
      <c r="AS123" s="396"/>
      <c r="AT123" s="396"/>
    </row>
    <row r="124" spans="1:46" x14ac:dyDescent="0.25">
      <c r="A124" s="547"/>
      <c r="B124" s="1285">
        <v>1</v>
      </c>
      <c r="C124" s="1286" t="e">
        <f>#REF!+1</f>
        <v>#REF!</v>
      </c>
      <c r="D124" s="1286" t="e">
        <f>#REF!+1</f>
        <v>#REF!</v>
      </c>
      <c r="E124" s="1286" t="e">
        <f>#REF!+1</f>
        <v>#REF!</v>
      </c>
      <c r="F124" s="1286" t="e">
        <f>#REF!+1</f>
        <v>#REF!</v>
      </c>
      <c r="G124" s="1286" t="e">
        <f>#REF!+1</f>
        <v>#REF!</v>
      </c>
      <c r="H124" s="1286" t="e">
        <f>#REF!+1</f>
        <v>#REF!</v>
      </c>
      <c r="I124" s="1286" t="e">
        <f>#REF!+1</f>
        <v>#REF!</v>
      </c>
      <c r="J124" s="1286" t="e">
        <f>#REF!+1</f>
        <v>#REF!</v>
      </c>
      <c r="K124" s="1286" t="e">
        <f>#REF!+1</f>
        <v>#REF!</v>
      </c>
      <c r="L124" s="1286" t="e">
        <f>#REF!+1</f>
        <v>#REF!</v>
      </c>
      <c r="M124" s="1286" t="e">
        <f>#REF!+1</f>
        <v>#REF!</v>
      </c>
      <c r="N124" s="1286" t="e">
        <f>#REF!+1</f>
        <v>#REF!</v>
      </c>
      <c r="O124" s="1286" t="e">
        <f>#REF!+1</f>
        <v>#REF!</v>
      </c>
      <c r="P124" s="1286"/>
      <c r="Q124" s="547"/>
      <c r="R124" s="547"/>
      <c r="S124" s="547"/>
      <c r="T124" s="547"/>
      <c r="U124" s="547"/>
      <c r="V124" s="547"/>
      <c r="W124" s="547"/>
      <c r="X124" s="547"/>
      <c r="Y124" s="547"/>
      <c r="Z124" s="396"/>
      <c r="AA124" s="396"/>
      <c r="AB124" s="396"/>
      <c r="AC124" s="396"/>
      <c r="AD124" s="396"/>
      <c r="AE124" s="396"/>
      <c r="AF124" s="396"/>
      <c r="AG124" s="396"/>
      <c r="AH124" s="396"/>
      <c r="AI124" s="396"/>
      <c r="AJ124" s="396"/>
      <c r="AK124" s="396"/>
      <c r="AL124" s="396"/>
      <c r="AM124" s="396"/>
      <c r="AN124" s="396"/>
      <c r="AO124" s="396"/>
      <c r="AP124" s="396"/>
      <c r="AQ124" s="396"/>
      <c r="AR124" s="396"/>
      <c r="AS124" s="396"/>
      <c r="AT124" s="396"/>
    </row>
    <row r="125" spans="1:46" x14ac:dyDescent="0.25">
      <c r="A125" s="547"/>
      <c r="B125" s="1285">
        <v>1</v>
      </c>
      <c r="C125" s="1286">
        <f t="shared" ref="C125:O125" si="29">C110+1</f>
        <v>1.0222316493100925</v>
      </c>
      <c r="D125" s="1286">
        <f t="shared" si="29"/>
        <v>1.0225756804831445</v>
      </c>
      <c r="E125" s="1286">
        <f t="shared" si="29"/>
        <v>1.0374427764272676</v>
      </c>
      <c r="F125" s="1286">
        <f t="shared" si="29"/>
        <v>1.0578182615446661</v>
      </c>
      <c r="G125" s="1286">
        <f t="shared" si="29"/>
        <v>1.0492663514999525</v>
      </c>
      <c r="H125" s="1286">
        <f t="shared" si="29"/>
        <v>1.0644279564159806</v>
      </c>
      <c r="I125" s="1286">
        <f t="shared" si="29"/>
        <v>1.0711080410687164</v>
      </c>
      <c r="J125" s="1286">
        <f t="shared" si="29"/>
        <v>1.0649767663003606</v>
      </c>
      <c r="K125" s="1286">
        <f t="shared" si="29"/>
        <v>1.03655304182491</v>
      </c>
      <c r="L125" s="1286">
        <f t="shared" si="29"/>
        <v>1.0573300000000001</v>
      </c>
      <c r="M125" s="1286">
        <f t="shared" si="29"/>
        <v>1.0411299999999999</v>
      </c>
      <c r="N125" s="1286">
        <f t="shared" si="29"/>
        <v>1.0457479999999999</v>
      </c>
      <c r="O125" s="1286">
        <f t="shared" si="29"/>
        <v>1.031533</v>
      </c>
      <c r="P125" s="1286"/>
      <c r="Q125" s="547"/>
      <c r="R125" s="547"/>
      <c r="S125" s="547"/>
      <c r="T125" s="547"/>
      <c r="U125" s="547"/>
      <c r="V125" s="547"/>
      <c r="W125" s="547"/>
      <c r="X125" s="547"/>
      <c r="Y125" s="547"/>
      <c r="Z125" s="396"/>
      <c r="AA125" s="396"/>
      <c r="AB125" s="396"/>
      <c r="AC125" s="396"/>
      <c r="AD125" s="396"/>
      <c r="AE125" s="396"/>
      <c r="AF125" s="396"/>
      <c r="AG125" s="396"/>
      <c r="AH125" s="396"/>
      <c r="AI125" s="396"/>
      <c r="AJ125" s="396"/>
      <c r="AK125" s="396"/>
      <c r="AL125" s="396"/>
      <c r="AM125" s="396"/>
      <c r="AN125" s="396"/>
      <c r="AO125" s="396"/>
      <c r="AP125" s="396"/>
      <c r="AQ125" s="396"/>
      <c r="AR125" s="396"/>
      <c r="AS125" s="396"/>
      <c r="AT125" s="396"/>
    </row>
    <row r="126" spans="1:46" x14ac:dyDescent="0.25">
      <c r="A126" s="547"/>
      <c r="B126" s="547"/>
      <c r="C126" s="1286"/>
      <c r="D126" s="1286"/>
      <c r="E126" s="1286"/>
      <c r="F126" s="1286"/>
      <c r="G126" s="1286"/>
      <c r="H126" s="1286"/>
      <c r="I126" s="1286"/>
      <c r="J126" s="1286"/>
      <c r="K126" s="1286"/>
      <c r="L126" s="1286"/>
      <c r="M126" s="1286"/>
      <c r="N126" s="1286"/>
      <c r="O126" s="1286"/>
      <c r="P126" s="1286"/>
      <c r="Q126" s="547"/>
      <c r="R126" s="547"/>
      <c r="S126" s="547"/>
      <c r="T126" s="547"/>
      <c r="U126" s="547"/>
      <c r="V126" s="547"/>
      <c r="W126" s="547"/>
      <c r="X126" s="547"/>
      <c r="Y126" s="547"/>
      <c r="Z126" s="396"/>
      <c r="AA126" s="396"/>
      <c r="AB126" s="396"/>
      <c r="AC126" s="396"/>
      <c r="AD126" s="396"/>
      <c r="AE126" s="396"/>
      <c r="AF126" s="396"/>
      <c r="AG126" s="396"/>
      <c r="AH126" s="396"/>
      <c r="AI126" s="396"/>
      <c r="AJ126" s="396"/>
      <c r="AK126" s="396"/>
      <c r="AL126" s="396"/>
      <c r="AM126" s="396"/>
      <c r="AN126" s="396"/>
      <c r="AO126" s="396"/>
      <c r="AP126" s="396"/>
      <c r="AQ126" s="396"/>
      <c r="AR126" s="396"/>
      <c r="AS126" s="396"/>
      <c r="AT126" s="396"/>
    </row>
    <row r="127" spans="1:46" x14ac:dyDescent="0.25">
      <c r="A127" s="1284" t="s">
        <v>576</v>
      </c>
      <c r="B127" s="1285">
        <v>1</v>
      </c>
      <c r="C127" s="1286">
        <f>C113*B113</f>
        <v>1.0187360269623169</v>
      </c>
      <c r="D127" s="1286">
        <f t="shared" ref="D127:O127" si="30">D113*C127</f>
        <v>1.0280154868433902</v>
      </c>
      <c r="E127" s="1286">
        <f t="shared" si="30"/>
        <v>1.0377395908110338</v>
      </c>
      <c r="F127" s="1286">
        <f t="shared" si="30"/>
        <v>1.0838196912275255</v>
      </c>
      <c r="G127" s="1286">
        <f t="shared" si="30"/>
        <v>1.1467485373446902</v>
      </c>
      <c r="H127" s="1286">
        <f t="shared" si="30"/>
        <v>1.1761246297295846</v>
      </c>
      <c r="I127" s="1286">
        <f t="shared" si="30"/>
        <v>1.2529255680509264</v>
      </c>
      <c r="J127" s="1286">
        <f t="shared" si="30"/>
        <v>1.3265975914523207</v>
      </c>
      <c r="K127" s="1286">
        <f t="shared" si="30"/>
        <v>1.3718345693208449</v>
      </c>
      <c r="L127" s="1286">
        <f t="shared" si="30"/>
        <v>1.4139297442204866</v>
      </c>
      <c r="M127" s="1286">
        <f t="shared" si="30"/>
        <v>1.4336004978477943</v>
      </c>
      <c r="N127" s="1286">
        <f t="shared" si="30"/>
        <v>1.4885831527968438</v>
      </c>
      <c r="O127" s="1286">
        <f t="shared" si="30"/>
        <v>1.5249752144708693</v>
      </c>
      <c r="P127" s="1286"/>
      <c r="Q127" s="547"/>
      <c r="R127" s="547"/>
      <c r="S127" s="547"/>
      <c r="T127" s="547"/>
      <c r="U127" s="547"/>
      <c r="V127" s="547"/>
      <c r="W127" s="547"/>
      <c r="X127" s="547"/>
      <c r="Y127" s="547"/>
      <c r="Z127" s="396"/>
      <c r="AA127" s="396"/>
      <c r="AB127" s="396"/>
      <c r="AC127" s="396"/>
      <c r="AD127" s="396"/>
      <c r="AE127" s="396"/>
      <c r="AF127" s="396"/>
      <c r="AG127" s="396"/>
      <c r="AH127" s="396"/>
      <c r="AI127" s="396"/>
      <c r="AJ127" s="396"/>
      <c r="AK127" s="396"/>
      <c r="AL127" s="396"/>
      <c r="AM127" s="396"/>
      <c r="AN127" s="396"/>
      <c r="AO127" s="396"/>
      <c r="AP127" s="396"/>
      <c r="AQ127" s="396"/>
      <c r="AR127" s="396"/>
      <c r="AS127" s="396"/>
      <c r="AT127" s="396"/>
    </row>
    <row r="128" spans="1:46" ht="38.25" x14ac:dyDescent="0.25">
      <c r="A128" s="1284" t="s">
        <v>614</v>
      </c>
      <c r="B128" s="1285">
        <v>1</v>
      </c>
      <c r="C128" s="1286">
        <f>C114*B114</f>
        <v>1.0101602449399893</v>
      </c>
      <c r="D128" s="1286">
        <f t="shared" ref="D128:O128" si="31">D114*C128</f>
        <v>1.022920929474934</v>
      </c>
      <c r="E128" s="1286">
        <f t="shared" si="31"/>
        <v>1.0296156599057082</v>
      </c>
      <c r="F128" s="1286">
        <f t="shared" si="31"/>
        <v>1.0964512745548223</v>
      </c>
      <c r="G128" s="1286">
        <f t="shared" si="31"/>
        <v>1.1761317761716807</v>
      </c>
      <c r="H128" s="1286">
        <f t="shared" si="31"/>
        <v>1.2427342504501058</v>
      </c>
      <c r="I128" s="1286">
        <f t="shared" si="31"/>
        <v>1.3310926556571083</v>
      </c>
      <c r="J128" s="1286">
        <f t="shared" si="31"/>
        <v>1.4176136782748203</v>
      </c>
      <c r="K128" s="1286">
        <f t="shared" si="31"/>
        <v>1.4694983388996787</v>
      </c>
      <c r="L128" s="1286">
        <f t="shared" si="31"/>
        <v>1.5317960773302397</v>
      </c>
      <c r="M128" s="1286">
        <f t="shared" si="31"/>
        <v>1.55118625475357</v>
      </c>
      <c r="N128" s="1286">
        <f t="shared" si="31"/>
        <v>1.6276584735323554</v>
      </c>
      <c r="O128" s="1286">
        <f t="shared" si="31"/>
        <v>1.6775729323148627</v>
      </c>
      <c r="P128" s="1286"/>
      <c r="Q128" s="547"/>
      <c r="R128" s="547"/>
      <c r="S128" s="547"/>
      <c r="T128" s="547"/>
      <c r="U128" s="547"/>
      <c r="V128" s="547"/>
      <c r="W128" s="547"/>
      <c r="X128" s="547"/>
      <c r="Y128" s="547"/>
      <c r="Z128" s="396"/>
      <c r="AA128" s="396"/>
      <c r="AB128" s="396"/>
      <c r="AC128" s="396"/>
      <c r="AD128" s="396"/>
      <c r="AE128" s="396"/>
      <c r="AF128" s="396"/>
      <c r="AG128" s="396"/>
      <c r="AH128" s="396"/>
      <c r="AI128" s="396"/>
      <c r="AJ128" s="396"/>
      <c r="AK128" s="396"/>
      <c r="AL128" s="396"/>
      <c r="AM128" s="396"/>
      <c r="AN128" s="396"/>
      <c r="AO128" s="396"/>
      <c r="AP128" s="396"/>
      <c r="AQ128" s="396"/>
      <c r="AR128" s="396"/>
      <c r="AS128" s="396"/>
      <c r="AT128" s="396"/>
    </row>
    <row r="129" spans="1:46" ht="25.5" x14ac:dyDescent="0.25">
      <c r="A129" s="1284" t="s">
        <v>149</v>
      </c>
      <c r="B129" s="1285">
        <v>1</v>
      </c>
      <c r="C129" s="1286">
        <f>C115*B115</f>
        <v>1</v>
      </c>
      <c r="D129" s="1286">
        <f t="shared" ref="D129:O129" si="32">D115*C129</f>
        <v>1.0443584967706963</v>
      </c>
      <c r="E129" s="1286">
        <f t="shared" si="32"/>
        <v>1.0793314781086625</v>
      </c>
      <c r="F129" s="1286">
        <f t="shared" si="32"/>
        <v>1.1292960981856668</v>
      </c>
      <c r="G129" s="1286">
        <f t="shared" si="32"/>
        <v>1.1912437238151998</v>
      </c>
      <c r="H129" s="1286">
        <f t="shared" si="32"/>
        <v>1.313091475110016</v>
      </c>
      <c r="I129" s="1286">
        <f t="shared" si="32"/>
        <v>1.4438209228110381</v>
      </c>
      <c r="J129" s="1286">
        <f t="shared" si="32"/>
        <v>1.3454503654378513</v>
      </c>
      <c r="K129" s="1286">
        <f t="shared" si="32"/>
        <v>1.458541467278994</v>
      </c>
      <c r="L129" s="1286">
        <f t="shared" si="32"/>
        <v>1.5648265508327881</v>
      </c>
      <c r="M129" s="1286">
        <f t="shared" si="32"/>
        <v>1.7179138452660698</v>
      </c>
      <c r="N129" s="1286">
        <f t="shared" si="32"/>
        <v>1.7567936714121315</v>
      </c>
      <c r="O129" s="1286">
        <f t="shared" si="32"/>
        <v>1.7956188115503395</v>
      </c>
      <c r="P129" s="1286"/>
      <c r="Q129" s="547"/>
      <c r="R129" s="547"/>
      <c r="S129" s="547"/>
      <c r="T129" s="547"/>
      <c r="U129" s="547"/>
      <c r="V129" s="547"/>
      <c r="W129" s="547"/>
      <c r="X129" s="547"/>
      <c r="Y129" s="547"/>
      <c r="Z129" s="396"/>
      <c r="AA129" s="396"/>
      <c r="AB129" s="396"/>
      <c r="AC129" s="396"/>
      <c r="AD129" s="396"/>
      <c r="AE129" s="396"/>
      <c r="AF129" s="396"/>
      <c r="AG129" s="396"/>
      <c r="AH129" s="396"/>
      <c r="AI129" s="396"/>
      <c r="AJ129" s="396"/>
      <c r="AK129" s="396"/>
      <c r="AL129" s="396"/>
      <c r="AM129" s="396"/>
      <c r="AN129" s="396"/>
      <c r="AO129" s="396"/>
      <c r="AP129" s="396"/>
      <c r="AQ129" s="396"/>
      <c r="AR129" s="396"/>
      <c r="AS129" s="396"/>
      <c r="AT129" s="396"/>
    </row>
    <row r="130" spans="1:46" ht="89.25" x14ac:dyDescent="0.25">
      <c r="A130" s="1284" t="s">
        <v>588</v>
      </c>
      <c r="B130" s="1285">
        <v>1</v>
      </c>
      <c r="C130" s="1286">
        <f>C117*B117</f>
        <v>1.0830031645458746</v>
      </c>
      <c r="D130" s="1286">
        <f t="shared" ref="D130:O130" si="33">D117*C130</f>
        <v>1.1189098860234143</v>
      </c>
      <c r="E130" s="1286">
        <f t="shared" si="33"/>
        <v>1.274598585941993</v>
      </c>
      <c r="F130" s="1286">
        <f t="shared" si="33"/>
        <v>1.2421846570198152</v>
      </c>
      <c r="G130" s="1286">
        <f t="shared" si="33"/>
        <v>1.2036165604545792</v>
      </c>
      <c r="H130" s="1286">
        <f t="shared" si="33"/>
        <v>1.3413117270176207</v>
      </c>
      <c r="I130" s="1286">
        <f t="shared" si="33"/>
        <v>1.4686884963150255</v>
      </c>
      <c r="J130" s="1286">
        <f t="shared" si="33"/>
        <v>1.5396615840401395</v>
      </c>
      <c r="K130" s="1286">
        <f t="shared" si="33"/>
        <v>1.8650079014136476</v>
      </c>
      <c r="L130" s="1286">
        <f t="shared" si="33"/>
        <v>1.6191744958998697</v>
      </c>
      <c r="M130" s="1286">
        <f t="shared" si="33"/>
        <v>1.6823686096305472</v>
      </c>
      <c r="N130" s="1286">
        <f t="shared" si="33"/>
        <v>1.7306307179350187</v>
      </c>
      <c r="O130" s="1286">
        <f t="shared" si="33"/>
        <v>1.7306307179350187</v>
      </c>
      <c r="P130" s="1286"/>
      <c r="Q130" s="547"/>
      <c r="R130" s="547"/>
      <c r="S130" s="547"/>
      <c r="T130" s="547"/>
      <c r="U130" s="547"/>
      <c r="V130" s="547"/>
      <c r="W130" s="547"/>
      <c r="X130" s="547"/>
      <c r="Y130" s="547"/>
      <c r="Z130" s="396"/>
      <c r="AA130" s="396"/>
      <c r="AB130" s="396"/>
      <c r="AC130" s="396"/>
      <c r="AD130" s="396"/>
      <c r="AE130" s="396"/>
      <c r="AF130" s="396"/>
      <c r="AG130" s="396"/>
      <c r="AH130" s="396"/>
      <c r="AI130" s="396"/>
      <c r="AJ130" s="396"/>
      <c r="AK130" s="396"/>
      <c r="AL130" s="396"/>
      <c r="AM130" s="396"/>
      <c r="AN130" s="396"/>
      <c r="AO130" s="396"/>
      <c r="AP130" s="396"/>
      <c r="AQ130" s="396"/>
      <c r="AR130" s="396"/>
      <c r="AS130" s="396"/>
      <c r="AT130" s="396"/>
    </row>
    <row r="131" spans="1:46" ht="25.5" x14ac:dyDescent="0.25">
      <c r="A131" s="1284" t="s">
        <v>231</v>
      </c>
      <c r="B131" s="1285">
        <v>1</v>
      </c>
      <c r="C131" s="1286">
        <f t="shared" ref="C131:C137" si="34">C119*B119</f>
        <v>1</v>
      </c>
      <c r="D131" s="1286">
        <f t="shared" ref="D131:O131" si="35">D119*C131</f>
        <v>1</v>
      </c>
      <c r="E131" s="1286">
        <f t="shared" si="35"/>
        <v>1.0039987584829395</v>
      </c>
      <c r="F131" s="1286">
        <f t="shared" si="35"/>
        <v>1.0337291559357029</v>
      </c>
      <c r="G131" s="1286">
        <f t="shared" si="35"/>
        <v>0.96079878662557117</v>
      </c>
      <c r="H131" s="1286">
        <f t="shared" si="35"/>
        <v>0.97616130562554326</v>
      </c>
      <c r="I131" s="1286">
        <f t="shared" si="35"/>
        <v>1.0762465302619568</v>
      </c>
      <c r="J131" s="1286">
        <f t="shared" si="35"/>
        <v>1.0692892901933708</v>
      </c>
      <c r="K131" s="1286">
        <f t="shared" ref="K131:K137" si="36">K119*J131</f>
        <v>1.1063355140125737</v>
      </c>
      <c r="L131" s="1286">
        <f t="shared" si="35"/>
        <v>1.1510219542932612</v>
      </c>
      <c r="M131" s="1286">
        <f t="shared" si="35"/>
        <v>1.2251486889673107</v>
      </c>
      <c r="N131" s="1286">
        <f t="shared" si="35"/>
        <v>1.2281487105619848</v>
      </c>
      <c r="O131" s="1286">
        <f t="shared" si="35"/>
        <v>1.106123907571291</v>
      </c>
      <c r="P131" s="1286"/>
      <c r="Q131" s="547"/>
      <c r="R131" s="547"/>
      <c r="S131" s="547"/>
      <c r="T131" s="547"/>
      <c r="U131" s="547"/>
      <c r="V131" s="547"/>
      <c r="W131" s="547"/>
      <c r="X131" s="547"/>
      <c r="Y131" s="547"/>
      <c r="Z131" s="396"/>
      <c r="AA131" s="396"/>
      <c r="AB131" s="396"/>
      <c r="AC131" s="396"/>
      <c r="AD131" s="396"/>
      <c r="AE131" s="396"/>
      <c r="AF131" s="396"/>
      <c r="AG131" s="396"/>
      <c r="AH131" s="396"/>
      <c r="AI131" s="396"/>
      <c r="AJ131" s="396"/>
      <c r="AK131" s="396"/>
      <c r="AL131" s="396"/>
      <c r="AM131" s="396"/>
      <c r="AN131" s="396"/>
      <c r="AO131" s="396"/>
      <c r="AP131" s="396"/>
      <c r="AQ131" s="396"/>
      <c r="AR131" s="396"/>
      <c r="AS131" s="396"/>
      <c r="AT131" s="396"/>
    </row>
    <row r="132" spans="1:46" ht="25.5" x14ac:dyDescent="0.25">
      <c r="A132" s="1284" t="s">
        <v>591</v>
      </c>
      <c r="B132" s="1285">
        <v>1</v>
      </c>
      <c r="C132" s="1286">
        <f t="shared" si="34"/>
        <v>1.0332232747655661</v>
      </c>
      <c r="D132" s="1286">
        <f t="shared" ref="D132:O132" si="37">D120*C132</f>
        <v>1.0572453325709206</v>
      </c>
      <c r="E132" s="1286">
        <f t="shared" si="37"/>
        <v>1.1794501525022827</v>
      </c>
      <c r="F132" s="1286">
        <f t="shared" si="37"/>
        <v>1.2754460903029188</v>
      </c>
      <c r="G132" s="1286">
        <f t="shared" si="37"/>
        <v>1.3746732866158544</v>
      </c>
      <c r="H132" s="1286">
        <f t="shared" si="37"/>
        <v>1.6101350536133869</v>
      </c>
      <c r="I132" s="1286">
        <f t="shared" si="37"/>
        <v>1.6607494960571834</v>
      </c>
      <c r="J132" s="1286">
        <f t="shared" si="37"/>
        <v>2.027321490282505</v>
      </c>
      <c r="K132" s="1286">
        <f t="shared" si="36"/>
        <v>1.9329205125297464</v>
      </c>
      <c r="L132" s="1286">
        <f t="shared" si="37"/>
        <v>2.2622873221154944</v>
      </c>
      <c r="M132" s="1286">
        <f t="shared" si="37"/>
        <v>2.5060063672854915</v>
      </c>
      <c r="N132" s="1286">
        <f t="shared" si="37"/>
        <v>2.5816343270235214</v>
      </c>
      <c r="O132" s="1286">
        <f t="shared" si="37"/>
        <v>2.7035491030195353</v>
      </c>
      <c r="P132" s="1286"/>
      <c r="Q132" s="547"/>
      <c r="R132" s="547"/>
      <c r="S132" s="547"/>
      <c r="T132" s="547"/>
      <c r="U132" s="547"/>
      <c r="V132" s="547"/>
      <c r="W132" s="547"/>
      <c r="X132" s="547"/>
      <c r="Y132" s="547"/>
      <c r="Z132" s="396"/>
      <c r="AA132" s="396"/>
      <c r="AB132" s="396"/>
      <c r="AC132" s="396"/>
      <c r="AD132" s="396"/>
      <c r="AE132" s="396"/>
      <c r="AF132" s="396"/>
      <c r="AG132" s="396"/>
      <c r="AH132" s="396"/>
      <c r="AI132" s="396"/>
      <c r="AJ132" s="396"/>
      <c r="AK132" s="396"/>
      <c r="AL132" s="396"/>
      <c r="AM132" s="396"/>
      <c r="AN132" s="396"/>
      <c r="AO132" s="396"/>
      <c r="AP132" s="396"/>
      <c r="AQ132" s="396"/>
      <c r="AR132" s="396"/>
      <c r="AS132" s="396"/>
      <c r="AT132" s="396"/>
    </row>
    <row r="133" spans="1:46" ht="25.5" x14ac:dyDescent="0.25">
      <c r="A133" s="1284" t="s">
        <v>218</v>
      </c>
      <c r="B133" s="1285">
        <v>1</v>
      </c>
      <c r="C133" s="1286">
        <f t="shared" si="34"/>
        <v>1.0069124423963134</v>
      </c>
      <c r="D133" s="1286">
        <f t="shared" ref="D133:O133" si="38">D121*C133</f>
        <v>0.99573428625547988</v>
      </c>
      <c r="E133" s="1286">
        <f t="shared" si="38"/>
        <v>0.9705831735365491</v>
      </c>
      <c r="F133" s="1286">
        <f t="shared" si="38"/>
        <v>1.0702370510970329</v>
      </c>
      <c r="G133" s="1286">
        <f t="shared" si="38"/>
        <v>1.1232951498125194</v>
      </c>
      <c r="H133" s="1286">
        <f t="shared" si="38"/>
        <v>1.1209284926693122</v>
      </c>
      <c r="I133" s="1286">
        <f t="shared" si="38"/>
        <v>1.1840686442290773</v>
      </c>
      <c r="J133" s="1286">
        <f t="shared" si="38"/>
        <v>1.216089110618523</v>
      </c>
      <c r="K133" s="1286">
        <f t="shared" si="36"/>
        <v>1.2132462785340337</v>
      </c>
      <c r="L133" s="1286">
        <f t="shared" si="38"/>
        <v>1.2460142977236743</v>
      </c>
      <c r="M133" s="1286">
        <f t="shared" si="38"/>
        <v>1.2460142977236743</v>
      </c>
      <c r="N133" s="1286">
        <f t="shared" si="38"/>
        <v>1.2030482875286368</v>
      </c>
      <c r="O133" s="1286">
        <f t="shared" si="38"/>
        <v>1.2493193755105059</v>
      </c>
      <c r="P133" s="1286"/>
      <c r="Q133" s="547"/>
      <c r="R133" s="547"/>
      <c r="S133" s="547"/>
      <c r="T133" s="547"/>
      <c r="U133" s="547"/>
      <c r="V133" s="547"/>
      <c r="W133" s="547"/>
      <c r="X133" s="547"/>
      <c r="Y133" s="547"/>
      <c r="Z133" s="396"/>
      <c r="AA133" s="396"/>
      <c r="AB133" s="396"/>
      <c r="AC133" s="396"/>
      <c r="AD133" s="396"/>
      <c r="AE133" s="396"/>
      <c r="AF133" s="396"/>
      <c r="AG133" s="396"/>
      <c r="AH133" s="396"/>
      <c r="AI133" s="396"/>
      <c r="AJ133" s="396"/>
      <c r="AK133" s="396"/>
      <c r="AL133" s="396"/>
      <c r="AM133" s="396"/>
      <c r="AN133" s="396"/>
      <c r="AO133" s="396"/>
      <c r="AP133" s="396"/>
      <c r="AQ133" s="396"/>
      <c r="AR133" s="396"/>
      <c r="AS133" s="396"/>
      <c r="AT133" s="396"/>
    </row>
    <row r="134" spans="1:46" ht="51" x14ac:dyDescent="0.25">
      <c r="A134" s="1284" t="s">
        <v>616</v>
      </c>
      <c r="B134" s="1285">
        <v>1</v>
      </c>
      <c r="C134" s="1286">
        <f t="shared" si="34"/>
        <v>1</v>
      </c>
      <c r="D134" s="1286">
        <f t="shared" ref="D134:O134" si="39">D122*C134</f>
        <v>1</v>
      </c>
      <c r="E134" s="1286">
        <f t="shared" si="39"/>
        <v>1</v>
      </c>
      <c r="F134" s="1286">
        <f t="shared" si="39"/>
        <v>1</v>
      </c>
      <c r="G134" s="1286">
        <f t="shared" si="39"/>
        <v>1</v>
      </c>
      <c r="H134" s="1286">
        <f t="shared" si="39"/>
        <v>1.0454109648451637</v>
      </c>
      <c r="I134" s="1286">
        <f t="shared" si="39"/>
        <v>1.1292679119447659</v>
      </c>
      <c r="J134" s="1286">
        <f t="shared" si="39"/>
        <v>1.1820481876434996</v>
      </c>
      <c r="K134" s="1286">
        <f t="shared" si="36"/>
        <v>1.2205245181940807</v>
      </c>
      <c r="L134" s="1286">
        <f t="shared" si="39"/>
        <v>1.2546020657493664</v>
      </c>
      <c r="M134" s="1286">
        <f t="shared" si="39"/>
        <v>1.2552937959070756</v>
      </c>
      <c r="N134" s="1286">
        <f t="shared" si="39"/>
        <v>1.2127860621125384</v>
      </c>
      <c r="O134" s="1286">
        <f t="shared" si="39"/>
        <v>1.2599345733557554</v>
      </c>
      <c r="P134" s="1286"/>
      <c r="Q134" s="547"/>
      <c r="R134" s="547"/>
      <c r="S134" s="547"/>
      <c r="T134" s="547"/>
      <c r="U134" s="547"/>
      <c r="V134" s="547"/>
      <c r="W134" s="547"/>
      <c r="X134" s="547"/>
      <c r="Y134" s="547"/>
      <c r="Z134" s="396"/>
      <c r="AA134" s="396"/>
      <c r="AB134" s="396"/>
      <c r="AC134" s="396"/>
      <c r="AD134" s="396"/>
      <c r="AE134" s="396"/>
      <c r="AF134" s="396"/>
      <c r="AG134" s="396"/>
      <c r="AH134" s="396"/>
      <c r="AI134" s="396"/>
      <c r="AJ134" s="396"/>
      <c r="AK134" s="396"/>
      <c r="AL134" s="396"/>
      <c r="AM134" s="396"/>
      <c r="AN134" s="396"/>
      <c r="AO134" s="396"/>
      <c r="AP134" s="396"/>
      <c r="AQ134" s="396"/>
      <c r="AR134" s="396"/>
      <c r="AS134" s="396"/>
      <c r="AT134" s="396"/>
    </row>
    <row r="135" spans="1:46" ht="25.5" x14ac:dyDescent="0.25">
      <c r="A135" s="1284" t="s">
        <v>136</v>
      </c>
      <c r="B135" s="1287">
        <v>1</v>
      </c>
      <c r="C135" s="1288">
        <f t="shared" si="34"/>
        <v>1.0502956866035564</v>
      </c>
      <c r="D135" s="1288">
        <f t="shared" ref="D135:O135" si="40">D123*C135</f>
        <v>1.1162859276909116</v>
      </c>
      <c r="E135" s="1288">
        <f t="shared" si="40"/>
        <v>1.2002269926736258</v>
      </c>
      <c r="F135" s="1288">
        <f t="shared" si="40"/>
        <v>1.2936741455066179</v>
      </c>
      <c r="G135" s="1288">
        <f t="shared" si="40"/>
        <v>1.3944103037450177</v>
      </c>
      <c r="H135" s="1288">
        <f t="shared" si="40"/>
        <v>1.5017637106707791</v>
      </c>
      <c r="I135" s="1288">
        <f t="shared" si="40"/>
        <v>1.622226690567373</v>
      </c>
      <c r="J135" s="1288">
        <f t="shared" si="40"/>
        <v>1.7182112798340019</v>
      </c>
      <c r="K135" s="1288">
        <f t="shared" si="36"/>
        <v>1.8334137163776631</v>
      </c>
      <c r="L135" s="1288">
        <f t="shared" si="40"/>
        <v>1.9499286954114574</v>
      </c>
      <c r="M135" s="1288">
        <f t="shared" si="40"/>
        <v>2.0850277161598032</v>
      </c>
      <c r="N135" s="1288">
        <f t="shared" si="40"/>
        <v>2.1842935598626143</v>
      </c>
      <c r="O135" s="1288">
        <f t="shared" si="40"/>
        <v>2.2574584878946853</v>
      </c>
      <c r="P135" s="1286"/>
      <c r="Q135" s="547"/>
      <c r="R135" s="547"/>
      <c r="S135" s="547"/>
      <c r="T135" s="547"/>
      <c r="U135" s="547"/>
      <c r="V135" s="547"/>
      <c r="W135" s="547"/>
      <c r="X135" s="547"/>
      <c r="Y135" s="547"/>
      <c r="Z135" s="396"/>
      <c r="AA135" s="396"/>
      <c r="AB135" s="396"/>
      <c r="AC135" s="396"/>
      <c r="AD135" s="396"/>
      <c r="AE135" s="396"/>
      <c r="AF135" s="396"/>
      <c r="AG135" s="396"/>
      <c r="AH135" s="396"/>
      <c r="AI135" s="396"/>
      <c r="AJ135" s="396"/>
      <c r="AK135" s="396"/>
      <c r="AL135" s="396"/>
      <c r="AM135" s="396"/>
      <c r="AN135" s="396"/>
      <c r="AO135" s="396"/>
      <c r="AP135" s="396"/>
      <c r="AQ135" s="396"/>
      <c r="AR135" s="396"/>
      <c r="AS135" s="396"/>
      <c r="AT135" s="396"/>
    </row>
    <row r="136" spans="1:46" x14ac:dyDescent="0.25">
      <c r="A136" s="396"/>
      <c r="B136" s="1287">
        <v>1</v>
      </c>
      <c r="C136" s="1288" t="e">
        <f t="shared" si="34"/>
        <v>#REF!</v>
      </c>
      <c r="D136" s="1288" t="e">
        <f t="shared" ref="D136:O136" si="41">D124*C136</f>
        <v>#REF!</v>
      </c>
      <c r="E136" s="1288" t="e">
        <f t="shared" si="41"/>
        <v>#REF!</v>
      </c>
      <c r="F136" s="1288" t="e">
        <f t="shared" si="41"/>
        <v>#REF!</v>
      </c>
      <c r="G136" s="1288" t="e">
        <f t="shared" si="41"/>
        <v>#REF!</v>
      </c>
      <c r="H136" s="1288" t="e">
        <f t="shared" si="41"/>
        <v>#REF!</v>
      </c>
      <c r="I136" s="1288" t="e">
        <f t="shared" si="41"/>
        <v>#REF!</v>
      </c>
      <c r="J136" s="1288" t="e">
        <f t="shared" si="41"/>
        <v>#REF!</v>
      </c>
      <c r="K136" s="1288" t="e">
        <f t="shared" si="36"/>
        <v>#REF!</v>
      </c>
      <c r="L136" s="1288" t="e">
        <f t="shared" si="41"/>
        <v>#REF!</v>
      </c>
      <c r="M136" s="1288" t="e">
        <f t="shared" si="41"/>
        <v>#REF!</v>
      </c>
      <c r="N136" s="1288" t="e">
        <f t="shared" si="41"/>
        <v>#REF!</v>
      </c>
      <c r="O136" s="1288" t="e">
        <f t="shared" si="41"/>
        <v>#REF!</v>
      </c>
      <c r="P136" s="1286"/>
      <c r="Q136" s="547"/>
      <c r="R136" s="547"/>
      <c r="S136" s="547"/>
      <c r="T136" s="547"/>
      <c r="U136" s="547"/>
      <c r="V136" s="547"/>
      <c r="W136" s="547"/>
      <c r="X136" s="547"/>
      <c r="Y136" s="547"/>
      <c r="Z136" s="396"/>
      <c r="AA136" s="396"/>
      <c r="AB136" s="396"/>
      <c r="AC136" s="396"/>
      <c r="AD136" s="396"/>
      <c r="AE136" s="396"/>
      <c r="AF136" s="396"/>
      <c r="AG136" s="396"/>
      <c r="AH136" s="396"/>
      <c r="AI136" s="396"/>
      <c r="AJ136" s="396"/>
      <c r="AK136" s="396"/>
      <c r="AL136" s="396"/>
      <c r="AM136" s="396"/>
      <c r="AN136" s="396"/>
      <c r="AO136" s="396"/>
      <c r="AP136" s="396"/>
      <c r="AQ136" s="396"/>
      <c r="AR136" s="396"/>
      <c r="AS136" s="396"/>
      <c r="AT136" s="396"/>
    </row>
    <row r="137" spans="1:46" x14ac:dyDescent="0.25">
      <c r="A137" s="396"/>
      <c r="B137" s="1287">
        <v>1</v>
      </c>
      <c r="C137" s="1288">
        <f t="shared" si="34"/>
        <v>1.0222316493100925</v>
      </c>
      <c r="D137" s="1288">
        <f t="shared" ref="D137:O137" si="42">D125*C137</f>
        <v>1.0453092244046749</v>
      </c>
      <c r="E137" s="1288">
        <f t="shared" si="42"/>
        <v>1.0844485039914196</v>
      </c>
      <c r="F137" s="1288">
        <f t="shared" si="42"/>
        <v>1.1471494312269173</v>
      </c>
      <c r="G137" s="1288">
        <f t="shared" si="42"/>
        <v>1.2036652983287133</v>
      </c>
      <c r="H137" s="1286">
        <f t="shared" si="42"/>
        <v>1.2812149937088639</v>
      </c>
      <c r="I137" s="1286">
        <f t="shared" si="42"/>
        <v>1.3723196820993691</v>
      </c>
      <c r="J137" s="1286">
        <f t="shared" si="42"/>
        <v>1.461488577372525</v>
      </c>
      <c r="K137" s="1288">
        <f t="shared" si="36"/>
        <v>1.5149104304678511</v>
      </c>
      <c r="L137" s="1288">
        <f t="shared" si="42"/>
        <v>1.6017602454465731</v>
      </c>
      <c r="M137" s="1288">
        <f t="shared" si="42"/>
        <v>1.6676406443417906</v>
      </c>
      <c r="N137" s="1288">
        <f t="shared" si="42"/>
        <v>1.7439318685391387</v>
      </c>
      <c r="O137" s="1288">
        <f t="shared" si="42"/>
        <v>1.7989232721497834</v>
      </c>
      <c r="P137" s="1288"/>
      <c r="Q137" s="396"/>
      <c r="R137" s="396"/>
      <c r="S137" s="396"/>
      <c r="T137" s="396"/>
      <c r="U137" s="396"/>
      <c r="V137" s="396"/>
      <c r="W137" s="396"/>
      <c r="X137" s="396"/>
      <c r="Y137" s="396"/>
      <c r="Z137" s="396"/>
      <c r="AA137" s="396"/>
      <c r="AB137" s="396"/>
      <c r="AC137" s="396"/>
      <c r="AD137" s="396"/>
      <c r="AE137" s="396"/>
      <c r="AF137" s="396"/>
      <c r="AG137" s="396"/>
      <c r="AH137" s="396"/>
      <c r="AI137" s="396"/>
      <c r="AJ137" s="396"/>
      <c r="AK137" s="396"/>
      <c r="AL137" s="396"/>
      <c r="AM137" s="396"/>
      <c r="AN137" s="396"/>
      <c r="AO137" s="396"/>
      <c r="AP137" s="396"/>
      <c r="AQ137" s="396"/>
      <c r="AR137" s="396"/>
      <c r="AS137" s="396"/>
      <c r="AT137" s="396"/>
    </row>
    <row r="138" spans="1:46" x14ac:dyDescent="0.25">
      <c r="A138" s="396"/>
      <c r="B138" s="396"/>
      <c r="C138" s="1288"/>
      <c r="D138" s="1288"/>
      <c r="E138" s="1288"/>
      <c r="F138" s="1288"/>
      <c r="G138" s="1288"/>
      <c r="H138" s="1286"/>
      <c r="I138" s="1286"/>
      <c r="J138" s="1286"/>
      <c r="K138" s="1288"/>
      <c r="L138" s="396"/>
      <c r="M138" s="396"/>
      <c r="N138" s="396"/>
      <c r="O138" s="396"/>
      <c r="P138" s="1288"/>
      <c r="Q138" s="396"/>
      <c r="R138" s="396"/>
      <c r="S138" s="396"/>
      <c r="T138" s="396"/>
      <c r="U138" s="396"/>
      <c r="V138" s="396"/>
      <c r="W138" s="396"/>
      <c r="X138" s="396"/>
      <c r="Y138" s="396"/>
      <c r="Z138" s="396"/>
      <c r="AA138" s="396"/>
      <c r="AB138" s="396"/>
      <c r="AC138" s="396"/>
      <c r="AD138" s="396"/>
      <c r="AE138" s="396"/>
      <c r="AF138" s="396"/>
      <c r="AG138" s="396"/>
      <c r="AH138" s="396"/>
      <c r="AI138" s="396"/>
      <c r="AJ138" s="396"/>
      <c r="AK138" s="396"/>
      <c r="AL138" s="396"/>
      <c r="AM138" s="396"/>
      <c r="AN138" s="396"/>
      <c r="AO138" s="396"/>
      <c r="AP138" s="396"/>
      <c r="AQ138" s="396"/>
      <c r="AR138" s="396"/>
      <c r="AS138" s="396"/>
      <c r="AT138" s="396"/>
    </row>
    <row r="139" spans="1:46" x14ac:dyDescent="0.25">
      <c r="A139" s="396"/>
      <c r="B139" s="396"/>
      <c r="C139" s="396"/>
      <c r="D139" s="396"/>
      <c r="E139" s="396"/>
      <c r="F139" s="396"/>
      <c r="G139" s="396"/>
      <c r="H139" s="547"/>
      <c r="I139" s="1507">
        <v>7.1099999999999997E-2</v>
      </c>
      <c r="J139" s="547"/>
      <c r="K139" s="396"/>
      <c r="L139" s="396"/>
      <c r="M139" s="396"/>
      <c r="N139" s="396"/>
      <c r="O139" s="396"/>
      <c r="P139" s="1288"/>
      <c r="Q139" s="396"/>
      <c r="R139" s="396"/>
      <c r="S139" s="396"/>
      <c r="T139" s="396"/>
      <c r="U139" s="396"/>
      <c r="V139" s="396"/>
      <c r="W139" s="396"/>
      <c r="X139" s="396"/>
      <c r="Y139" s="396"/>
      <c r="Z139" s="396"/>
      <c r="AA139" s="396"/>
      <c r="AB139" s="396"/>
      <c r="AC139" s="396"/>
      <c r="AD139" s="396"/>
      <c r="AE139" s="396"/>
      <c r="AF139" s="396"/>
      <c r="AG139" s="396"/>
      <c r="AH139" s="396"/>
      <c r="AI139" s="396"/>
      <c r="AJ139" s="396"/>
      <c r="AK139" s="396"/>
      <c r="AL139" s="396"/>
      <c r="AM139" s="396"/>
      <c r="AN139" s="396"/>
      <c r="AO139" s="396"/>
      <c r="AP139" s="396"/>
      <c r="AQ139" s="396"/>
      <c r="AR139" s="396"/>
      <c r="AS139" s="396"/>
      <c r="AT139" s="396"/>
    </row>
    <row r="140" spans="1:46" x14ac:dyDescent="0.25">
      <c r="A140" s="1284" t="s">
        <v>576</v>
      </c>
      <c r="B140" s="396" t="str">
        <f t="shared" ref="B140:O140" si="43">IF($J25=TRUE,B127,"")</f>
        <v/>
      </c>
      <c r="C140" s="396" t="str">
        <f t="shared" si="43"/>
        <v/>
      </c>
      <c r="D140" s="396" t="str">
        <f t="shared" si="43"/>
        <v/>
      </c>
      <c r="E140" s="396" t="str">
        <f t="shared" si="43"/>
        <v/>
      </c>
      <c r="F140" s="396" t="str">
        <f t="shared" si="43"/>
        <v/>
      </c>
      <c r="G140" s="396" t="str">
        <f t="shared" si="43"/>
        <v/>
      </c>
      <c r="H140" s="547" t="str">
        <f t="shared" si="43"/>
        <v/>
      </c>
      <c r="I140" s="547" t="str">
        <f t="shared" si="43"/>
        <v/>
      </c>
      <c r="J140" s="547" t="str">
        <f t="shared" si="43"/>
        <v/>
      </c>
      <c r="K140" s="396" t="str">
        <f t="shared" si="43"/>
        <v/>
      </c>
      <c r="L140" s="396" t="str">
        <f t="shared" si="43"/>
        <v/>
      </c>
      <c r="M140" s="396" t="str">
        <f t="shared" si="43"/>
        <v/>
      </c>
      <c r="N140" s="396" t="str">
        <f t="shared" si="43"/>
        <v/>
      </c>
      <c r="O140" s="396" t="str">
        <f t="shared" si="43"/>
        <v/>
      </c>
      <c r="P140" s="396"/>
      <c r="Q140" s="396"/>
      <c r="R140" s="396"/>
      <c r="S140" s="396"/>
      <c r="T140" s="396"/>
      <c r="U140" s="396"/>
      <c r="V140" s="396"/>
      <c r="W140" s="396"/>
      <c r="X140" s="396"/>
      <c r="Y140" s="396"/>
      <c r="Z140" s="396"/>
      <c r="AA140" s="396"/>
      <c r="AB140" s="396"/>
      <c r="AC140" s="396"/>
      <c r="AD140" s="396"/>
      <c r="AE140" s="396"/>
      <c r="AF140" s="396"/>
      <c r="AG140" s="396"/>
      <c r="AH140" s="396"/>
      <c r="AI140" s="396"/>
      <c r="AJ140" s="396"/>
      <c r="AK140" s="396"/>
      <c r="AL140" s="396"/>
      <c r="AM140" s="396"/>
      <c r="AN140" s="396"/>
      <c r="AO140" s="396"/>
      <c r="AP140" s="396"/>
      <c r="AQ140" s="396"/>
      <c r="AR140" s="396"/>
      <c r="AS140" s="396"/>
      <c r="AT140" s="396"/>
    </row>
    <row r="141" spans="1:46" ht="38.25" x14ac:dyDescent="0.25">
      <c r="A141" s="1284" t="s">
        <v>614</v>
      </c>
      <c r="B141" s="396">
        <f t="shared" ref="B141:O141" si="44">IF($J26=TRUE,B128,"")</f>
        <v>1</v>
      </c>
      <c r="C141" s="396">
        <f t="shared" si="44"/>
        <v>1.0101602449399893</v>
      </c>
      <c r="D141" s="396">
        <f t="shared" si="44"/>
        <v>1.022920929474934</v>
      </c>
      <c r="E141" s="396">
        <f t="shared" si="44"/>
        <v>1.0296156599057082</v>
      </c>
      <c r="F141" s="396">
        <f t="shared" si="44"/>
        <v>1.0964512745548223</v>
      </c>
      <c r="G141" s="396">
        <f t="shared" si="44"/>
        <v>1.1761317761716807</v>
      </c>
      <c r="H141" s="396">
        <f t="shared" si="44"/>
        <v>1.2427342504501058</v>
      </c>
      <c r="I141" s="396">
        <f t="shared" si="44"/>
        <v>1.3310926556571083</v>
      </c>
      <c r="J141" s="396">
        <f t="shared" si="44"/>
        <v>1.4176136782748203</v>
      </c>
      <c r="K141" s="396">
        <f t="shared" si="44"/>
        <v>1.4694983388996787</v>
      </c>
      <c r="L141" s="396">
        <f t="shared" si="44"/>
        <v>1.5317960773302397</v>
      </c>
      <c r="M141" s="396">
        <f t="shared" si="44"/>
        <v>1.55118625475357</v>
      </c>
      <c r="N141" s="396">
        <f t="shared" si="44"/>
        <v>1.6276584735323554</v>
      </c>
      <c r="O141" s="396">
        <f t="shared" si="44"/>
        <v>1.6775729323148627</v>
      </c>
      <c r="P141" s="396"/>
      <c r="Q141" s="396"/>
      <c r="R141" s="396"/>
      <c r="S141" s="396"/>
      <c r="T141" s="396"/>
      <c r="U141" s="396"/>
      <c r="V141" s="396"/>
      <c r="W141" s="396"/>
      <c r="X141" s="396"/>
      <c r="Y141" s="396"/>
      <c r="Z141" s="396"/>
      <c r="AA141" s="396"/>
      <c r="AB141" s="396"/>
      <c r="AC141" s="396"/>
      <c r="AD141" s="396"/>
      <c r="AE141" s="396"/>
      <c r="AF141" s="396"/>
      <c r="AG141" s="396"/>
      <c r="AH141" s="396"/>
      <c r="AI141" s="396"/>
      <c r="AJ141" s="396"/>
      <c r="AK141" s="396"/>
      <c r="AL141" s="396"/>
      <c r="AM141" s="396"/>
      <c r="AN141" s="396"/>
      <c r="AO141" s="396"/>
      <c r="AP141" s="396"/>
      <c r="AQ141" s="396"/>
      <c r="AR141" s="396"/>
      <c r="AS141" s="396"/>
      <c r="AT141" s="396"/>
    </row>
    <row r="142" spans="1:46" ht="25.5" x14ac:dyDescent="0.25">
      <c r="A142" s="1284" t="s">
        <v>149</v>
      </c>
      <c r="B142" s="396">
        <f t="shared" ref="B142:O142" si="45">IF($J27=TRUE,B129,"")</f>
        <v>1</v>
      </c>
      <c r="C142" s="396">
        <f t="shared" si="45"/>
        <v>1</v>
      </c>
      <c r="D142" s="396">
        <f t="shared" si="45"/>
        <v>1.0443584967706963</v>
      </c>
      <c r="E142" s="396">
        <f t="shared" si="45"/>
        <v>1.0793314781086625</v>
      </c>
      <c r="F142" s="396">
        <f t="shared" si="45"/>
        <v>1.1292960981856668</v>
      </c>
      <c r="G142" s="396">
        <f t="shared" si="45"/>
        <v>1.1912437238151998</v>
      </c>
      <c r="H142" s="396">
        <f t="shared" si="45"/>
        <v>1.313091475110016</v>
      </c>
      <c r="I142" s="396">
        <f t="shared" si="45"/>
        <v>1.4438209228110381</v>
      </c>
      <c r="J142" s="396">
        <f t="shared" si="45"/>
        <v>1.3454503654378513</v>
      </c>
      <c r="K142" s="396">
        <f t="shared" si="45"/>
        <v>1.458541467278994</v>
      </c>
      <c r="L142" s="396">
        <f t="shared" si="45"/>
        <v>1.5648265508327881</v>
      </c>
      <c r="M142" s="396">
        <f t="shared" si="45"/>
        <v>1.7179138452660698</v>
      </c>
      <c r="N142" s="396">
        <f t="shared" si="45"/>
        <v>1.7567936714121315</v>
      </c>
      <c r="O142" s="396">
        <f t="shared" si="45"/>
        <v>1.7956188115503395</v>
      </c>
      <c r="P142" s="396"/>
      <c r="Q142" s="396"/>
      <c r="R142" s="396"/>
      <c r="S142" s="396"/>
      <c r="T142" s="396"/>
      <c r="U142" s="396"/>
      <c r="V142" s="396"/>
      <c r="W142" s="396"/>
      <c r="X142" s="396"/>
      <c r="Y142" s="396"/>
      <c r="Z142" s="396"/>
      <c r="AA142" s="396"/>
      <c r="AB142" s="396"/>
      <c r="AC142" s="396"/>
      <c r="AD142" s="396"/>
      <c r="AE142" s="396"/>
      <c r="AF142" s="396"/>
      <c r="AG142" s="396"/>
      <c r="AH142" s="396"/>
      <c r="AI142" s="396"/>
      <c r="AJ142" s="396"/>
      <c r="AK142" s="396"/>
      <c r="AL142" s="396"/>
      <c r="AM142" s="396"/>
      <c r="AN142" s="396"/>
      <c r="AO142" s="396"/>
      <c r="AP142" s="396"/>
      <c r="AQ142" s="396"/>
      <c r="AR142" s="396"/>
      <c r="AS142" s="396"/>
      <c r="AT142" s="396"/>
    </row>
    <row r="143" spans="1:46" ht="25.5" x14ac:dyDescent="0.25">
      <c r="A143" s="1284" t="s">
        <v>452</v>
      </c>
      <c r="B143" s="396">
        <f t="shared" ref="B143:O143" si="46">IF($J28=TRUE,B130,"")</f>
        <v>1</v>
      </c>
      <c r="C143" s="396">
        <f t="shared" si="46"/>
        <v>1.0830031645458746</v>
      </c>
      <c r="D143" s="396">
        <f t="shared" si="46"/>
        <v>1.1189098860234143</v>
      </c>
      <c r="E143" s="396">
        <f t="shared" si="46"/>
        <v>1.274598585941993</v>
      </c>
      <c r="F143" s="396">
        <f t="shared" si="46"/>
        <v>1.2421846570198152</v>
      </c>
      <c r="G143" s="396">
        <f t="shared" si="46"/>
        <v>1.2036165604545792</v>
      </c>
      <c r="H143" s="396">
        <f t="shared" si="46"/>
        <v>1.3413117270176207</v>
      </c>
      <c r="I143" s="396">
        <f t="shared" si="46"/>
        <v>1.4686884963150255</v>
      </c>
      <c r="J143" s="396">
        <f t="shared" si="46"/>
        <v>1.5396615840401395</v>
      </c>
      <c r="K143" s="396">
        <f t="shared" si="46"/>
        <v>1.8650079014136476</v>
      </c>
      <c r="L143" s="396">
        <f t="shared" si="46"/>
        <v>1.6191744958998697</v>
      </c>
      <c r="M143" s="396">
        <f t="shared" si="46"/>
        <v>1.6823686096305472</v>
      </c>
      <c r="N143" s="396">
        <f t="shared" si="46"/>
        <v>1.7306307179350187</v>
      </c>
      <c r="O143" s="396">
        <f t="shared" si="46"/>
        <v>1.7306307179350187</v>
      </c>
      <c r="P143" s="396"/>
      <c r="Q143" s="396"/>
      <c r="R143" s="396"/>
      <c r="S143" s="396"/>
      <c r="T143" s="396"/>
      <c r="U143" s="396"/>
      <c r="V143" s="396"/>
      <c r="W143" s="396"/>
      <c r="X143" s="396"/>
      <c r="Y143" s="396"/>
      <c r="Z143" s="396"/>
      <c r="AA143" s="396"/>
      <c r="AB143" s="396"/>
      <c r="AC143" s="396"/>
      <c r="AD143" s="396"/>
      <c r="AE143" s="396"/>
      <c r="AF143" s="396"/>
      <c r="AG143" s="396"/>
      <c r="AH143" s="396"/>
      <c r="AI143" s="396"/>
      <c r="AJ143" s="396"/>
      <c r="AK143" s="396"/>
      <c r="AL143" s="396"/>
      <c r="AM143" s="396"/>
      <c r="AN143" s="396"/>
      <c r="AO143" s="396"/>
      <c r="AP143" s="396"/>
      <c r="AQ143" s="396"/>
      <c r="AR143" s="396"/>
      <c r="AS143" s="396"/>
      <c r="AT143" s="396"/>
    </row>
    <row r="144" spans="1:46" ht="25.5" x14ac:dyDescent="0.25">
      <c r="A144" s="1284" t="s">
        <v>231</v>
      </c>
      <c r="B144" s="396">
        <f t="shared" ref="B144:G148" si="47">IF($J29=TRUE,B131,"")</f>
        <v>1</v>
      </c>
      <c r="C144" s="396">
        <f t="shared" si="47"/>
        <v>1</v>
      </c>
      <c r="D144" s="396">
        <f t="shared" si="47"/>
        <v>1</v>
      </c>
      <c r="E144" s="396">
        <f t="shared" si="47"/>
        <v>1.0039987584829395</v>
      </c>
      <c r="F144" s="396">
        <f t="shared" si="47"/>
        <v>1.0337291559357029</v>
      </c>
      <c r="G144" s="396">
        <f t="shared" si="47"/>
        <v>0.96079878662557117</v>
      </c>
      <c r="H144" s="396">
        <f t="shared" ref="H144:I146" si="48">IF($J29=TRUE,H130,"")</f>
        <v>1.3413117270176207</v>
      </c>
      <c r="I144" s="396">
        <f t="shared" si="48"/>
        <v>1.4686884963150255</v>
      </c>
      <c r="J144" s="396">
        <f t="shared" ref="J144:O148" si="49">IF($J29=TRUE,J131,"")</f>
        <v>1.0692892901933708</v>
      </c>
      <c r="K144" s="396">
        <f t="shared" si="49"/>
        <v>1.1063355140125737</v>
      </c>
      <c r="L144" s="396">
        <f t="shared" si="49"/>
        <v>1.1510219542932612</v>
      </c>
      <c r="M144" s="396">
        <f t="shared" si="49"/>
        <v>1.2251486889673107</v>
      </c>
      <c r="N144" s="396">
        <f t="shared" si="49"/>
        <v>1.2281487105619848</v>
      </c>
      <c r="O144" s="396">
        <f t="shared" si="49"/>
        <v>1.106123907571291</v>
      </c>
      <c r="P144" s="396"/>
      <c r="Q144" s="396"/>
      <c r="R144" s="396"/>
      <c r="S144" s="396"/>
      <c r="T144" s="396"/>
      <c r="U144" s="396"/>
      <c r="V144" s="396"/>
      <c r="W144" s="396"/>
      <c r="X144" s="396"/>
      <c r="Y144" s="396"/>
      <c r="Z144" s="396"/>
      <c r="AA144" s="396"/>
      <c r="AB144" s="396"/>
      <c r="AC144" s="396"/>
      <c r="AD144" s="396"/>
      <c r="AE144" s="396"/>
      <c r="AF144" s="396"/>
      <c r="AG144" s="396"/>
      <c r="AH144" s="396"/>
      <c r="AI144" s="396"/>
      <c r="AJ144" s="396"/>
      <c r="AK144" s="396"/>
      <c r="AL144" s="396"/>
      <c r="AM144" s="396"/>
      <c r="AN144" s="396"/>
      <c r="AO144" s="396"/>
      <c r="AP144" s="396"/>
      <c r="AQ144" s="396"/>
      <c r="AR144" s="396"/>
      <c r="AS144" s="396"/>
      <c r="AT144" s="396"/>
    </row>
    <row r="145" spans="1:46" ht="25.5" x14ac:dyDescent="0.25">
      <c r="A145" s="1284" t="s">
        <v>591</v>
      </c>
      <c r="B145" s="396">
        <f t="shared" si="47"/>
        <v>1</v>
      </c>
      <c r="C145" s="396">
        <f t="shared" si="47"/>
        <v>1.0332232747655661</v>
      </c>
      <c r="D145" s="396">
        <f t="shared" si="47"/>
        <v>1.0572453325709206</v>
      </c>
      <c r="E145" s="396">
        <f t="shared" si="47"/>
        <v>1.1794501525022827</v>
      </c>
      <c r="F145" s="396">
        <f t="shared" si="47"/>
        <v>1.2754460903029188</v>
      </c>
      <c r="G145" s="396">
        <f t="shared" si="47"/>
        <v>1.3746732866158544</v>
      </c>
      <c r="H145" s="396">
        <f t="shared" si="48"/>
        <v>0.97616130562554326</v>
      </c>
      <c r="I145" s="396">
        <f t="shared" si="48"/>
        <v>1.0762465302619568</v>
      </c>
      <c r="J145" s="396">
        <f t="shared" si="49"/>
        <v>2.027321490282505</v>
      </c>
      <c r="K145" s="396">
        <f t="shared" si="49"/>
        <v>1.9329205125297464</v>
      </c>
      <c r="L145" s="396">
        <f t="shared" si="49"/>
        <v>2.2622873221154944</v>
      </c>
      <c r="M145" s="396">
        <f t="shared" si="49"/>
        <v>2.5060063672854915</v>
      </c>
      <c r="N145" s="396">
        <f t="shared" si="49"/>
        <v>2.5816343270235214</v>
      </c>
      <c r="O145" s="396">
        <f t="shared" si="49"/>
        <v>2.7035491030195353</v>
      </c>
      <c r="P145" s="396"/>
      <c r="Q145" s="396"/>
      <c r="R145" s="396"/>
      <c r="S145" s="396"/>
      <c r="T145" s="396"/>
      <c r="U145" s="396"/>
      <c r="V145" s="396"/>
      <c r="W145" s="396"/>
      <c r="X145" s="396"/>
      <c r="Y145" s="396"/>
      <c r="Z145" s="396"/>
      <c r="AA145" s="396"/>
      <c r="AB145" s="396"/>
      <c r="AC145" s="396"/>
      <c r="AD145" s="396"/>
      <c r="AE145" s="396"/>
      <c r="AF145" s="396"/>
      <c r="AG145" s="396"/>
      <c r="AH145" s="396"/>
      <c r="AI145" s="396"/>
      <c r="AJ145" s="396"/>
      <c r="AK145" s="396"/>
      <c r="AL145" s="396"/>
      <c r="AM145" s="396"/>
      <c r="AN145" s="396"/>
      <c r="AO145" s="396"/>
      <c r="AP145" s="396"/>
      <c r="AQ145" s="396"/>
      <c r="AR145" s="396"/>
      <c r="AS145" s="396"/>
      <c r="AT145" s="396"/>
    </row>
    <row r="146" spans="1:46" ht="25.5" x14ac:dyDescent="0.25">
      <c r="A146" s="1284" t="s">
        <v>218</v>
      </c>
      <c r="B146" s="396">
        <f t="shared" si="47"/>
        <v>1</v>
      </c>
      <c r="C146" s="396">
        <f t="shared" si="47"/>
        <v>1.0069124423963134</v>
      </c>
      <c r="D146" s="396">
        <f t="shared" si="47"/>
        <v>0.99573428625547988</v>
      </c>
      <c r="E146" s="396">
        <f t="shared" si="47"/>
        <v>0.9705831735365491</v>
      </c>
      <c r="F146" s="396">
        <f t="shared" si="47"/>
        <v>1.0702370510970329</v>
      </c>
      <c r="G146" s="396">
        <f t="shared" si="47"/>
        <v>1.1232951498125194</v>
      </c>
      <c r="H146" s="396">
        <f t="shared" si="48"/>
        <v>1.6101350536133869</v>
      </c>
      <c r="I146" s="396">
        <f t="shared" si="48"/>
        <v>1.6607494960571834</v>
      </c>
      <c r="J146" s="396">
        <f t="shared" si="49"/>
        <v>1.216089110618523</v>
      </c>
      <c r="K146" s="396">
        <f t="shared" si="49"/>
        <v>1.2132462785340337</v>
      </c>
      <c r="L146" s="396">
        <f t="shared" si="49"/>
        <v>1.2460142977236743</v>
      </c>
      <c r="M146" s="396">
        <f t="shared" si="49"/>
        <v>1.2460142977236743</v>
      </c>
      <c r="N146" s="396">
        <f t="shared" si="49"/>
        <v>1.2030482875286368</v>
      </c>
      <c r="O146" s="396">
        <f t="shared" si="49"/>
        <v>1.2493193755105059</v>
      </c>
      <c r="P146" s="396"/>
      <c r="Q146" s="396"/>
      <c r="R146" s="396"/>
      <c r="S146" s="396"/>
      <c r="T146" s="396"/>
      <c r="U146" s="396"/>
      <c r="V146" s="396"/>
      <c r="W146" s="396"/>
      <c r="X146" s="396"/>
      <c r="Y146" s="396"/>
      <c r="Z146" s="396"/>
      <c r="AA146" s="396"/>
      <c r="AB146" s="396"/>
      <c r="AC146" s="396"/>
      <c r="AD146" s="396"/>
      <c r="AE146" s="396"/>
      <c r="AF146" s="396"/>
      <c r="AG146" s="396"/>
      <c r="AH146" s="396"/>
      <c r="AI146" s="396"/>
      <c r="AJ146" s="396"/>
      <c r="AK146" s="396"/>
      <c r="AL146" s="396"/>
      <c r="AM146" s="396"/>
      <c r="AN146" s="396"/>
      <c r="AO146" s="396"/>
      <c r="AP146" s="396"/>
      <c r="AQ146" s="396"/>
      <c r="AR146" s="396"/>
      <c r="AS146" s="396"/>
      <c r="AT146" s="396"/>
    </row>
    <row r="147" spans="1:46" ht="51" x14ac:dyDescent="0.25">
      <c r="A147" s="1284" t="s">
        <v>616</v>
      </c>
      <c r="B147" s="396">
        <f t="shared" si="47"/>
        <v>1</v>
      </c>
      <c r="C147" s="396">
        <f t="shared" si="47"/>
        <v>1</v>
      </c>
      <c r="D147" s="396">
        <f t="shared" si="47"/>
        <v>1</v>
      </c>
      <c r="E147" s="396">
        <f t="shared" si="47"/>
        <v>1</v>
      </c>
      <c r="F147" s="396">
        <f t="shared" si="47"/>
        <v>1</v>
      </c>
      <c r="G147" s="396">
        <f t="shared" si="47"/>
        <v>1</v>
      </c>
      <c r="H147" s="396">
        <f>IF($J32=TRUE,H134,"")</f>
        <v>1.0454109648451637</v>
      </c>
      <c r="I147" s="396">
        <f>IF($J32=TRUE,I134,"")</f>
        <v>1.1292679119447659</v>
      </c>
      <c r="J147" s="396">
        <f t="shared" si="49"/>
        <v>1.1820481876434996</v>
      </c>
      <c r="K147" s="396">
        <f t="shared" si="49"/>
        <v>1.2205245181940807</v>
      </c>
      <c r="L147" s="396">
        <f t="shared" si="49"/>
        <v>1.2546020657493664</v>
      </c>
      <c r="M147" s="396">
        <f t="shared" si="49"/>
        <v>1.2552937959070756</v>
      </c>
      <c r="N147" s="396">
        <f t="shared" si="49"/>
        <v>1.2127860621125384</v>
      </c>
      <c r="O147" s="396">
        <f t="shared" si="49"/>
        <v>1.2599345733557554</v>
      </c>
      <c r="P147" s="396"/>
      <c r="Q147" s="396"/>
      <c r="R147" s="396"/>
      <c r="S147" s="396"/>
      <c r="T147" s="396"/>
      <c r="U147" s="396"/>
      <c r="V147" s="396"/>
      <c r="W147" s="396"/>
      <c r="X147" s="396"/>
      <c r="Y147" s="396"/>
      <c r="Z147" s="396"/>
      <c r="AA147" s="396"/>
      <c r="AB147" s="396"/>
      <c r="AC147" s="396"/>
      <c r="AD147" s="396"/>
      <c r="AE147" s="396"/>
      <c r="AF147" s="396"/>
      <c r="AG147" s="396"/>
      <c r="AH147" s="396"/>
      <c r="AI147" s="396"/>
      <c r="AJ147" s="396"/>
      <c r="AK147" s="396"/>
      <c r="AL147" s="396"/>
      <c r="AM147" s="396"/>
      <c r="AN147" s="396"/>
      <c r="AO147" s="396"/>
      <c r="AP147" s="396"/>
      <c r="AQ147" s="396"/>
      <c r="AR147" s="396"/>
      <c r="AS147" s="396"/>
      <c r="AT147" s="396"/>
    </row>
    <row r="148" spans="1:46" ht="25.5" x14ac:dyDescent="0.25">
      <c r="A148" s="1284" t="s">
        <v>136</v>
      </c>
      <c r="B148" s="396">
        <f t="shared" si="47"/>
        <v>1</v>
      </c>
      <c r="C148" s="396">
        <f t="shared" si="47"/>
        <v>1.0502956866035564</v>
      </c>
      <c r="D148" s="396">
        <f t="shared" si="47"/>
        <v>1.1162859276909116</v>
      </c>
      <c r="E148" s="396">
        <f t="shared" si="47"/>
        <v>1.2002269926736258</v>
      </c>
      <c r="F148" s="396">
        <f t="shared" si="47"/>
        <v>1.2936741455066179</v>
      </c>
      <c r="G148" s="396">
        <f t="shared" si="47"/>
        <v>1.3944103037450177</v>
      </c>
      <c r="H148" s="396">
        <f>IF($J33=TRUE,H135,"")</f>
        <v>1.5017637106707791</v>
      </c>
      <c r="I148" s="396">
        <f>IF($J33=TRUE,I135,"")</f>
        <v>1.622226690567373</v>
      </c>
      <c r="J148" s="396">
        <f t="shared" si="49"/>
        <v>1.7182112798340019</v>
      </c>
      <c r="K148" s="396">
        <f t="shared" si="49"/>
        <v>1.8334137163776631</v>
      </c>
      <c r="L148" s="396">
        <f t="shared" si="49"/>
        <v>1.9499286954114574</v>
      </c>
      <c r="M148" s="396">
        <f t="shared" si="49"/>
        <v>2.0850277161598032</v>
      </c>
      <c r="N148" s="396">
        <f t="shared" si="49"/>
        <v>2.1842935598626143</v>
      </c>
      <c r="O148" s="396">
        <f t="shared" si="49"/>
        <v>2.2574584878946853</v>
      </c>
      <c r="P148" s="396"/>
      <c r="Q148" s="396"/>
      <c r="R148" s="396"/>
      <c r="S148" s="396"/>
      <c r="T148" s="396"/>
      <c r="U148" s="396"/>
      <c r="V148" s="396"/>
      <c r="W148" s="396"/>
      <c r="X148" s="396"/>
      <c r="Y148" s="396"/>
      <c r="Z148" s="396"/>
      <c r="AA148" s="396"/>
      <c r="AB148" s="396"/>
      <c r="AC148" s="396"/>
      <c r="AD148" s="396"/>
      <c r="AE148" s="396"/>
      <c r="AF148" s="396"/>
      <c r="AG148" s="396"/>
      <c r="AH148" s="396"/>
      <c r="AI148" s="396"/>
      <c r="AJ148" s="396"/>
      <c r="AK148" s="396"/>
      <c r="AL148" s="396"/>
      <c r="AM148" s="396"/>
      <c r="AN148" s="396"/>
      <c r="AO148" s="396"/>
      <c r="AP148" s="396"/>
      <c r="AQ148" s="396"/>
      <c r="AR148" s="396"/>
      <c r="AS148" s="396"/>
      <c r="AT148" s="396"/>
    </row>
    <row r="149" spans="1:46" x14ac:dyDescent="0.25">
      <c r="A149" s="1284"/>
      <c r="B149" s="396" t="str">
        <f>IF($J35=TRUE,B136,"")</f>
        <v/>
      </c>
      <c r="C149" s="396"/>
      <c r="D149" s="396"/>
      <c r="E149" s="396"/>
      <c r="F149" s="396"/>
      <c r="G149" s="396"/>
      <c r="H149" s="396"/>
      <c r="I149" s="396"/>
      <c r="J149" s="396"/>
      <c r="K149" s="396"/>
      <c r="L149" s="396"/>
      <c r="M149" s="396"/>
      <c r="N149" s="396"/>
      <c r="O149" s="396"/>
      <c r="P149" s="396"/>
      <c r="Q149" s="396"/>
      <c r="R149" s="396"/>
      <c r="S149" s="396"/>
      <c r="T149" s="396"/>
      <c r="U149" s="396"/>
      <c r="V149" s="396"/>
      <c r="W149" s="396"/>
      <c r="X149" s="396"/>
      <c r="Y149" s="396"/>
      <c r="Z149" s="396"/>
      <c r="AA149" s="396"/>
      <c r="AB149" s="396"/>
      <c r="AC149" s="396"/>
      <c r="AD149" s="396"/>
      <c r="AE149" s="396"/>
      <c r="AF149" s="396"/>
      <c r="AG149" s="396"/>
      <c r="AH149" s="396"/>
      <c r="AI149" s="396"/>
      <c r="AJ149" s="396"/>
      <c r="AK149" s="396"/>
      <c r="AL149" s="396"/>
      <c r="AM149" s="396"/>
      <c r="AN149" s="396"/>
      <c r="AO149" s="396"/>
      <c r="AP149" s="396"/>
      <c r="AQ149" s="396"/>
      <c r="AR149" s="396"/>
      <c r="AS149" s="396"/>
      <c r="AT149" s="396"/>
    </row>
    <row r="150" spans="1:46" x14ac:dyDescent="0.25">
      <c r="A150" s="396"/>
      <c r="B150" s="396" t="str">
        <f>IF($J36=TRUE,B137,"")</f>
        <v/>
      </c>
      <c r="C150" s="396"/>
      <c r="D150" s="396"/>
      <c r="E150" s="396"/>
      <c r="F150" s="396"/>
      <c r="G150" s="396"/>
      <c r="H150" s="396"/>
      <c r="I150" s="396"/>
      <c r="J150" s="396"/>
      <c r="K150" s="396"/>
      <c r="L150" s="396"/>
      <c r="M150" s="396"/>
      <c r="N150" s="396"/>
      <c r="O150" s="396"/>
      <c r="P150" s="396"/>
      <c r="Q150" s="396"/>
      <c r="R150" s="396"/>
      <c r="S150" s="396"/>
      <c r="T150" s="396"/>
      <c r="U150" s="396"/>
      <c r="V150" s="396"/>
      <c r="W150" s="396"/>
      <c r="X150" s="396"/>
      <c r="Y150" s="396"/>
      <c r="Z150" s="396"/>
      <c r="AA150" s="396"/>
      <c r="AB150" s="396"/>
      <c r="AC150" s="396"/>
      <c r="AD150" s="396"/>
      <c r="AE150" s="396"/>
      <c r="AF150" s="396"/>
      <c r="AG150" s="396"/>
      <c r="AH150" s="396"/>
      <c r="AI150" s="396"/>
      <c r="AJ150" s="396"/>
      <c r="AK150" s="396"/>
      <c r="AL150" s="396"/>
      <c r="AM150" s="396"/>
      <c r="AN150" s="396"/>
      <c r="AO150" s="396"/>
      <c r="AP150" s="396"/>
      <c r="AQ150" s="396"/>
      <c r="AR150" s="396"/>
      <c r="AS150" s="396"/>
      <c r="AT150" s="396"/>
    </row>
    <row r="151" spans="1:46" x14ac:dyDescent="0.25">
      <c r="A151" s="396"/>
      <c r="B151" s="396"/>
      <c r="C151" s="396"/>
      <c r="D151" s="396"/>
      <c r="E151" s="396"/>
      <c r="F151" s="396"/>
      <c r="G151" s="396"/>
      <c r="H151" s="396"/>
      <c r="I151" s="396"/>
      <c r="J151" s="396"/>
      <c r="K151" s="396"/>
      <c r="L151" s="396"/>
      <c r="M151" s="396"/>
      <c r="N151" s="396"/>
      <c r="O151" s="396"/>
      <c r="P151" s="396"/>
      <c r="Q151" s="396"/>
      <c r="R151" s="396"/>
      <c r="S151" s="396"/>
      <c r="T151" s="396"/>
      <c r="U151" s="396"/>
      <c r="V151" s="396"/>
      <c r="W151" s="396"/>
      <c r="X151" s="396"/>
      <c r="Y151" s="396"/>
      <c r="Z151" s="396"/>
      <c r="AA151" s="396"/>
      <c r="AB151" s="396"/>
      <c r="AC151" s="396"/>
      <c r="AD151" s="396"/>
      <c r="AE151" s="396"/>
      <c r="AF151" s="396"/>
      <c r="AG151" s="396"/>
      <c r="AH151" s="396"/>
      <c r="AI151" s="396"/>
      <c r="AJ151" s="396"/>
      <c r="AK151" s="396"/>
      <c r="AL151" s="396"/>
      <c r="AM151" s="396"/>
      <c r="AN151" s="396"/>
      <c r="AO151" s="396"/>
      <c r="AP151" s="396"/>
      <c r="AQ151" s="396"/>
      <c r="AR151" s="396"/>
      <c r="AS151" s="396"/>
      <c r="AT151" s="396"/>
    </row>
    <row r="152" spans="1:46" x14ac:dyDescent="0.25">
      <c r="A152" s="396"/>
      <c r="B152" s="396"/>
      <c r="C152" s="396"/>
      <c r="D152" s="396"/>
      <c r="E152" s="396"/>
      <c r="F152" s="396"/>
      <c r="G152" s="396"/>
      <c r="H152" s="396"/>
      <c r="I152" s="396"/>
      <c r="J152" s="396"/>
      <c r="K152" s="396"/>
      <c r="L152" s="396"/>
      <c r="M152" s="396"/>
      <c r="N152" s="396"/>
      <c r="O152" s="396"/>
      <c r="P152" s="396"/>
      <c r="Q152" s="396"/>
      <c r="R152" s="396"/>
      <c r="S152" s="396"/>
      <c r="T152" s="396"/>
      <c r="U152" s="396"/>
      <c r="V152" s="396"/>
      <c r="W152" s="396"/>
      <c r="X152" s="396"/>
      <c r="Y152" s="396"/>
      <c r="Z152" s="396"/>
      <c r="AA152" s="396"/>
      <c r="AB152" s="396"/>
      <c r="AC152" s="396"/>
      <c r="AD152" s="396"/>
      <c r="AE152" s="396"/>
      <c r="AF152" s="396"/>
      <c r="AG152" s="396"/>
      <c r="AH152" s="396"/>
      <c r="AI152" s="396"/>
      <c r="AJ152" s="396"/>
      <c r="AK152" s="396"/>
      <c r="AL152" s="396"/>
      <c r="AM152" s="396"/>
      <c r="AN152" s="396"/>
      <c r="AO152" s="396"/>
      <c r="AP152" s="396"/>
      <c r="AQ152" s="396"/>
      <c r="AR152" s="396"/>
      <c r="AS152" s="396"/>
      <c r="AT152" s="396"/>
    </row>
    <row r="153" spans="1:46" x14ac:dyDescent="0.25">
      <c r="A153" s="396"/>
      <c r="B153" s="396"/>
      <c r="C153" s="396"/>
      <c r="D153" s="396"/>
      <c r="E153" s="396"/>
      <c r="F153" s="396"/>
      <c r="G153" s="396"/>
      <c r="H153" s="396"/>
      <c r="I153" s="396"/>
      <c r="J153" s="396"/>
      <c r="K153" s="396"/>
      <c r="L153" s="396"/>
      <c r="M153" s="396"/>
      <c r="N153" s="396"/>
      <c r="O153" s="396"/>
      <c r="P153" s="396"/>
      <c r="Q153" s="396"/>
      <c r="R153" s="396"/>
      <c r="S153" s="396"/>
      <c r="T153" s="396"/>
      <c r="U153" s="396"/>
      <c r="V153" s="396"/>
      <c r="W153" s="396"/>
      <c r="X153" s="396"/>
      <c r="Y153" s="396"/>
      <c r="Z153" s="396"/>
      <c r="AA153" s="396"/>
      <c r="AB153" s="396"/>
      <c r="AC153" s="396"/>
      <c r="AD153" s="396"/>
      <c r="AE153" s="396"/>
      <c r="AF153" s="396"/>
      <c r="AG153" s="396"/>
      <c r="AH153" s="396"/>
      <c r="AI153" s="396"/>
      <c r="AJ153" s="396"/>
      <c r="AK153" s="396"/>
      <c r="AL153" s="396"/>
      <c r="AM153" s="396"/>
      <c r="AN153" s="396"/>
      <c r="AO153" s="396"/>
      <c r="AP153" s="396"/>
      <c r="AQ153" s="396"/>
      <c r="AR153" s="396"/>
      <c r="AS153" s="396"/>
      <c r="AT153" s="396"/>
    </row>
    <row r="154" spans="1:46" x14ac:dyDescent="0.25">
      <c r="A154" s="396"/>
      <c r="B154" s="396"/>
      <c r="C154" s="396"/>
      <c r="D154" s="396"/>
      <c r="E154" s="396"/>
      <c r="F154" s="396"/>
      <c r="G154" s="396"/>
      <c r="H154" s="396"/>
      <c r="I154" s="396"/>
      <c r="J154" s="396"/>
      <c r="K154" s="396"/>
      <c r="L154" s="396"/>
      <c r="M154" s="396"/>
      <c r="N154" s="396"/>
      <c r="O154" s="396"/>
      <c r="P154" s="396"/>
      <c r="Q154" s="396"/>
      <c r="R154" s="396"/>
      <c r="S154" s="396"/>
      <c r="T154" s="396"/>
      <c r="U154" s="396"/>
      <c r="V154" s="396"/>
      <c r="W154" s="396"/>
      <c r="X154" s="396"/>
      <c r="Y154" s="396"/>
      <c r="Z154" s="396"/>
      <c r="AA154" s="396"/>
      <c r="AB154" s="396"/>
      <c r="AC154" s="396"/>
      <c r="AD154" s="396"/>
      <c r="AE154" s="396"/>
      <c r="AF154" s="396"/>
      <c r="AG154" s="396"/>
      <c r="AH154" s="396"/>
      <c r="AI154" s="396"/>
      <c r="AJ154" s="396"/>
      <c r="AK154" s="396"/>
      <c r="AL154" s="396"/>
      <c r="AM154" s="396"/>
      <c r="AN154" s="396"/>
      <c r="AO154" s="396"/>
      <c r="AP154" s="396"/>
      <c r="AQ154" s="396"/>
      <c r="AR154" s="396"/>
      <c r="AS154" s="396"/>
      <c r="AT154" s="396"/>
    </row>
    <row r="155" spans="1:46" x14ac:dyDescent="0.25">
      <c r="A155" s="396"/>
      <c r="B155" s="396"/>
      <c r="C155" s="396"/>
      <c r="D155" s="396"/>
      <c r="E155" s="396"/>
      <c r="F155" s="396"/>
      <c r="G155" s="396"/>
      <c r="H155" s="396"/>
      <c r="I155" s="396"/>
      <c r="J155" s="396"/>
      <c r="K155" s="396"/>
      <c r="L155" s="396"/>
      <c r="M155" s="396"/>
      <c r="N155" s="396"/>
      <c r="O155" s="396"/>
      <c r="P155" s="396"/>
      <c r="Q155" s="396"/>
      <c r="R155" s="396"/>
      <c r="S155" s="396"/>
      <c r="T155" s="396"/>
      <c r="U155" s="396"/>
      <c r="V155" s="396"/>
      <c r="W155" s="396"/>
      <c r="X155" s="396"/>
      <c r="Y155" s="396"/>
      <c r="Z155" s="396"/>
      <c r="AA155" s="396"/>
      <c r="AB155" s="396"/>
      <c r="AC155" s="396"/>
      <c r="AD155" s="396"/>
      <c r="AE155" s="396"/>
      <c r="AF155" s="396"/>
      <c r="AG155" s="396"/>
      <c r="AH155" s="396"/>
      <c r="AI155" s="396"/>
      <c r="AJ155" s="396"/>
      <c r="AK155" s="396"/>
      <c r="AL155" s="396"/>
      <c r="AM155" s="396"/>
      <c r="AN155" s="396"/>
      <c r="AO155" s="396"/>
      <c r="AP155" s="396"/>
      <c r="AQ155" s="396"/>
      <c r="AR155" s="396"/>
      <c r="AS155" s="396"/>
      <c r="AT155" s="396"/>
    </row>
    <row r="156" spans="1:46" x14ac:dyDescent="0.25">
      <c r="A156" s="396"/>
      <c r="B156" s="396"/>
      <c r="C156" s="396"/>
      <c r="D156" s="396"/>
      <c r="E156" s="396"/>
      <c r="F156" s="396"/>
      <c r="G156" s="396"/>
      <c r="H156" s="396"/>
      <c r="I156" s="396"/>
      <c r="J156" s="396"/>
      <c r="K156" s="396"/>
      <c r="L156" s="396"/>
      <c r="M156" s="396"/>
      <c r="N156" s="396"/>
      <c r="O156" s="396"/>
      <c r="P156" s="396"/>
      <c r="Q156" s="396"/>
      <c r="R156" s="396"/>
      <c r="S156" s="396"/>
      <c r="T156" s="396"/>
      <c r="U156" s="396"/>
      <c r="V156" s="396"/>
      <c r="W156" s="396"/>
      <c r="X156" s="396"/>
      <c r="Y156" s="396"/>
      <c r="Z156" s="396"/>
      <c r="AA156" s="396"/>
      <c r="AB156" s="396"/>
      <c r="AC156" s="396"/>
      <c r="AD156" s="396"/>
      <c r="AE156" s="396"/>
      <c r="AF156" s="396"/>
      <c r="AG156" s="396"/>
      <c r="AH156" s="396"/>
      <c r="AI156" s="396"/>
      <c r="AJ156" s="396"/>
      <c r="AK156" s="396"/>
      <c r="AL156" s="396"/>
      <c r="AM156" s="396"/>
      <c r="AN156" s="396"/>
      <c r="AO156" s="396"/>
      <c r="AP156" s="396"/>
      <c r="AQ156" s="396"/>
      <c r="AR156" s="396"/>
      <c r="AS156" s="396"/>
      <c r="AT156" s="396"/>
    </row>
    <row r="157" spans="1:46" x14ac:dyDescent="0.25">
      <c r="A157" s="396"/>
      <c r="B157" s="396"/>
      <c r="C157" s="396"/>
      <c r="D157" s="396"/>
      <c r="E157" s="396"/>
      <c r="F157" s="396"/>
      <c r="G157" s="396"/>
      <c r="H157" s="396"/>
      <c r="I157" s="396"/>
      <c r="J157" s="396"/>
      <c r="K157" s="396"/>
      <c r="L157" s="396"/>
      <c r="M157" s="396"/>
      <c r="N157" s="396"/>
      <c r="O157" s="396"/>
      <c r="P157" s="396"/>
      <c r="Q157" s="396"/>
      <c r="R157" s="396"/>
      <c r="S157" s="396"/>
      <c r="T157" s="396"/>
      <c r="U157" s="396"/>
      <c r="V157" s="396"/>
      <c r="W157" s="396"/>
      <c r="X157" s="396"/>
      <c r="Y157" s="396"/>
      <c r="Z157" s="396"/>
      <c r="AA157" s="396"/>
      <c r="AB157" s="396"/>
      <c r="AC157" s="396"/>
      <c r="AD157" s="396"/>
      <c r="AE157" s="396"/>
      <c r="AF157" s="396"/>
      <c r="AG157" s="396"/>
      <c r="AH157" s="396"/>
      <c r="AI157" s="396"/>
      <c r="AJ157" s="396"/>
      <c r="AK157" s="396"/>
      <c r="AL157" s="396"/>
      <c r="AM157" s="396"/>
      <c r="AN157" s="396"/>
      <c r="AO157" s="396"/>
      <c r="AP157" s="396"/>
      <c r="AQ157" s="396"/>
      <c r="AR157" s="396"/>
      <c r="AS157" s="396"/>
      <c r="AT157" s="396"/>
    </row>
    <row r="158" spans="1:46" x14ac:dyDescent="0.25">
      <c r="A158" s="396"/>
      <c r="B158" s="396"/>
      <c r="C158" s="396"/>
      <c r="D158" s="396"/>
      <c r="E158" s="396"/>
      <c r="F158" s="396"/>
      <c r="G158" s="396"/>
      <c r="H158" s="396"/>
      <c r="I158" s="396"/>
      <c r="J158" s="396"/>
      <c r="K158" s="396"/>
      <c r="L158" s="396"/>
      <c r="M158" s="396"/>
      <c r="N158" s="396"/>
      <c r="O158" s="396"/>
      <c r="P158" s="396"/>
      <c r="Q158" s="396"/>
      <c r="R158" s="396"/>
      <c r="S158" s="396"/>
      <c r="T158" s="396"/>
      <c r="U158" s="396"/>
      <c r="V158" s="396"/>
      <c r="W158" s="396"/>
      <c r="X158" s="396"/>
      <c r="Y158" s="396"/>
      <c r="Z158" s="396"/>
      <c r="AA158" s="396"/>
      <c r="AB158" s="396"/>
      <c r="AC158" s="396"/>
      <c r="AD158" s="396"/>
      <c r="AE158" s="396"/>
      <c r="AF158" s="396"/>
      <c r="AG158" s="396"/>
      <c r="AH158" s="396"/>
      <c r="AI158" s="396"/>
      <c r="AJ158" s="396"/>
      <c r="AK158" s="396"/>
      <c r="AL158" s="396"/>
      <c r="AM158" s="396"/>
      <c r="AN158" s="396"/>
      <c r="AO158" s="396"/>
      <c r="AP158" s="396"/>
      <c r="AQ158" s="396"/>
      <c r="AR158" s="396"/>
      <c r="AS158" s="396"/>
      <c r="AT158" s="396"/>
    </row>
    <row r="159" spans="1:46" x14ac:dyDescent="0.25">
      <c r="A159" s="396"/>
      <c r="B159" s="396"/>
      <c r="C159" s="396"/>
      <c r="D159" s="396"/>
      <c r="E159" s="396"/>
      <c r="F159" s="396"/>
      <c r="G159" s="396"/>
      <c r="H159" s="396"/>
      <c r="I159" s="396"/>
      <c r="J159" s="396"/>
      <c r="K159" s="396"/>
      <c r="L159" s="396"/>
      <c r="M159" s="396"/>
      <c r="N159" s="396"/>
      <c r="O159" s="396"/>
      <c r="P159" s="396"/>
      <c r="Q159" s="396"/>
      <c r="R159" s="396"/>
      <c r="S159" s="396"/>
      <c r="T159" s="396"/>
      <c r="U159" s="396"/>
      <c r="V159" s="396"/>
      <c r="W159" s="396"/>
      <c r="X159" s="396"/>
      <c r="Y159" s="396"/>
      <c r="Z159" s="396"/>
      <c r="AA159" s="396"/>
      <c r="AB159" s="396"/>
      <c r="AC159" s="396"/>
      <c r="AD159" s="396"/>
      <c r="AE159" s="396"/>
      <c r="AF159" s="396"/>
      <c r="AG159" s="396"/>
      <c r="AH159" s="396"/>
      <c r="AI159" s="396"/>
      <c r="AJ159" s="396"/>
      <c r="AK159" s="396"/>
      <c r="AL159" s="396"/>
      <c r="AM159" s="396"/>
      <c r="AN159" s="396"/>
      <c r="AO159" s="396"/>
      <c r="AP159" s="396"/>
      <c r="AQ159" s="396"/>
      <c r="AR159" s="396"/>
      <c r="AS159" s="396"/>
      <c r="AT159" s="396"/>
    </row>
    <row r="160" spans="1:46" x14ac:dyDescent="0.25">
      <c r="A160" s="396"/>
      <c r="B160" s="396"/>
      <c r="C160" s="396"/>
      <c r="D160" s="396"/>
      <c r="E160" s="396"/>
      <c r="F160" s="396"/>
      <c r="G160" s="396"/>
      <c r="H160" s="396"/>
      <c r="I160" s="396"/>
      <c r="J160" s="396"/>
      <c r="K160" s="396"/>
      <c r="L160" s="396"/>
      <c r="M160" s="396"/>
      <c r="N160" s="396"/>
      <c r="O160" s="396"/>
      <c r="P160" s="396"/>
      <c r="Q160" s="396"/>
      <c r="R160" s="396"/>
      <c r="S160" s="396"/>
      <c r="T160" s="396"/>
      <c r="U160" s="396"/>
      <c r="V160" s="396"/>
      <c r="W160" s="396"/>
      <c r="X160" s="396"/>
      <c r="Y160" s="396"/>
      <c r="Z160" s="396"/>
      <c r="AA160" s="396"/>
      <c r="AB160" s="396"/>
      <c r="AC160" s="396"/>
      <c r="AD160" s="396"/>
      <c r="AE160" s="396"/>
      <c r="AF160" s="396"/>
      <c r="AG160" s="396"/>
      <c r="AH160" s="396"/>
      <c r="AI160" s="396"/>
      <c r="AJ160" s="396"/>
      <c r="AK160" s="396"/>
      <c r="AL160" s="396"/>
      <c r="AM160" s="396"/>
      <c r="AN160" s="396"/>
      <c r="AO160" s="396"/>
      <c r="AP160" s="396"/>
      <c r="AQ160" s="396"/>
      <c r="AR160" s="396"/>
      <c r="AS160" s="396"/>
      <c r="AT160" s="396"/>
    </row>
    <row r="161" spans="1:46" x14ac:dyDescent="0.25">
      <c r="A161" s="396"/>
      <c r="B161" s="396"/>
      <c r="C161" s="396"/>
      <c r="D161" s="396"/>
      <c r="E161" s="396"/>
      <c r="F161" s="396"/>
      <c r="G161" s="396"/>
      <c r="H161" s="396"/>
      <c r="I161" s="396"/>
      <c r="J161" s="396"/>
      <c r="K161" s="396"/>
      <c r="L161" s="396"/>
      <c r="M161" s="396"/>
      <c r="N161" s="396"/>
      <c r="O161" s="396"/>
      <c r="P161" s="396"/>
      <c r="Q161" s="396"/>
      <c r="R161" s="396"/>
      <c r="S161" s="396"/>
      <c r="T161" s="396"/>
      <c r="U161" s="396"/>
      <c r="V161" s="396"/>
      <c r="W161" s="396"/>
      <c r="X161" s="396"/>
      <c r="Y161" s="396"/>
      <c r="Z161" s="396"/>
      <c r="AA161" s="396"/>
      <c r="AB161" s="396"/>
      <c r="AC161" s="396"/>
      <c r="AD161" s="396"/>
      <c r="AE161" s="396"/>
      <c r="AF161" s="396"/>
      <c r="AG161" s="396"/>
      <c r="AH161" s="396"/>
      <c r="AI161" s="396"/>
      <c r="AJ161" s="396"/>
      <c r="AK161" s="396"/>
      <c r="AL161" s="396"/>
      <c r="AM161" s="396"/>
      <c r="AN161" s="396"/>
      <c r="AO161" s="396"/>
      <c r="AP161" s="396"/>
      <c r="AQ161" s="396"/>
      <c r="AR161" s="396"/>
      <c r="AS161" s="396"/>
      <c r="AT161" s="396"/>
    </row>
    <row r="162" spans="1:46" x14ac:dyDescent="0.25">
      <c r="A162" s="396"/>
      <c r="B162" s="396"/>
      <c r="C162" s="396"/>
      <c r="D162" s="396"/>
      <c r="E162" s="396"/>
      <c r="F162" s="396"/>
      <c r="G162" s="396"/>
      <c r="H162" s="396"/>
      <c r="I162" s="396"/>
      <c r="J162" s="396"/>
      <c r="K162" s="396"/>
      <c r="L162" s="396"/>
      <c r="M162" s="396"/>
      <c r="N162" s="396"/>
      <c r="O162" s="396"/>
      <c r="P162" s="396"/>
      <c r="Q162" s="396"/>
      <c r="R162" s="396"/>
      <c r="S162" s="396"/>
      <c r="T162" s="396"/>
      <c r="U162" s="396"/>
      <c r="V162" s="396"/>
      <c r="W162" s="396"/>
      <c r="X162" s="396"/>
      <c r="Y162" s="396"/>
      <c r="Z162" s="396"/>
      <c r="AA162" s="396"/>
      <c r="AB162" s="396"/>
      <c r="AC162" s="396"/>
      <c r="AD162" s="396"/>
      <c r="AE162" s="396"/>
      <c r="AF162" s="396"/>
      <c r="AG162" s="396"/>
      <c r="AH162" s="396"/>
      <c r="AI162" s="396"/>
      <c r="AJ162" s="396"/>
      <c r="AK162" s="396"/>
      <c r="AL162" s="396"/>
      <c r="AM162" s="396"/>
      <c r="AN162" s="396"/>
      <c r="AO162" s="396"/>
      <c r="AP162" s="396"/>
      <c r="AQ162" s="396"/>
      <c r="AR162" s="396"/>
      <c r="AS162" s="396"/>
      <c r="AT162" s="396"/>
    </row>
    <row r="163" spans="1:46" x14ac:dyDescent="0.25">
      <c r="A163" s="396"/>
      <c r="B163" s="396"/>
      <c r="C163" s="396"/>
      <c r="D163" s="396"/>
      <c r="E163" s="396"/>
      <c r="F163" s="396"/>
      <c r="G163" s="396"/>
      <c r="H163" s="396"/>
      <c r="I163" s="396"/>
      <c r="J163" s="396"/>
      <c r="K163" s="396"/>
      <c r="L163" s="396"/>
      <c r="M163" s="396"/>
      <c r="N163" s="396"/>
      <c r="O163" s="396"/>
      <c r="P163" s="396"/>
      <c r="Q163" s="396"/>
      <c r="R163" s="396"/>
      <c r="S163" s="396"/>
      <c r="T163" s="396"/>
      <c r="U163" s="396"/>
      <c r="V163" s="396"/>
      <c r="W163" s="396"/>
      <c r="X163" s="396"/>
      <c r="Y163" s="396"/>
      <c r="Z163" s="396"/>
      <c r="AA163" s="396"/>
      <c r="AB163" s="396"/>
      <c r="AC163" s="396"/>
      <c r="AD163" s="396"/>
      <c r="AE163" s="396"/>
      <c r="AF163" s="396"/>
      <c r="AG163" s="396"/>
      <c r="AH163" s="396"/>
      <c r="AI163" s="396"/>
      <c r="AJ163" s="396"/>
      <c r="AK163" s="396"/>
      <c r="AL163" s="396"/>
      <c r="AM163" s="396"/>
      <c r="AN163" s="396"/>
      <c r="AO163" s="396"/>
      <c r="AP163" s="396"/>
      <c r="AQ163" s="396"/>
      <c r="AR163" s="396"/>
      <c r="AS163" s="396"/>
      <c r="AT163" s="396"/>
    </row>
    <row r="164" spans="1:46" x14ac:dyDescent="0.25">
      <c r="A164" s="396"/>
      <c r="B164" s="396"/>
      <c r="C164" s="396"/>
      <c r="D164" s="396"/>
      <c r="E164" s="396"/>
      <c r="F164" s="396"/>
      <c r="G164" s="396"/>
      <c r="H164" s="396"/>
      <c r="I164" s="396"/>
      <c r="J164" s="396"/>
      <c r="K164" s="396"/>
      <c r="L164" s="396"/>
      <c r="M164" s="396"/>
      <c r="N164" s="396"/>
      <c r="O164" s="396"/>
      <c r="P164" s="396"/>
      <c r="Q164" s="396"/>
      <c r="R164" s="396"/>
      <c r="S164" s="396"/>
      <c r="T164" s="396"/>
      <c r="U164" s="396"/>
      <c r="V164" s="396"/>
      <c r="W164" s="396"/>
      <c r="X164" s="396"/>
      <c r="Y164" s="396"/>
      <c r="Z164" s="396"/>
      <c r="AA164" s="396"/>
      <c r="AB164" s="396"/>
      <c r="AC164" s="396"/>
      <c r="AD164" s="396"/>
      <c r="AE164" s="396"/>
      <c r="AF164" s="396"/>
      <c r="AG164" s="396"/>
      <c r="AH164" s="396"/>
      <c r="AI164" s="396"/>
      <c r="AJ164" s="396"/>
      <c r="AK164" s="396"/>
      <c r="AL164" s="396"/>
      <c r="AM164" s="396"/>
      <c r="AN164" s="396"/>
      <c r="AO164" s="396"/>
      <c r="AP164" s="396"/>
      <c r="AQ164" s="396"/>
      <c r="AR164" s="396"/>
      <c r="AS164" s="396"/>
      <c r="AT164" s="396"/>
    </row>
    <row r="165" spans="1:46" x14ac:dyDescent="0.25">
      <c r="A165" s="396"/>
      <c r="B165" s="396"/>
      <c r="C165" s="396"/>
      <c r="D165" s="396"/>
      <c r="E165" s="396"/>
      <c r="F165" s="396"/>
      <c r="G165" s="396"/>
      <c r="H165" s="396"/>
      <c r="I165" s="396"/>
      <c r="J165" s="396"/>
      <c r="K165" s="396"/>
      <c r="L165" s="396"/>
      <c r="M165" s="396"/>
      <c r="N165" s="396"/>
      <c r="O165" s="396"/>
      <c r="P165" s="396"/>
      <c r="Q165" s="396"/>
      <c r="R165" s="396"/>
      <c r="S165" s="396"/>
      <c r="T165" s="396"/>
      <c r="U165" s="396"/>
      <c r="V165" s="396"/>
      <c r="W165" s="396"/>
      <c r="X165" s="396"/>
      <c r="Y165" s="396"/>
      <c r="Z165" s="396"/>
      <c r="AA165" s="396"/>
      <c r="AB165" s="396"/>
      <c r="AC165" s="396"/>
      <c r="AD165" s="396"/>
      <c r="AE165" s="396"/>
      <c r="AF165" s="396"/>
      <c r="AG165" s="396"/>
      <c r="AH165" s="396"/>
      <c r="AI165" s="396"/>
      <c r="AJ165" s="396"/>
      <c r="AK165" s="396"/>
      <c r="AL165" s="396"/>
      <c r="AM165" s="396"/>
      <c r="AN165" s="396"/>
      <c r="AO165" s="396"/>
      <c r="AP165" s="396"/>
      <c r="AQ165" s="396"/>
      <c r="AR165" s="396"/>
      <c r="AS165" s="396"/>
      <c r="AT165" s="396"/>
    </row>
    <row r="166" spans="1:46" x14ac:dyDescent="0.25">
      <c r="A166" s="396"/>
      <c r="B166" s="396"/>
      <c r="C166" s="396"/>
      <c r="D166" s="396"/>
      <c r="E166" s="396"/>
      <c r="F166" s="396"/>
      <c r="G166" s="396"/>
      <c r="H166" s="396"/>
      <c r="I166" s="396"/>
      <c r="J166" s="396"/>
      <c r="K166" s="396"/>
      <c r="L166" s="396"/>
      <c r="M166" s="396"/>
      <c r="N166" s="396"/>
      <c r="O166" s="396"/>
      <c r="P166" s="396"/>
      <c r="Q166" s="396"/>
      <c r="R166" s="396"/>
      <c r="S166" s="396"/>
      <c r="T166" s="396"/>
      <c r="U166" s="396"/>
      <c r="V166" s="396"/>
      <c r="W166" s="396"/>
      <c r="X166" s="396"/>
      <c r="Y166" s="396"/>
      <c r="Z166" s="396"/>
      <c r="AA166" s="396"/>
      <c r="AB166" s="396"/>
      <c r="AC166" s="396"/>
      <c r="AD166" s="396"/>
      <c r="AE166" s="396"/>
      <c r="AF166" s="396"/>
      <c r="AG166" s="396"/>
      <c r="AH166" s="396"/>
      <c r="AI166" s="396"/>
      <c r="AJ166" s="396"/>
      <c r="AK166" s="396"/>
      <c r="AL166" s="396"/>
      <c r="AM166" s="396"/>
      <c r="AN166" s="396"/>
      <c r="AO166" s="396"/>
      <c r="AP166" s="396"/>
      <c r="AQ166" s="396"/>
      <c r="AR166" s="396"/>
      <c r="AS166" s="396"/>
      <c r="AT166" s="396"/>
    </row>
    <row r="167" spans="1:46" x14ac:dyDescent="0.25">
      <c r="A167" s="396"/>
      <c r="B167" s="396"/>
      <c r="C167" s="396"/>
      <c r="D167" s="396"/>
      <c r="E167" s="396"/>
      <c r="F167" s="396"/>
      <c r="G167" s="396"/>
      <c r="H167" s="396"/>
      <c r="I167" s="396"/>
      <c r="J167" s="396"/>
      <c r="K167" s="396"/>
      <c r="L167" s="396"/>
      <c r="M167" s="396"/>
      <c r="N167" s="396"/>
      <c r="O167" s="396"/>
      <c r="P167" s="396"/>
      <c r="Q167" s="396"/>
      <c r="R167" s="396"/>
      <c r="S167" s="396"/>
      <c r="T167" s="396"/>
      <c r="U167" s="396"/>
      <c r="V167" s="396"/>
      <c r="W167" s="396"/>
      <c r="X167" s="396"/>
      <c r="Y167" s="396"/>
      <c r="Z167" s="396"/>
      <c r="AA167" s="396"/>
      <c r="AB167" s="396"/>
      <c r="AC167" s="396"/>
      <c r="AD167" s="396"/>
      <c r="AE167" s="396"/>
      <c r="AF167" s="396"/>
      <c r="AG167" s="396"/>
      <c r="AH167" s="396"/>
      <c r="AI167" s="396"/>
      <c r="AJ167" s="396"/>
      <c r="AK167" s="396"/>
      <c r="AL167" s="396"/>
      <c r="AM167" s="396"/>
      <c r="AN167" s="396"/>
      <c r="AO167" s="396"/>
      <c r="AP167" s="396"/>
      <c r="AQ167" s="396"/>
      <c r="AR167" s="396"/>
      <c r="AS167" s="396"/>
      <c r="AT167" s="396"/>
    </row>
    <row r="168" spans="1:46" x14ac:dyDescent="0.25">
      <c r="A168" s="396"/>
      <c r="B168" s="396"/>
      <c r="C168" s="396"/>
      <c r="D168" s="396"/>
      <c r="E168" s="396"/>
      <c r="F168" s="396"/>
      <c r="G168" s="396"/>
      <c r="H168" s="396"/>
      <c r="I168" s="396"/>
      <c r="J168" s="396"/>
      <c r="K168" s="396"/>
      <c r="L168" s="396"/>
      <c r="M168" s="396"/>
      <c r="N168" s="396"/>
      <c r="O168" s="396"/>
      <c r="P168" s="396"/>
      <c r="Q168" s="396"/>
      <c r="R168" s="396"/>
      <c r="S168" s="396"/>
      <c r="T168" s="396"/>
      <c r="U168" s="396"/>
      <c r="V168" s="396"/>
      <c r="W168" s="396"/>
      <c r="X168" s="396"/>
      <c r="Y168" s="396"/>
      <c r="Z168" s="396"/>
      <c r="AA168" s="396"/>
      <c r="AB168" s="396"/>
      <c r="AC168" s="396"/>
      <c r="AD168" s="396"/>
      <c r="AE168" s="396"/>
      <c r="AF168" s="396"/>
      <c r="AG168" s="396"/>
      <c r="AH168" s="396"/>
      <c r="AI168" s="396"/>
      <c r="AJ168" s="396"/>
      <c r="AK168" s="396"/>
      <c r="AL168" s="396"/>
      <c r="AM168" s="396"/>
      <c r="AN168" s="396"/>
      <c r="AO168" s="396"/>
      <c r="AP168" s="396"/>
      <c r="AQ168" s="396"/>
      <c r="AR168" s="396"/>
      <c r="AS168" s="396"/>
      <c r="AT168" s="396"/>
    </row>
    <row r="169" spans="1:46" x14ac:dyDescent="0.25">
      <c r="A169" s="396"/>
      <c r="B169" s="396"/>
      <c r="C169" s="396"/>
      <c r="D169" s="396"/>
      <c r="E169" s="396"/>
      <c r="F169" s="396"/>
      <c r="G169" s="396"/>
      <c r="H169" s="396"/>
      <c r="I169" s="396"/>
      <c r="J169" s="396"/>
      <c r="K169" s="396"/>
      <c r="L169" s="396"/>
      <c r="M169" s="396"/>
      <c r="N169" s="396"/>
      <c r="O169" s="396"/>
      <c r="P169" s="396"/>
      <c r="Q169" s="396"/>
      <c r="R169" s="396"/>
      <c r="S169" s="396"/>
      <c r="T169" s="396"/>
      <c r="U169" s="396"/>
      <c r="V169" s="396"/>
      <c r="W169" s="396"/>
      <c r="X169" s="396"/>
      <c r="Y169" s="396"/>
      <c r="Z169" s="396"/>
      <c r="AA169" s="396"/>
      <c r="AB169" s="396"/>
      <c r="AC169" s="396"/>
      <c r="AD169" s="396"/>
      <c r="AE169" s="396"/>
      <c r="AF169" s="396"/>
      <c r="AG169" s="396"/>
      <c r="AH169" s="396"/>
      <c r="AI169" s="396"/>
      <c r="AJ169" s="396"/>
      <c r="AK169" s="396"/>
      <c r="AL169" s="396"/>
      <c r="AM169" s="396"/>
      <c r="AN169" s="396"/>
      <c r="AO169" s="396"/>
      <c r="AP169" s="396"/>
      <c r="AQ169" s="396"/>
      <c r="AR169" s="396"/>
      <c r="AS169" s="396"/>
      <c r="AT169" s="396"/>
    </row>
    <row r="170" spans="1:46" x14ac:dyDescent="0.25">
      <c r="A170" s="396"/>
      <c r="B170" s="396"/>
      <c r="C170" s="396"/>
      <c r="D170" s="396"/>
      <c r="E170" s="396"/>
      <c r="F170" s="396"/>
      <c r="G170" s="396"/>
      <c r="H170" s="396"/>
      <c r="I170" s="396"/>
      <c r="J170" s="396"/>
      <c r="K170" s="396"/>
      <c r="L170" s="396"/>
      <c r="M170" s="396"/>
      <c r="N170" s="396"/>
      <c r="O170" s="396"/>
      <c r="P170" s="396"/>
      <c r="Q170" s="396"/>
      <c r="R170" s="396"/>
      <c r="S170" s="396"/>
      <c r="T170" s="396"/>
      <c r="U170" s="396"/>
      <c r="V170" s="396"/>
      <c r="W170" s="396"/>
      <c r="X170" s="396"/>
      <c r="Y170" s="396"/>
      <c r="Z170" s="396"/>
      <c r="AA170" s="396"/>
      <c r="AB170" s="396"/>
      <c r="AC170" s="396"/>
      <c r="AD170" s="396"/>
      <c r="AE170" s="396"/>
      <c r="AF170" s="396"/>
      <c r="AG170" s="396"/>
      <c r="AH170" s="396"/>
      <c r="AI170" s="396"/>
      <c r="AJ170" s="396"/>
      <c r="AK170" s="396"/>
      <c r="AL170" s="396"/>
      <c r="AM170" s="396"/>
      <c r="AN170" s="396"/>
      <c r="AO170" s="396"/>
      <c r="AP170" s="396"/>
      <c r="AQ170" s="396"/>
      <c r="AR170" s="396"/>
      <c r="AS170" s="396"/>
      <c r="AT170" s="396"/>
    </row>
    <row r="171" spans="1:46" x14ac:dyDescent="0.25">
      <c r="A171" s="396"/>
      <c r="B171" s="396"/>
      <c r="C171" s="396"/>
      <c r="D171" s="396"/>
      <c r="E171" s="396"/>
      <c r="F171" s="396"/>
      <c r="G171" s="396"/>
      <c r="H171" s="396"/>
      <c r="I171" s="396"/>
      <c r="J171" s="396"/>
      <c r="K171" s="396"/>
      <c r="L171" s="396"/>
      <c r="M171" s="396"/>
      <c r="N171" s="396"/>
      <c r="O171" s="396"/>
      <c r="P171" s="396"/>
      <c r="Q171" s="396"/>
      <c r="R171" s="396"/>
      <c r="S171" s="396"/>
      <c r="T171" s="396"/>
      <c r="U171" s="396"/>
      <c r="V171" s="396"/>
      <c r="W171" s="396"/>
      <c r="X171" s="396"/>
      <c r="Y171" s="396"/>
      <c r="Z171" s="396"/>
      <c r="AA171" s="396"/>
      <c r="AB171" s="396"/>
      <c r="AC171" s="396"/>
      <c r="AD171" s="396"/>
      <c r="AE171" s="396"/>
      <c r="AF171" s="396"/>
      <c r="AG171" s="396"/>
      <c r="AH171" s="396"/>
      <c r="AI171" s="396"/>
      <c r="AJ171" s="396"/>
      <c r="AK171" s="396"/>
      <c r="AL171" s="396"/>
      <c r="AM171" s="396"/>
      <c r="AN171" s="396"/>
      <c r="AO171" s="396"/>
      <c r="AP171" s="396"/>
      <c r="AQ171" s="396"/>
      <c r="AR171" s="396"/>
      <c r="AS171" s="396"/>
      <c r="AT171" s="396"/>
    </row>
    <row r="172" spans="1:46" x14ac:dyDescent="0.25">
      <c r="A172" s="396"/>
      <c r="B172" s="396"/>
      <c r="C172" s="396"/>
      <c r="D172" s="396"/>
      <c r="E172" s="396"/>
      <c r="F172" s="396"/>
      <c r="G172" s="396"/>
      <c r="H172" s="396"/>
      <c r="I172" s="396"/>
      <c r="J172" s="396"/>
      <c r="K172" s="396"/>
      <c r="L172" s="396"/>
      <c r="M172" s="396"/>
      <c r="N172" s="396"/>
      <c r="O172" s="396"/>
      <c r="P172" s="396"/>
      <c r="Q172" s="396"/>
      <c r="R172" s="396"/>
      <c r="S172" s="396"/>
      <c r="T172" s="396"/>
      <c r="U172" s="396"/>
      <c r="V172" s="396"/>
      <c r="W172" s="396"/>
      <c r="X172" s="396"/>
      <c r="Y172" s="396"/>
      <c r="Z172" s="396"/>
      <c r="AA172" s="396"/>
      <c r="AB172" s="396"/>
      <c r="AC172" s="396"/>
      <c r="AD172" s="396"/>
      <c r="AE172" s="396"/>
      <c r="AF172" s="396"/>
      <c r="AG172" s="396"/>
      <c r="AH172" s="396"/>
      <c r="AI172" s="396"/>
      <c r="AJ172" s="396"/>
      <c r="AK172" s="396"/>
      <c r="AL172" s="396"/>
      <c r="AM172" s="396"/>
      <c r="AN172" s="396"/>
      <c r="AO172" s="396"/>
      <c r="AP172" s="396"/>
      <c r="AQ172" s="396"/>
      <c r="AR172" s="396"/>
      <c r="AS172" s="396"/>
      <c r="AT172" s="396"/>
    </row>
    <row r="173" spans="1:46" x14ac:dyDescent="0.25">
      <c r="A173" s="396"/>
      <c r="B173" s="396"/>
      <c r="C173" s="396"/>
      <c r="D173" s="396"/>
      <c r="E173" s="396"/>
      <c r="F173" s="396"/>
      <c r="G173" s="396"/>
      <c r="H173" s="396"/>
      <c r="I173" s="396"/>
      <c r="J173" s="396"/>
      <c r="K173" s="396"/>
      <c r="L173" s="396"/>
      <c r="M173" s="396"/>
      <c r="N173" s="396"/>
      <c r="O173" s="396"/>
      <c r="P173" s="396"/>
      <c r="Q173" s="396"/>
      <c r="R173" s="396"/>
      <c r="S173" s="396"/>
      <c r="T173" s="396"/>
      <c r="U173" s="396"/>
      <c r="V173" s="396"/>
      <c r="W173" s="396"/>
      <c r="X173" s="396"/>
      <c r="Y173" s="396"/>
      <c r="Z173" s="396"/>
      <c r="AA173" s="396"/>
      <c r="AB173" s="396"/>
      <c r="AC173" s="396"/>
      <c r="AD173" s="396"/>
      <c r="AE173" s="396"/>
      <c r="AF173" s="396"/>
      <c r="AG173" s="396"/>
      <c r="AH173" s="396"/>
      <c r="AI173" s="396"/>
      <c r="AJ173" s="396"/>
      <c r="AK173" s="396"/>
      <c r="AL173" s="396"/>
      <c r="AM173" s="396"/>
      <c r="AN173" s="396"/>
      <c r="AO173" s="396"/>
      <c r="AP173" s="396"/>
      <c r="AQ173" s="396"/>
      <c r="AR173" s="396"/>
      <c r="AS173" s="396"/>
      <c r="AT173" s="396"/>
    </row>
    <row r="174" spans="1:46" x14ac:dyDescent="0.25">
      <c r="A174" s="396"/>
      <c r="B174" s="396"/>
      <c r="C174" s="396"/>
      <c r="D174" s="396"/>
      <c r="E174" s="396"/>
      <c r="F174" s="396"/>
      <c r="G174" s="396"/>
      <c r="H174" s="396"/>
      <c r="I174" s="396"/>
      <c r="J174" s="396"/>
      <c r="K174" s="396"/>
      <c r="L174" s="396"/>
      <c r="M174" s="396"/>
      <c r="N174" s="396"/>
      <c r="O174" s="396"/>
      <c r="P174" s="396"/>
      <c r="Q174" s="396"/>
      <c r="R174" s="396"/>
      <c r="S174" s="396"/>
      <c r="T174" s="396"/>
      <c r="U174" s="396"/>
      <c r="V174" s="396"/>
      <c r="W174" s="396"/>
      <c r="X174" s="396"/>
      <c r="Y174" s="396"/>
      <c r="Z174" s="396"/>
      <c r="AA174" s="396"/>
      <c r="AB174" s="396"/>
      <c r="AC174" s="396"/>
      <c r="AD174" s="396"/>
      <c r="AE174" s="396"/>
      <c r="AF174" s="396"/>
      <c r="AG174" s="396"/>
      <c r="AH174" s="396"/>
      <c r="AI174" s="396"/>
      <c r="AJ174" s="396"/>
      <c r="AK174" s="396"/>
      <c r="AL174" s="396"/>
      <c r="AM174" s="396"/>
      <c r="AN174" s="396"/>
      <c r="AO174" s="396"/>
      <c r="AP174" s="396"/>
      <c r="AQ174" s="396"/>
      <c r="AR174" s="396"/>
      <c r="AS174" s="396"/>
      <c r="AT174" s="396"/>
    </row>
    <row r="175" spans="1:46" x14ac:dyDescent="0.25">
      <c r="A175" s="396"/>
      <c r="B175" s="396"/>
      <c r="C175" s="396"/>
      <c r="D175" s="396"/>
      <c r="E175" s="396"/>
      <c r="F175" s="396"/>
      <c r="G175" s="396"/>
      <c r="H175" s="396"/>
      <c r="I175" s="396"/>
      <c r="J175" s="396"/>
      <c r="K175" s="396"/>
      <c r="L175" s="396"/>
      <c r="M175" s="396"/>
      <c r="N175" s="396"/>
      <c r="O175" s="396"/>
      <c r="P175" s="396"/>
      <c r="Q175" s="396"/>
      <c r="R175" s="396"/>
      <c r="S175" s="396"/>
      <c r="T175" s="396"/>
      <c r="U175" s="396"/>
      <c r="V175" s="396"/>
      <c r="W175" s="396"/>
      <c r="X175" s="396"/>
      <c r="Y175" s="396"/>
      <c r="Z175" s="396"/>
      <c r="AA175" s="396"/>
      <c r="AB175" s="396"/>
      <c r="AC175" s="396"/>
      <c r="AD175" s="396"/>
      <c r="AE175" s="396"/>
      <c r="AF175" s="396"/>
      <c r="AG175" s="396"/>
      <c r="AH175" s="396"/>
      <c r="AI175" s="396"/>
      <c r="AJ175" s="396"/>
      <c r="AK175" s="396"/>
      <c r="AL175" s="396"/>
      <c r="AM175" s="396"/>
      <c r="AN175" s="396"/>
      <c r="AO175" s="396"/>
      <c r="AP175" s="396"/>
      <c r="AQ175" s="396"/>
      <c r="AR175" s="396"/>
      <c r="AS175" s="396"/>
      <c r="AT175" s="396"/>
    </row>
    <row r="176" spans="1:46" x14ac:dyDescent="0.25">
      <c r="A176" s="396"/>
      <c r="B176" s="396"/>
      <c r="C176" s="396"/>
      <c r="D176" s="396"/>
      <c r="E176" s="396"/>
      <c r="F176" s="396"/>
      <c r="G176" s="396"/>
      <c r="H176" s="396"/>
      <c r="I176" s="396"/>
      <c r="J176" s="396"/>
      <c r="K176" s="396"/>
      <c r="L176" s="396"/>
      <c r="M176" s="396"/>
      <c r="N176" s="396"/>
      <c r="O176" s="396"/>
      <c r="P176" s="396"/>
      <c r="Q176" s="396"/>
      <c r="R176" s="396"/>
      <c r="S176" s="396"/>
      <c r="T176" s="396"/>
      <c r="U176" s="396"/>
      <c r="V176" s="396"/>
      <c r="W176" s="396"/>
      <c r="X176" s="396"/>
      <c r="Y176" s="396"/>
      <c r="Z176" s="396"/>
      <c r="AA176" s="396"/>
      <c r="AB176" s="396"/>
      <c r="AC176" s="396"/>
      <c r="AD176" s="396"/>
      <c r="AE176" s="396"/>
      <c r="AF176" s="396"/>
      <c r="AG176" s="396"/>
      <c r="AH176" s="396"/>
      <c r="AI176" s="396"/>
      <c r="AJ176" s="396"/>
      <c r="AK176" s="396"/>
      <c r="AL176" s="396"/>
      <c r="AM176" s="396"/>
      <c r="AN176" s="396"/>
      <c r="AO176" s="396"/>
      <c r="AP176" s="396"/>
      <c r="AQ176" s="396"/>
      <c r="AR176" s="396"/>
      <c r="AS176" s="396"/>
      <c r="AT176" s="396"/>
    </row>
    <row r="177" spans="1:46" x14ac:dyDescent="0.25">
      <c r="A177" s="396"/>
      <c r="B177" s="396"/>
      <c r="C177" s="396"/>
      <c r="D177" s="396"/>
      <c r="E177" s="396"/>
      <c r="F177" s="396"/>
      <c r="G177" s="396"/>
      <c r="H177" s="396"/>
      <c r="I177" s="396"/>
      <c r="J177" s="396"/>
      <c r="K177" s="396"/>
      <c r="L177" s="396"/>
      <c r="M177" s="396"/>
      <c r="N177" s="396"/>
      <c r="O177" s="396"/>
      <c r="P177" s="396"/>
      <c r="Q177" s="396"/>
      <c r="R177" s="396"/>
      <c r="S177" s="396"/>
      <c r="T177" s="396"/>
      <c r="U177" s="396"/>
      <c r="V177" s="396"/>
      <c r="W177" s="396"/>
      <c r="X177" s="396"/>
      <c r="Y177" s="396"/>
      <c r="Z177" s="396"/>
      <c r="AA177" s="396"/>
      <c r="AB177" s="396"/>
      <c r="AC177" s="396"/>
      <c r="AD177" s="396"/>
      <c r="AE177" s="396"/>
      <c r="AF177" s="396"/>
      <c r="AG177" s="396"/>
      <c r="AH177" s="396"/>
      <c r="AI177" s="396"/>
      <c r="AJ177" s="396"/>
      <c r="AK177" s="396"/>
      <c r="AL177" s="396"/>
      <c r="AM177" s="396"/>
      <c r="AN177" s="396"/>
      <c r="AO177" s="396"/>
      <c r="AP177" s="396"/>
      <c r="AQ177" s="396"/>
      <c r="AR177" s="396"/>
      <c r="AS177" s="396"/>
      <c r="AT177" s="396"/>
    </row>
    <row r="178" spans="1:46" x14ac:dyDescent="0.25">
      <c r="A178" s="396"/>
      <c r="B178" s="396"/>
      <c r="C178" s="396"/>
      <c r="D178" s="396"/>
      <c r="E178" s="396"/>
      <c r="F178" s="396"/>
      <c r="G178" s="396"/>
      <c r="H178" s="396"/>
      <c r="I178" s="396"/>
      <c r="J178" s="396"/>
      <c r="K178" s="396"/>
      <c r="L178" s="396"/>
      <c r="M178" s="396"/>
      <c r="N178" s="396"/>
      <c r="O178" s="396"/>
      <c r="P178" s="396"/>
      <c r="Q178" s="396"/>
      <c r="R178" s="396"/>
      <c r="S178" s="396"/>
      <c r="T178" s="396"/>
      <c r="U178" s="396"/>
      <c r="V178" s="396"/>
      <c r="W178" s="396"/>
      <c r="X178" s="396"/>
      <c r="Y178" s="396"/>
      <c r="Z178" s="396"/>
      <c r="AA178" s="396"/>
      <c r="AB178" s="396"/>
      <c r="AC178" s="396"/>
      <c r="AD178" s="396"/>
      <c r="AE178" s="396"/>
      <c r="AF178" s="396"/>
      <c r="AG178" s="396"/>
      <c r="AH178" s="396"/>
      <c r="AI178" s="396"/>
      <c r="AJ178" s="396"/>
      <c r="AK178" s="396"/>
      <c r="AL178" s="396"/>
      <c r="AM178" s="396"/>
      <c r="AN178" s="396"/>
      <c r="AO178" s="396"/>
      <c r="AP178" s="396"/>
      <c r="AQ178" s="396"/>
      <c r="AR178" s="396"/>
      <c r="AS178" s="396"/>
      <c r="AT178" s="396"/>
    </row>
    <row r="179" spans="1:46" x14ac:dyDescent="0.25">
      <c r="A179" s="396"/>
      <c r="B179" s="396"/>
      <c r="C179" s="396"/>
      <c r="D179" s="396"/>
      <c r="E179" s="396"/>
      <c r="F179" s="396"/>
      <c r="G179" s="396"/>
      <c r="H179" s="396"/>
      <c r="I179" s="396"/>
      <c r="J179" s="396"/>
      <c r="K179" s="396"/>
      <c r="L179" s="396"/>
      <c r="M179" s="396"/>
      <c r="N179" s="396"/>
      <c r="O179" s="396"/>
      <c r="P179" s="396"/>
      <c r="Q179" s="396"/>
      <c r="R179" s="396"/>
      <c r="S179" s="396"/>
      <c r="T179" s="396"/>
      <c r="U179" s="396"/>
      <c r="V179" s="396"/>
      <c r="W179" s="396"/>
      <c r="X179" s="396"/>
      <c r="Y179" s="396"/>
      <c r="Z179" s="396"/>
      <c r="AA179" s="396"/>
      <c r="AB179" s="396"/>
      <c r="AC179" s="396"/>
      <c r="AD179" s="396"/>
      <c r="AE179" s="396"/>
      <c r="AF179" s="396"/>
      <c r="AG179" s="396"/>
      <c r="AH179" s="396"/>
      <c r="AI179" s="396"/>
      <c r="AJ179" s="396"/>
      <c r="AK179" s="396"/>
      <c r="AL179" s="396"/>
      <c r="AM179" s="396"/>
      <c r="AN179" s="396"/>
      <c r="AO179" s="396"/>
      <c r="AP179" s="396"/>
      <c r="AQ179" s="396"/>
      <c r="AR179" s="396"/>
      <c r="AS179" s="396"/>
      <c r="AT179" s="396"/>
    </row>
    <row r="180" spans="1:46" x14ac:dyDescent="0.25">
      <c r="A180" s="396"/>
      <c r="B180" s="396"/>
      <c r="C180" s="396"/>
      <c r="D180" s="396"/>
      <c r="E180" s="396"/>
      <c r="F180" s="396"/>
      <c r="G180" s="396"/>
      <c r="H180" s="396"/>
      <c r="I180" s="396"/>
      <c r="J180" s="396"/>
      <c r="K180" s="396"/>
      <c r="L180" s="396"/>
      <c r="M180" s="396"/>
      <c r="N180" s="396"/>
      <c r="O180" s="396"/>
      <c r="P180" s="396"/>
      <c r="Q180" s="396"/>
      <c r="R180" s="396"/>
      <c r="S180" s="396"/>
      <c r="T180" s="396"/>
      <c r="U180" s="396"/>
      <c r="V180" s="396"/>
      <c r="W180" s="396"/>
      <c r="X180" s="396"/>
      <c r="Y180" s="396"/>
      <c r="Z180" s="396"/>
      <c r="AA180" s="396"/>
      <c r="AB180" s="396"/>
      <c r="AC180" s="396"/>
      <c r="AD180" s="396"/>
      <c r="AE180" s="396"/>
      <c r="AF180" s="396"/>
      <c r="AG180" s="396"/>
      <c r="AH180" s="396"/>
      <c r="AI180" s="396"/>
      <c r="AJ180" s="396"/>
      <c r="AK180" s="396"/>
      <c r="AL180" s="396"/>
      <c r="AM180" s="396"/>
      <c r="AN180" s="396"/>
      <c r="AO180" s="396"/>
      <c r="AP180" s="396"/>
      <c r="AQ180" s="396"/>
      <c r="AR180" s="396"/>
      <c r="AS180" s="396"/>
      <c r="AT180" s="396"/>
    </row>
    <row r="181" spans="1:46" x14ac:dyDescent="0.25">
      <c r="A181" s="396"/>
      <c r="B181" s="396"/>
      <c r="C181" s="396"/>
      <c r="D181" s="396"/>
      <c r="E181" s="396"/>
      <c r="F181" s="396"/>
      <c r="G181" s="396"/>
      <c r="H181" s="396"/>
      <c r="I181" s="396"/>
      <c r="J181" s="396"/>
      <c r="K181" s="396"/>
      <c r="L181" s="396"/>
      <c r="M181" s="396"/>
      <c r="N181" s="396"/>
      <c r="O181" s="396"/>
      <c r="P181" s="396"/>
      <c r="Q181" s="396"/>
      <c r="R181" s="396"/>
      <c r="S181" s="396"/>
      <c r="T181" s="396"/>
      <c r="U181" s="396"/>
      <c r="V181" s="396"/>
      <c r="W181" s="396"/>
      <c r="X181" s="396"/>
      <c r="Y181" s="396"/>
      <c r="Z181" s="396"/>
      <c r="AA181" s="396"/>
      <c r="AB181" s="396"/>
      <c r="AC181" s="396"/>
      <c r="AD181" s="396"/>
      <c r="AE181" s="396"/>
      <c r="AF181" s="396"/>
      <c r="AG181" s="396"/>
      <c r="AH181" s="396"/>
      <c r="AI181" s="396"/>
      <c r="AJ181" s="396"/>
      <c r="AK181" s="396"/>
      <c r="AL181" s="396"/>
      <c r="AM181" s="396"/>
      <c r="AN181" s="396"/>
      <c r="AO181" s="396"/>
      <c r="AP181" s="396"/>
      <c r="AQ181" s="396"/>
      <c r="AR181" s="396"/>
      <c r="AS181" s="396"/>
      <c r="AT181" s="396"/>
    </row>
    <row r="182" spans="1:46" x14ac:dyDescent="0.25">
      <c r="A182" s="396"/>
      <c r="B182" s="396"/>
      <c r="C182" s="396"/>
      <c r="D182" s="396"/>
      <c r="E182" s="396"/>
      <c r="F182" s="396"/>
      <c r="G182" s="396"/>
      <c r="H182" s="396"/>
      <c r="I182" s="396"/>
      <c r="J182" s="396"/>
      <c r="K182" s="396"/>
      <c r="L182" s="396"/>
      <c r="M182" s="396"/>
      <c r="N182" s="396"/>
      <c r="O182" s="396"/>
      <c r="P182" s="396"/>
      <c r="Q182" s="396"/>
      <c r="R182" s="396"/>
      <c r="S182" s="396"/>
      <c r="T182" s="396"/>
      <c r="U182" s="396"/>
      <c r="V182" s="396"/>
      <c r="W182" s="396"/>
      <c r="X182" s="396"/>
      <c r="Y182" s="396"/>
      <c r="Z182" s="396"/>
      <c r="AA182" s="396"/>
      <c r="AB182" s="396"/>
      <c r="AC182" s="396"/>
      <c r="AD182" s="396"/>
      <c r="AE182" s="396"/>
      <c r="AF182" s="396"/>
      <c r="AG182" s="396"/>
      <c r="AH182" s="396"/>
      <c r="AI182" s="396"/>
      <c r="AJ182" s="396"/>
      <c r="AK182" s="396"/>
      <c r="AL182" s="396"/>
      <c r="AM182" s="396"/>
      <c r="AN182" s="396"/>
      <c r="AO182" s="396"/>
      <c r="AP182" s="396"/>
      <c r="AQ182" s="396"/>
      <c r="AR182" s="396"/>
      <c r="AS182" s="396"/>
      <c r="AT182" s="396"/>
    </row>
    <row r="183" spans="1:46" x14ac:dyDescent="0.25">
      <c r="A183" s="396"/>
      <c r="B183" s="396"/>
      <c r="C183" s="396"/>
      <c r="D183" s="396"/>
      <c r="E183" s="396"/>
      <c r="F183" s="396"/>
      <c r="G183" s="396"/>
      <c r="H183" s="396"/>
      <c r="I183" s="396"/>
      <c r="J183" s="396"/>
      <c r="K183" s="396"/>
      <c r="L183" s="396"/>
      <c r="M183" s="396"/>
      <c r="N183" s="396"/>
      <c r="O183" s="396"/>
      <c r="P183" s="396"/>
      <c r="Q183" s="396"/>
      <c r="R183" s="396"/>
      <c r="S183" s="396"/>
      <c r="T183" s="396"/>
      <c r="U183" s="396"/>
      <c r="V183" s="396"/>
      <c r="W183" s="396"/>
      <c r="X183" s="396"/>
      <c r="Y183" s="396"/>
      <c r="Z183" s="396"/>
      <c r="AA183" s="396"/>
      <c r="AB183" s="396"/>
      <c r="AC183" s="396"/>
      <c r="AD183" s="396"/>
      <c r="AE183" s="396"/>
      <c r="AF183" s="396"/>
      <c r="AG183" s="396"/>
      <c r="AH183" s="396"/>
      <c r="AI183" s="396"/>
      <c r="AJ183" s="396"/>
      <c r="AK183" s="396"/>
      <c r="AL183" s="396"/>
      <c r="AM183" s="396"/>
      <c r="AN183" s="396"/>
      <c r="AO183" s="396"/>
      <c r="AP183" s="396"/>
      <c r="AQ183" s="396"/>
      <c r="AR183" s="396"/>
      <c r="AS183" s="396"/>
      <c r="AT183" s="396"/>
    </row>
    <row r="184" spans="1:46" x14ac:dyDescent="0.25">
      <c r="A184" s="396"/>
      <c r="B184" s="396"/>
      <c r="C184" s="396"/>
      <c r="D184" s="396"/>
      <c r="E184" s="396"/>
      <c r="F184" s="396"/>
      <c r="G184" s="396"/>
      <c r="H184" s="396"/>
      <c r="I184" s="396"/>
      <c r="J184" s="396"/>
      <c r="K184" s="396"/>
      <c r="L184" s="396"/>
      <c r="M184" s="396"/>
      <c r="N184" s="396"/>
      <c r="O184" s="396"/>
      <c r="P184" s="396"/>
      <c r="Q184" s="396"/>
      <c r="R184" s="396"/>
      <c r="S184" s="396"/>
      <c r="T184" s="396"/>
      <c r="U184" s="396"/>
      <c r="V184" s="396"/>
      <c r="W184" s="396"/>
      <c r="X184" s="396"/>
      <c r="Y184" s="396"/>
      <c r="Z184" s="396"/>
      <c r="AA184" s="396"/>
      <c r="AB184" s="396"/>
      <c r="AC184" s="396"/>
      <c r="AD184" s="396"/>
      <c r="AE184" s="396"/>
      <c r="AF184" s="396"/>
      <c r="AG184" s="396"/>
      <c r="AH184" s="396"/>
      <c r="AI184" s="396"/>
      <c r="AJ184" s="396"/>
      <c r="AK184" s="396"/>
      <c r="AL184" s="396"/>
      <c r="AM184" s="396"/>
      <c r="AN184" s="396"/>
      <c r="AO184" s="396"/>
      <c r="AP184" s="396"/>
      <c r="AQ184" s="396"/>
      <c r="AR184" s="396"/>
      <c r="AS184" s="396"/>
      <c r="AT184" s="396"/>
    </row>
    <row r="185" spans="1:46" x14ac:dyDescent="0.25">
      <c r="A185" s="396"/>
      <c r="B185" s="396"/>
      <c r="C185" s="396"/>
      <c r="D185" s="396"/>
      <c r="E185" s="396"/>
      <c r="F185" s="396"/>
      <c r="G185" s="396"/>
      <c r="H185" s="396"/>
      <c r="I185" s="396"/>
      <c r="J185" s="396"/>
      <c r="K185" s="396"/>
      <c r="L185" s="396"/>
      <c r="M185" s="396"/>
      <c r="N185" s="396"/>
      <c r="O185" s="396"/>
      <c r="P185" s="396"/>
      <c r="Q185" s="396"/>
      <c r="R185" s="396"/>
      <c r="S185" s="396"/>
      <c r="T185" s="396"/>
      <c r="U185" s="396"/>
      <c r="V185" s="396"/>
      <c r="W185" s="396"/>
      <c r="X185" s="396"/>
      <c r="Y185" s="396"/>
      <c r="Z185" s="396"/>
      <c r="AA185" s="396"/>
      <c r="AB185" s="396"/>
      <c r="AC185" s="396"/>
      <c r="AD185" s="396"/>
      <c r="AE185" s="396"/>
      <c r="AF185" s="396"/>
      <c r="AG185" s="396"/>
      <c r="AH185" s="396"/>
      <c r="AI185" s="396"/>
      <c r="AJ185" s="396"/>
      <c r="AK185" s="396"/>
      <c r="AL185" s="396"/>
      <c r="AM185" s="396"/>
      <c r="AN185" s="396"/>
      <c r="AO185" s="396"/>
      <c r="AP185" s="396"/>
      <c r="AQ185" s="396"/>
      <c r="AR185" s="396"/>
      <c r="AS185" s="396"/>
      <c r="AT185" s="396"/>
    </row>
    <row r="186" spans="1:46" x14ac:dyDescent="0.25">
      <c r="A186" s="396"/>
      <c r="B186" s="396"/>
      <c r="C186" s="396"/>
      <c r="D186" s="396"/>
      <c r="E186" s="396"/>
      <c r="F186" s="396"/>
      <c r="G186" s="396"/>
      <c r="H186" s="396"/>
      <c r="I186" s="396"/>
      <c r="J186" s="396"/>
      <c r="K186" s="396"/>
      <c r="L186" s="396"/>
      <c r="M186" s="396"/>
      <c r="N186" s="396"/>
      <c r="O186" s="396"/>
      <c r="P186" s="396"/>
      <c r="Q186" s="396"/>
      <c r="R186" s="396"/>
      <c r="S186" s="396"/>
      <c r="T186" s="396"/>
      <c r="U186" s="396"/>
      <c r="V186" s="396"/>
      <c r="W186" s="396"/>
      <c r="X186" s="396"/>
      <c r="Y186" s="396"/>
      <c r="Z186" s="396"/>
      <c r="AA186" s="396"/>
      <c r="AB186" s="396"/>
      <c r="AC186" s="396"/>
      <c r="AD186" s="396"/>
      <c r="AE186" s="396"/>
      <c r="AF186" s="396"/>
      <c r="AG186" s="396"/>
      <c r="AH186" s="396"/>
      <c r="AI186" s="396"/>
      <c r="AJ186" s="396"/>
      <c r="AK186" s="396"/>
      <c r="AL186" s="396"/>
      <c r="AM186" s="396"/>
      <c r="AN186" s="396"/>
      <c r="AO186" s="396"/>
      <c r="AP186" s="396"/>
      <c r="AQ186" s="396"/>
      <c r="AR186" s="396"/>
      <c r="AS186" s="396"/>
      <c r="AT186" s="396"/>
    </row>
    <row r="187" spans="1:46" x14ac:dyDescent="0.25">
      <c r="A187" s="396"/>
      <c r="B187" s="396"/>
      <c r="C187" s="396"/>
      <c r="D187" s="396"/>
      <c r="E187" s="396"/>
      <c r="F187" s="396"/>
      <c r="G187" s="396"/>
      <c r="H187" s="396"/>
      <c r="I187" s="396"/>
      <c r="J187" s="396"/>
      <c r="K187" s="396"/>
      <c r="L187" s="396"/>
      <c r="M187" s="396"/>
      <c r="N187" s="396"/>
      <c r="O187" s="396"/>
      <c r="P187" s="396"/>
      <c r="Q187" s="396"/>
      <c r="R187" s="396"/>
      <c r="S187" s="396"/>
      <c r="T187" s="396"/>
      <c r="U187" s="396"/>
      <c r="V187" s="396"/>
      <c r="W187" s="396"/>
      <c r="X187" s="396"/>
      <c r="Y187" s="396"/>
      <c r="Z187" s="396"/>
      <c r="AA187" s="396"/>
      <c r="AB187" s="396"/>
      <c r="AC187" s="396"/>
      <c r="AD187" s="396"/>
      <c r="AE187" s="396"/>
      <c r="AF187" s="396"/>
      <c r="AG187" s="396"/>
      <c r="AH187" s="396"/>
      <c r="AI187" s="396"/>
      <c r="AJ187" s="396"/>
      <c r="AK187" s="396"/>
      <c r="AL187" s="396"/>
      <c r="AM187" s="396"/>
      <c r="AN187" s="396"/>
      <c r="AO187" s="396"/>
      <c r="AP187" s="396"/>
      <c r="AQ187" s="396"/>
      <c r="AR187" s="396"/>
      <c r="AS187" s="396"/>
      <c r="AT187" s="396"/>
    </row>
    <row r="188" spans="1:46" x14ac:dyDescent="0.25">
      <c r="A188" s="396"/>
      <c r="B188" s="396"/>
      <c r="C188" s="396"/>
      <c r="D188" s="396"/>
      <c r="E188" s="396"/>
      <c r="F188" s="396"/>
      <c r="G188" s="396"/>
      <c r="H188" s="396"/>
      <c r="I188" s="396"/>
      <c r="J188" s="396"/>
      <c r="K188" s="396"/>
      <c r="L188" s="396"/>
      <c r="M188" s="396"/>
      <c r="N188" s="396"/>
      <c r="O188" s="396"/>
      <c r="P188" s="396"/>
      <c r="Q188" s="396"/>
      <c r="R188" s="396"/>
      <c r="S188" s="396"/>
      <c r="T188" s="396"/>
      <c r="U188" s="396"/>
      <c r="V188" s="396"/>
      <c r="W188" s="396"/>
      <c r="X188" s="396"/>
      <c r="Y188" s="396"/>
      <c r="Z188" s="396"/>
      <c r="AA188" s="396"/>
      <c r="AB188" s="396"/>
      <c r="AC188" s="396"/>
      <c r="AD188" s="396"/>
      <c r="AE188" s="396"/>
      <c r="AF188" s="396"/>
      <c r="AG188" s="396"/>
      <c r="AH188" s="396"/>
      <c r="AI188" s="396"/>
      <c r="AJ188" s="396"/>
      <c r="AK188" s="396"/>
      <c r="AL188" s="396"/>
      <c r="AM188" s="396"/>
      <c r="AN188" s="396"/>
      <c r="AO188" s="396"/>
      <c r="AP188" s="396"/>
      <c r="AQ188" s="396"/>
      <c r="AR188" s="396"/>
      <c r="AS188" s="396"/>
      <c r="AT188" s="396"/>
    </row>
    <row r="189" spans="1:46" x14ac:dyDescent="0.25">
      <c r="A189" s="378"/>
      <c r="B189" s="396"/>
      <c r="C189" s="396"/>
      <c r="D189" s="396"/>
      <c r="E189" s="396"/>
      <c r="F189" s="396"/>
      <c r="G189" s="396"/>
      <c r="H189" s="396"/>
      <c r="I189" s="396"/>
      <c r="J189" s="396"/>
      <c r="K189" s="396"/>
      <c r="L189" s="396"/>
      <c r="M189" s="396"/>
      <c r="N189" s="396"/>
      <c r="O189" s="396"/>
      <c r="P189" s="396"/>
      <c r="Q189" s="396"/>
      <c r="R189" s="396"/>
      <c r="S189" s="396"/>
      <c r="T189" s="396"/>
      <c r="U189" s="396"/>
      <c r="V189" s="396"/>
      <c r="W189" s="396"/>
      <c r="X189" s="396"/>
      <c r="Y189" s="396"/>
      <c r="Z189" s="396"/>
      <c r="AA189" s="396"/>
      <c r="AB189" s="396"/>
      <c r="AC189" s="396"/>
      <c r="AD189" s="396"/>
      <c r="AE189" s="396"/>
      <c r="AF189" s="396"/>
      <c r="AG189" s="396"/>
      <c r="AH189" s="396"/>
      <c r="AI189" s="396"/>
      <c r="AJ189" s="396"/>
      <c r="AK189" s="396"/>
      <c r="AL189" s="396"/>
      <c r="AM189" s="396"/>
      <c r="AN189" s="396"/>
      <c r="AO189" s="396"/>
      <c r="AP189" s="396"/>
      <c r="AQ189" s="396"/>
      <c r="AR189" s="396"/>
      <c r="AS189" s="396"/>
      <c r="AT189" s="396"/>
    </row>
    <row r="190" spans="1:46" x14ac:dyDescent="0.25">
      <c r="A190" s="378"/>
      <c r="B190" s="396"/>
      <c r="C190" s="396"/>
      <c r="D190" s="396"/>
      <c r="E190" s="396"/>
      <c r="F190" s="396"/>
      <c r="G190" s="396"/>
      <c r="H190" s="396"/>
      <c r="I190" s="396"/>
      <c r="J190" s="396"/>
      <c r="K190" s="396"/>
      <c r="L190" s="396"/>
      <c r="M190" s="396"/>
      <c r="N190" s="396"/>
      <c r="O190" s="396"/>
      <c r="P190" s="396"/>
      <c r="Q190" s="396"/>
      <c r="R190" s="396"/>
      <c r="S190" s="396"/>
      <c r="T190" s="396"/>
      <c r="U190" s="396"/>
      <c r="V190" s="396"/>
      <c r="W190" s="396"/>
      <c r="X190" s="396"/>
      <c r="Y190" s="396"/>
      <c r="Z190" s="396"/>
      <c r="AA190" s="396"/>
      <c r="AB190" s="396"/>
      <c r="AC190" s="396"/>
      <c r="AD190" s="396"/>
      <c r="AE190" s="396"/>
      <c r="AF190" s="396"/>
      <c r="AG190" s="396"/>
      <c r="AH190" s="396"/>
      <c r="AI190" s="396"/>
      <c r="AJ190" s="396"/>
      <c r="AK190" s="396"/>
      <c r="AL190" s="396"/>
      <c r="AM190" s="396"/>
      <c r="AN190" s="396"/>
      <c r="AO190" s="396"/>
      <c r="AP190" s="396"/>
      <c r="AQ190" s="396"/>
      <c r="AR190" s="396"/>
      <c r="AS190" s="396"/>
      <c r="AT190" s="396"/>
    </row>
    <row r="191" spans="1:46" x14ac:dyDescent="0.25">
      <c r="A191" s="378"/>
      <c r="B191" s="396"/>
      <c r="C191" s="396"/>
      <c r="D191" s="396"/>
      <c r="E191" s="396"/>
      <c r="F191" s="396"/>
      <c r="G191" s="396"/>
      <c r="H191" s="396"/>
      <c r="I191" s="396"/>
      <c r="J191" s="396"/>
      <c r="K191" s="396"/>
      <c r="L191" s="396"/>
      <c r="M191" s="396"/>
      <c r="N191" s="396"/>
      <c r="O191" s="396"/>
      <c r="P191" s="396"/>
      <c r="Q191" s="396"/>
      <c r="R191" s="396"/>
      <c r="S191" s="396"/>
      <c r="T191" s="396"/>
      <c r="U191" s="396"/>
      <c r="V191" s="396"/>
      <c r="W191" s="396"/>
      <c r="X191" s="396"/>
      <c r="Y191" s="396"/>
      <c r="Z191" s="396"/>
      <c r="AA191" s="396"/>
      <c r="AB191" s="396"/>
      <c r="AC191" s="396"/>
      <c r="AD191" s="396"/>
      <c r="AE191" s="396"/>
      <c r="AF191" s="396"/>
      <c r="AG191" s="396"/>
      <c r="AH191" s="396"/>
      <c r="AI191" s="396"/>
      <c r="AJ191" s="396"/>
      <c r="AK191" s="396"/>
      <c r="AL191" s="396"/>
      <c r="AM191" s="396"/>
      <c r="AN191" s="396"/>
      <c r="AO191" s="396"/>
      <c r="AP191" s="396"/>
      <c r="AQ191" s="396"/>
      <c r="AR191" s="396"/>
      <c r="AS191" s="396"/>
      <c r="AT191" s="396"/>
    </row>
    <row r="192" spans="1:46" x14ac:dyDescent="0.25">
      <c r="A192" s="378"/>
      <c r="B192" s="396"/>
      <c r="C192" s="396"/>
      <c r="D192" s="396"/>
      <c r="E192" s="396"/>
      <c r="F192" s="396"/>
      <c r="G192" s="396"/>
      <c r="H192" s="396"/>
      <c r="I192" s="396"/>
      <c r="J192" s="396"/>
      <c r="K192" s="396"/>
      <c r="L192" s="396"/>
      <c r="M192" s="396"/>
      <c r="N192" s="396"/>
      <c r="O192" s="396"/>
      <c r="P192" s="396"/>
      <c r="Q192" s="396"/>
      <c r="R192" s="396"/>
      <c r="S192" s="396"/>
      <c r="T192" s="396"/>
      <c r="U192" s="396"/>
      <c r="V192" s="396"/>
      <c r="W192" s="396"/>
      <c r="X192" s="396"/>
      <c r="Y192" s="396"/>
      <c r="Z192" s="396"/>
      <c r="AA192" s="396"/>
      <c r="AB192" s="396"/>
      <c r="AC192" s="396"/>
      <c r="AD192" s="396"/>
      <c r="AE192" s="396"/>
      <c r="AF192" s="396"/>
      <c r="AG192" s="396"/>
      <c r="AH192" s="396"/>
      <c r="AI192" s="396"/>
      <c r="AJ192" s="396"/>
      <c r="AK192" s="396"/>
      <c r="AL192" s="396"/>
      <c r="AM192" s="396"/>
      <c r="AN192" s="396"/>
      <c r="AO192" s="396"/>
      <c r="AP192" s="396"/>
      <c r="AQ192" s="396"/>
      <c r="AR192" s="396"/>
      <c r="AS192" s="396"/>
      <c r="AT192" s="396"/>
    </row>
    <row r="193" spans="1:46" x14ac:dyDescent="0.25">
      <c r="A193" s="378"/>
      <c r="B193" s="396"/>
      <c r="C193" s="396"/>
      <c r="D193" s="396"/>
      <c r="E193" s="396"/>
      <c r="F193" s="396"/>
      <c r="G193" s="396"/>
      <c r="H193" s="396"/>
      <c r="I193" s="396"/>
      <c r="J193" s="396"/>
      <c r="K193" s="396"/>
      <c r="L193" s="396"/>
      <c r="M193" s="396"/>
      <c r="N193" s="396"/>
      <c r="O193" s="396"/>
      <c r="P193" s="396"/>
      <c r="Q193" s="396"/>
      <c r="R193" s="396"/>
      <c r="S193" s="396"/>
      <c r="T193" s="396"/>
      <c r="U193" s="396"/>
      <c r="V193" s="396"/>
      <c r="W193" s="396"/>
      <c r="X193" s="396"/>
      <c r="Y193" s="396"/>
      <c r="Z193" s="396"/>
      <c r="AA193" s="396"/>
      <c r="AB193" s="396"/>
      <c r="AC193" s="396"/>
      <c r="AD193" s="396"/>
      <c r="AE193" s="396"/>
      <c r="AF193" s="396"/>
      <c r="AG193" s="396"/>
      <c r="AH193" s="396"/>
      <c r="AI193" s="396"/>
      <c r="AJ193" s="396"/>
      <c r="AK193" s="396"/>
      <c r="AL193" s="396"/>
      <c r="AM193" s="396"/>
      <c r="AN193" s="396"/>
      <c r="AO193" s="396"/>
      <c r="AP193" s="396"/>
      <c r="AQ193" s="396"/>
      <c r="AR193" s="396"/>
      <c r="AS193" s="396"/>
      <c r="AT193" s="396"/>
    </row>
    <row r="194" spans="1:46" x14ac:dyDescent="0.25">
      <c r="A194" s="378"/>
      <c r="B194" s="396"/>
      <c r="C194" s="396"/>
      <c r="D194" s="396"/>
      <c r="E194" s="396"/>
      <c r="F194" s="396"/>
      <c r="G194" s="396"/>
      <c r="H194" s="396"/>
      <c r="I194" s="396"/>
      <c r="J194" s="396"/>
      <c r="K194" s="396"/>
      <c r="L194" s="396"/>
      <c r="M194" s="396"/>
      <c r="N194" s="396"/>
      <c r="O194" s="396"/>
      <c r="P194" s="396"/>
      <c r="Q194" s="396"/>
      <c r="R194" s="396"/>
      <c r="S194" s="396"/>
      <c r="T194" s="396"/>
      <c r="U194" s="396"/>
      <c r="V194" s="396"/>
      <c r="W194" s="396"/>
      <c r="X194" s="396"/>
      <c r="Y194" s="396"/>
      <c r="Z194" s="396"/>
      <c r="AA194" s="396"/>
      <c r="AB194" s="396"/>
      <c r="AC194" s="396"/>
      <c r="AD194" s="396"/>
      <c r="AE194" s="396"/>
      <c r="AF194" s="396"/>
      <c r="AG194" s="396"/>
      <c r="AH194" s="396"/>
      <c r="AI194" s="396"/>
      <c r="AJ194" s="396"/>
      <c r="AK194" s="396"/>
      <c r="AL194" s="396"/>
      <c r="AM194" s="396"/>
      <c r="AN194" s="396"/>
      <c r="AO194" s="396"/>
      <c r="AP194" s="396"/>
      <c r="AQ194" s="396"/>
      <c r="AR194" s="396"/>
      <c r="AS194" s="396"/>
      <c r="AT194" s="396"/>
    </row>
    <row r="195" spans="1:46" x14ac:dyDescent="0.25">
      <c r="A195" s="378"/>
      <c r="B195" s="396"/>
      <c r="C195" s="396"/>
      <c r="D195" s="396"/>
      <c r="E195" s="396"/>
      <c r="F195" s="396"/>
      <c r="G195" s="396"/>
      <c r="H195" s="396"/>
      <c r="I195" s="396"/>
      <c r="J195" s="396"/>
      <c r="K195" s="396"/>
      <c r="L195" s="396"/>
      <c r="M195" s="396"/>
      <c r="N195" s="396"/>
      <c r="O195" s="396"/>
      <c r="P195" s="396"/>
      <c r="Q195" s="396"/>
      <c r="R195" s="396"/>
      <c r="S195" s="396"/>
      <c r="T195" s="396"/>
      <c r="U195" s="396"/>
      <c r="V195" s="396"/>
      <c r="W195" s="396"/>
      <c r="X195" s="396"/>
      <c r="Y195" s="396"/>
      <c r="Z195" s="396"/>
      <c r="AA195" s="396"/>
      <c r="AB195" s="396"/>
      <c r="AC195" s="396"/>
      <c r="AD195" s="396"/>
      <c r="AE195" s="396"/>
      <c r="AF195" s="396"/>
      <c r="AG195" s="396"/>
      <c r="AH195" s="396"/>
      <c r="AI195" s="396"/>
      <c r="AJ195" s="396"/>
      <c r="AK195" s="396"/>
      <c r="AL195" s="396"/>
      <c r="AM195" s="396"/>
      <c r="AN195" s="396"/>
      <c r="AO195" s="396"/>
      <c r="AP195" s="396"/>
      <c r="AQ195" s="396"/>
      <c r="AR195" s="396"/>
      <c r="AS195" s="396"/>
      <c r="AT195" s="396"/>
    </row>
    <row r="196" spans="1:46" x14ac:dyDescent="0.25">
      <c r="A196" s="378"/>
      <c r="B196" s="396"/>
      <c r="C196" s="396"/>
      <c r="D196" s="396"/>
      <c r="E196" s="396"/>
      <c r="F196" s="396"/>
      <c r="G196" s="396"/>
      <c r="H196" s="396"/>
      <c r="I196" s="396"/>
      <c r="J196" s="396"/>
      <c r="K196" s="396"/>
      <c r="L196" s="396"/>
      <c r="M196" s="396"/>
      <c r="N196" s="396"/>
      <c r="O196" s="396"/>
      <c r="P196" s="396"/>
      <c r="Q196" s="396"/>
      <c r="R196" s="396"/>
      <c r="S196" s="396"/>
      <c r="T196" s="396"/>
      <c r="U196" s="396"/>
      <c r="V196" s="396"/>
      <c r="W196" s="396"/>
      <c r="X196" s="396"/>
      <c r="Y196" s="396"/>
      <c r="Z196" s="396"/>
      <c r="AA196" s="396"/>
      <c r="AB196" s="396"/>
      <c r="AC196" s="396"/>
      <c r="AD196" s="396"/>
      <c r="AE196" s="396"/>
      <c r="AF196" s="396"/>
      <c r="AG196" s="396"/>
      <c r="AH196" s="396"/>
      <c r="AI196" s="396"/>
      <c r="AJ196" s="396"/>
      <c r="AK196" s="396"/>
      <c r="AL196" s="396"/>
      <c r="AM196" s="396"/>
      <c r="AN196" s="396"/>
      <c r="AO196" s="396"/>
      <c r="AP196" s="396"/>
      <c r="AQ196" s="396"/>
      <c r="AR196" s="396"/>
      <c r="AS196" s="396"/>
      <c r="AT196" s="396"/>
    </row>
    <row r="197" spans="1:46" x14ac:dyDescent="0.25">
      <c r="A197" s="378"/>
      <c r="B197" s="396"/>
      <c r="C197" s="396"/>
      <c r="D197" s="396"/>
      <c r="E197" s="396"/>
      <c r="F197" s="396"/>
      <c r="G197" s="396"/>
      <c r="H197" s="396"/>
      <c r="I197" s="396"/>
      <c r="J197" s="396"/>
      <c r="K197" s="396"/>
      <c r="L197" s="396"/>
      <c r="M197" s="396"/>
      <c r="N197" s="396"/>
      <c r="O197" s="396"/>
      <c r="P197" s="396"/>
      <c r="Q197" s="396"/>
      <c r="R197" s="396"/>
      <c r="S197" s="396"/>
      <c r="T197" s="396"/>
      <c r="U197" s="396"/>
      <c r="V197" s="396"/>
      <c r="W197" s="396"/>
      <c r="X197" s="396"/>
      <c r="Y197" s="396"/>
      <c r="Z197" s="396"/>
      <c r="AA197" s="396"/>
      <c r="AB197" s="396"/>
      <c r="AC197" s="396"/>
      <c r="AD197" s="396"/>
      <c r="AE197" s="396"/>
      <c r="AF197" s="396"/>
      <c r="AG197" s="396"/>
      <c r="AH197" s="396"/>
      <c r="AI197" s="396"/>
      <c r="AJ197" s="396"/>
      <c r="AK197" s="396"/>
      <c r="AL197" s="396"/>
      <c r="AM197" s="396"/>
      <c r="AN197" s="396"/>
      <c r="AO197" s="396"/>
      <c r="AP197" s="396"/>
      <c r="AQ197" s="396"/>
      <c r="AR197" s="396"/>
      <c r="AS197" s="396"/>
      <c r="AT197" s="396"/>
    </row>
    <row r="198" spans="1:46" x14ac:dyDescent="0.25">
      <c r="A198" s="378"/>
      <c r="B198" s="396"/>
      <c r="C198" s="396"/>
      <c r="D198" s="396"/>
      <c r="E198" s="396"/>
      <c r="F198" s="396"/>
      <c r="G198" s="396"/>
      <c r="H198" s="396"/>
      <c r="I198" s="396"/>
      <c r="J198" s="396"/>
      <c r="K198" s="396"/>
      <c r="L198" s="396"/>
      <c r="M198" s="396"/>
      <c r="N198" s="396"/>
      <c r="O198" s="396"/>
      <c r="P198" s="396"/>
      <c r="Q198" s="396"/>
      <c r="R198" s="396"/>
      <c r="S198" s="396"/>
      <c r="T198" s="396"/>
      <c r="U198" s="396"/>
      <c r="V198" s="396"/>
      <c r="W198" s="396"/>
      <c r="X198" s="396"/>
      <c r="Y198" s="396"/>
      <c r="Z198" s="396"/>
      <c r="AA198" s="396"/>
      <c r="AB198" s="396"/>
      <c r="AC198" s="396"/>
      <c r="AD198" s="396"/>
      <c r="AE198" s="396"/>
      <c r="AF198" s="396"/>
      <c r="AG198" s="396"/>
      <c r="AH198" s="396"/>
      <c r="AI198" s="396"/>
      <c r="AJ198" s="396"/>
      <c r="AK198" s="396"/>
      <c r="AL198" s="396"/>
      <c r="AM198" s="396"/>
      <c r="AN198" s="396"/>
      <c r="AO198" s="396"/>
      <c r="AP198" s="396"/>
      <c r="AQ198" s="396"/>
      <c r="AR198" s="396"/>
      <c r="AS198" s="396"/>
      <c r="AT198" s="396"/>
    </row>
    <row r="199" spans="1:46" x14ac:dyDescent="0.25">
      <c r="A199" s="378"/>
      <c r="B199" s="396"/>
      <c r="C199" s="396"/>
      <c r="D199" s="396"/>
      <c r="E199" s="396"/>
      <c r="F199" s="396"/>
      <c r="G199" s="396"/>
      <c r="H199" s="396"/>
      <c r="I199" s="396"/>
      <c r="J199" s="396"/>
      <c r="K199" s="396"/>
      <c r="L199" s="396"/>
      <c r="M199" s="396"/>
      <c r="N199" s="396"/>
      <c r="O199" s="396"/>
      <c r="P199" s="396"/>
      <c r="Q199" s="396"/>
      <c r="R199" s="396"/>
      <c r="S199" s="396"/>
      <c r="T199" s="396"/>
      <c r="U199" s="396"/>
      <c r="V199" s="396"/>
      <c r="W199" s="396"/>
      <c r="X199" s="396"/>
      <c r="Y199" s="396"/>
      <c r="Z199" s="396"/>
      <c r="AA199" s="396"/>
      <c r="AB199" s="396"/>
      <c r="AC199" s="396"/>
      <c r="AD199" s="396"/>
      <c r="AE199" s="396"/>
      <c r="AF199" s="396"/>
      <c r="AG199" s="396"/>
      <c r="AH199" s="396"/>
      <c r="AI199" s="396"/>
      <c r="AJ199" s="396"/>
      <c r="AK199" s="396"/>
      <c r="AL199" s="396"/>
      <c r="AM199" s="396"/>
      <c r="AN199" s="396"/>
      <c r="AO199" s="396"/>
      <c r="AP199" s="396"/>
      <c r="AQ199" s="396"/>
      <c r="AR199" s="396"/>
      <c r="AS199" s="396"/>
      <c r="AT199" s="396"/>
    </row>
    <row r="200" spans="1:46" x14ac:dyDescent="0.25">
      <c r="A200" s="378"/>
      <c r="B200" s="396"/>
      <c r="C200" s="396"/>
      <c r="D200" s="396"/>
      <c r="E200" s="396"/>
      <c r="F200" s="396"/>
      <c r="G200" s="396"/>
      <c r="H200" s="396"/>
      <c r="I200" s="396"/>
      <c r="J200" s="396"/>
      <c r="K200" s="396"/>
      <c r="L200" s="396"/>
      <c r="M200" s="396"/>
      <c r="N200" s="396"/>
      <c r="O200" s="396"/>
      <c r="P200" s="396"/>
      <c r="Q200" s="396"/>
      <c r="R200" s="396"/>
      <c r="S200" s="396"/>
      <c r="T200" s="396"/>
      <c r="U200" s="396"/>
      <c r="V200" s="396"/>
      <c r="W200" s="396"/>
      <c r="X200" s="396"/>
      <c r="Y200" s="396"/>
      <c r="Z200" s="396"/>
      <c r="AA200" s="396"/>
      <c r="AB200" s="396"/>
      <c r="AC200" s="396"/>
      <c r="AD200" s="396"/>
      <c r="AE200" s="396"/>
      <c r="AF200" s="396"/>
      <c r="AG200" s="396"/>
      <c r="AH200" s="396"/>
      <c r="AI200" s="396"/>
      <c r="AJ200" s="396"/>
      <c r="AK200" s="396"/>
      <c r="AL200" s="396"/>
      <c r="AM200" s="396"/>
      <c r="AN200" s="396"/>
      <c r="AO200" s="396"/>
      <c r="AP200" s="396"/>
      <c r="AQ200" s="396"/>
      <c r="AR200" s="396"/>
      <c r="AS200" s="396"/>
      <c r="AT200" s="396"/>
    </row>
    <row r="201" spans="1:46" x14ac:dyDescent="0.25">
      <c r="A201" s="378"/>
      <c r="B201" s="396"/>
      <c r="C201" s="396"/>
      <c r="D201" s="396"/>
      <c r="E201" s="396"/>
      <c r="F201" s="396"/>
      <c r="G201" s="396"/>
      <c r="H201" s="396"/>
      <c r="I201" s="396"/>
      <c r="J201" s="396"/>
      <c r="K201" s="396"/>
      <c r="L201" s="396"/>
      <c r="M201" s="396"/>
      <c r="N201" s="396"/>
      <c r="O201" s="396"/>
      <c r="P201" s="396"/>
      <c r="Q201" s="396"/>
      <c r="R201" s="396"/>
      <c r="S201" s="396"/>
      <c r="T201" s="396"/>
      <c r="U201" s="396"/>
      <c r="V201" s="396"/>
      <c r="W201" s="396"/>
      <c r="X201" s="396"/>
      <c r="Y201" s="396"/>
      <c r="Z201" s="396"/>
      <c r="AA201" s="396"/>
      <c r="AB201" s="396"/>
      <c r="AC201" s="396"/>
      <c r="AD201" s="396"/>
      <c r="AE201" s="396"/>
      <c r="AF201" s="396"/>
      <c r="AG201" s="396"/>
      <c r="AH201" s="396"/>
      <c r="AI201" s="396"/>
      <c r="AJ201" s="396"/>
      <c r="AK201" s="396"/>
      <c r="AL201" s="396"/>
      <c r="AM201" s="396"/>
      <c r="AN201" s="396"/>
      <c r="AO201" s="396"/>
      <c r="AP201" s="396"/>
      <c r="AQ201" s="396"/>
      <c r="AR201" s="396"/>
      <c r="AS201" s="396"/>
      <c r="AT201" s="396"/>
    </row>
    <row r="202" spans="1:46" x14ac:dyDescent="0.25">
      <c r="A202" s="378"/>
      <c r="B202" s="396"/>
      <c r="C202" s="396"/>
      <c r="D202" s="396"/>
      <c r="E202" s="396"/>
      <c r="F202" s="396"/>
      <c r="G202" s="396"/>
      <c r="H202" s="396"/>
      <c r="I202" s="396"/>
      <c r="J202" s="396"/>
      <c r="K202" s="396"/>
      <c r="L202" s="396"/>
      <c r="M202" s="396"/>
      <c r="N202" s="396"/>
      <c r="O202" s="396"/>
      <c r="P202" s="396"/>
      <c r="Q202" s="396"/>
      <c r="R202" s="396"/>
      <c r="S202" s="396"/>
      <c r="T202" s="396"/>
      <c r="U202" s="396"/>
      <c r="V202" s="396"/>
      <c r="W202" s="396"/>
      <c r="X202" s="396"/>
      <c r="Y202" s="396"/>
      <c r="Z202" s="396"/>
      <c r="AA202" s="396"/>
      <c r="AB202" s="396"/>
      <c r="AC202" s="396"/>
      <c r="AD202" s="396"/>
      <c r="AE202" s="396"/>
      <c r="AF202" s="396"/>
      <c r="AG202" s="396"/>
      <c r="AH202" s="396"/>
      <c r="AI202" s="396"/>
      <c r="AJ202" s="396"/>
      <c r="AK202" s="396"/>
      <c r="AL202" s="396"/>
      <c r="AM202" s="396"/>
      <c r="AN202" s="396"/>
      <c r="AO202" s="396"/>
      <c r="AP202" s="396"/>
      <c r="AQ202" s="396"/>
      <c r="AR202" s="396"/>
      <c r="AS202" s="396"/>
      <c r="AT202" s="396"/>
    </row>
    <row r="203" spans="1:46" x14ac:dyDescent="0.25">
      <c r="A203" s="378"/>
      <c r="B203" s="396"/>
      <c r="C203" s="396"/>
      <c r="D203" s="396"/>
      <c r="E203" s="396"/>
      <c r="F203" s="396"/>
      <c r="G203" s="396"/>
      <c r="H203" s="396"/>
      <c r="I203" s="396"/>
      <c r="J203" s="396"/>
      <c r="K203" s="396"/>
      <c r="L203" s="396"/>
      <c r="M203" s="396"/>
      <c r="N203" s="396"/>
      <c r="O203" s="396"/>
      <c r="P203" s="396"/>
      <c r="Q203" s="396"/>
      <c r="R203" s="396"/>
      <c r="S203" s="396"/>
      <c r="T203" s="396"/>
      <c r="U203" s="396"/>
      <c r="V203" s="396"/>
      <c r="W203" s="396"/>
      <c r="X203" s="396"/>
      <c r="Y203" s="396"/>
      <c r="Z203" s="396"/>
      <c r="AA203" s="396"/>
      <c r="AB203" s="396"/>
      <c r="AC203" s="396"/>
      <c r="AD203" s="396"/>
      <c r="AE203" s="396"/>
      <c r="AF203" s="396"/>
      <c r="AG203" s="396"/>
      <c r="AH203" s="396"/>
      <c r="AI203" s="396"/>
      <c r="AJ203" s="396"/>
      <c r="AK203" s="396"/>
      <c r="AL203" s="396"/>
      <c r="AM203" s="396"/>
      <c r="AN203" s="396"/>
      <c r="AO203" s="396"/>
      <c r="AP203" s="396"/>
      <c r="AQ203" s="396"/>
      <c r="AR203" s="396"/>
      <c r="AS203" s="396"/>
      <c r="AT203" s="396"/>
    </row>
    <row r="204" spans="1:46" x14ac:dyDescent="0.25">
      <c r="A204" s="378"/>
      <c r="B204" s="396"/>
      <c r="C204" s="396"/>
      <c r="D204" s="396"/>
      <c r="E204" s="396"/>
      <c r="F204" s="396"/>
      <c r="G204" s="396"/>
      <c r="H204" s="396"/>
      <c r="I204" s="396"/>
      <c r="J204" s="396"/>
      <c r="K204" s="396"/>
      <c r="L204" s="396"/>
      <c r="M204" s="396"/>
      <c r="N204" s="396"/>
      <c r="O204" s="396"/>
      <c r="P204" s="396"/>
      <c r="Q204" s="396"/>
      <c r="R204" s="396"/>
      <c r="S204" s="396"/>
      <c r="T204" s="396"/>
      <c r="U204" s="396"/>
      <c r="V204" s="396"/>
      <c r="W204" s="396"/>
      <c r="X204" s="396"/>
      <c r="Y204" s="396"/>
      <c r="Z204" s="396"/>
      <c r="AA204" s="396"/>
      <c r="AB204" s="396"/>
      <c r="AC204" s="396"/>
      <c r="AD204" s="396"/>
      <c r="AE204" s="396"/>
      <c r="AF204" s="396"/>
      <c r="AG204" s="396"/>
      <c r="AH204" s="396"/>
      <c r="AI204" s="396"/>
      <c r="AJ204" s="396"/>
      <c r="AK204" s="396"/>
      <c r="AL204" s="396"/>
      <c r="AM204" s="396"/>
      <c r="AN204" s="396"/>
      <c r="AO204" s="396"/>
      <c r="AP204" s="396"/>
      <c r="AQ204" s="396"/>
      <c r="AR204" s="396"/>
      <c r="AS204" s="396"/>
      <c r="AT204" s="396"/>
    </row>
    <row r="205" spans="1:46" x14ac:dyDescent="0.25">
      <c r="A205" s="378"/>
      <c r="B205" s="396"/>
      <c r="C205" s="396"/>
      <c r="D205" s="396"/>
      <c r="E205" s="396"/>
      <c r="F205" s="396"/>
      <c r="G205" s="396"/>
      <c r="H205" s="396"/>
      <c r="I205" s="396"/>
      <c r="J205" s="396"/>
      <c r="K205" s="396"/>
      <c r="L205" s="396"/>
      <c r="M205" s="396"/>
      <c r="N205" s="396"/>
      <c r="O205" s="396"/>
      <c r="P205" s="396"/>
      <c r="Q205" s="396"/>
      <c r="R205" s="396"/>
      <c r="S205" s="396"/>
      <c r="T205" s="396"/>
      <c r="U205" s="396"/>
      <c r="V205" s="396"/>
      <c r="W205" s="396"/>
      <c r="X205" s="396"/>
      <c r="Y205" s="396"/>
      <c r="Z205" s="396"/>
      <c r="AA205" s="396"/>
      <c r="AB205" s="396"/>
      <c r="AC205" s="396"/>
      <c r="AD205" s="396"/>
      <c r="AE205" s="396"/>
      <c r="AF205" s="396"/>
      <c r="AG205" s="396"/>
      <c r="AH205" s="396"/>
      <c r="AI205" s="396"/>
      <c r="AJ205" s="396"/>
      <c r="AK205" s="396"/>
      <c r="AL205" s="396"/>
      <c r="AM205" s="396"/>
      <c r="AN205" s="396"/>
      <c r="AO205" s="396"/>
      <c r="AP205" s="396"/>
      <c r="AQ205" s="396"/>
      <c r="AR205" s="396"/>
      <c r="AS205" s="396"/>
      <c r="AT205" s="396"/>
    </row>
    <row r="206" spans="1:46" x14ac:dyDescent="0.25">
      <c r="A206" s="378"/>
      <c r="B206" s="396"/>
      <c r="C206" s="396"/>
      <c r="D206" s="396"/>
      <c r="E206" s="396"/>
      <c r="F206" s="396"/>
      <c r="G206" s="396"/>
      <c r="H206" s="396"/>
      <c r="I206" s="396"/>
      <c r="J206" s="396"/>
      <c r="K206" s="396"/>
      <c r="L206" s="396"/>
      <c r="M206" s="396"/>
      <c r="N206" s="396"/>
      <c r="O206" s="396"/>
      <c r="P206" s="396"/>
      <c r="Q206" s="396"/>
      <c r="R206" s="396"/>
      <c r="S206" s="396"/>
      <c r="T206" s="396"/>
      <c r="U206" s="396"/>
      <c r="V206" s="396"/>
      <c r="W206" s="396"/>
      <c r="X206" s="396"/>
      <c r="Y206" s="396"/>
      <c r="Z206" s="396"/>
      <c r="AA206" s="396"/>
      <c r="AB206" s="396"/>
      <c r="AC206" s="396"/>
      <c r="AD206" s="396"/>
      <c r="AE206" s="396"/>
      <c r="AF206" s="396"/>
      <c r="AG206" s="396"/>
      <c r="AH206" s="396"/>
      <c r="AI206" s="396"/>
      <c r="AJ206" s="396"/>
      <c r="AK206" s="396"/>
      <c r="AL206" s="396"/>
      <c r="AM206" s="396"/>
      <c r="AN206" s="396"/>
      <c r="AO206" s="396"/>
      <c r="AP206" s="396"/>
      <c r="AQ206" s="396"/>
      <c r="AR206" s="396"/>
      <c r="AS206" s="396"/>
      <c r="AT206" s="396"/>
    </row>
    <row r="207" spans="1:46" x14ac:dyDescent="0.25">
      <c r="A207" s="378"/>
      <c r="B207" s="396"/>
      <c r="C207" s="396"/>
      <c r="D207" s="396"/>
      <c r="E207" s="396"/>
      <c r="F207" s="396"/>
      <c r="G207" s="396"/>
      <c r="H207" s="396"/>
      <c r="I207" s="396"/>
      <c r="J207" s="396"/>
      <c r="K207" s="396"/>
      <c r="L207" s="396"/>
      <c r="M207" s="396"/>
      <c r="N207" s="396"/>
      <c r="O207" s="396"/>
      <c r="P207" s="396"/>
      <c r="Q207" s="396"/>
      <c r="R207" s="396"/>
      <c r="S207" s="396"/>
      <c r="T207" s="396"/>
      <c r="U207" s="396"/>
      <c r="V207" s="396"/>
      <c r="W207" s="396"/>
      <c r="X207" s="396"/>
      <c r="Y207" s="396"/>
      <c r="Z207" s="396"/>
      <c r="AA207" s="396"/>
      <c r="AB207" s="396"/>
      <c r="AC207" s="396"/>
      <c r="AD207" s="396"/>
      <c r="AE207" s="396"/>
      <c r="AF207" s="396"/>
      <c r="AG207" s="396"/>
      <c r="AH207" s="396"/>
      <c r="AI207" s="396"/>
      <c r="AJ207" s="396"/>
      <c r="AK207" s="396"/>
      <c r="AL207" s="396"/>
      <c r="AM207" s="396"/>
      <c r="AN207" s="396"/>
      <c r="AO207" s="396"/>
      <c r="AP207" s="396"/>
      <c r="AQ207" s="396"/>
      <c r="AR207" s="396"/>
      <c r="AS207" s="396"/>
      <c r="AT207" s="396"/>
    </row>
    <row r="208" spans="1:46" x14ac:dyDescent="0.25">
      <c r="A208" s="378"/>
      <c r="B208" s="396"/>
      <c r="C208" s="396"/>
      <c r="D208" s="396"/>
      <c r="E208" s="396"/>
      <c r="F208" s="396"/>
      <c r="G208" s="396"/>
      <c r="H208" s="396"/>
      <c r="I208" s="396"/>
      <c r="J208" s="396"/>
      <c r="K208" s="396"/>
      <c r="L208" s="396"/>
      <c r="M208" s="396"/>
      <c r="N208" s="396"/>
      <c r="O208" s="396"/>
      <c r="P208" s="396"/>
      <c r="Q208" s="396"/>
      <c r="R208" s="396"/>
      <c r="S208" s="396"/>
      <c r="T208" s="396"/>
      <c r="U208" s="396"/>
      <c r="V208" s="396"/>
      <c r="W208" s="396"/>
      <c r="X208" s="396"/>
      <c r="Y208" s="396"/>
      <c r="Z208" s="396"/>
      <c r="AA208" s="396"/>
      <c r="AB208" s="396"/>
      <c r="AC208" s="396"/>
      <c r="AD208" s="396"/>
      <c r="AE208" s="396"/>
      <c r="AF208" s="396"/>
      <c r="AG208" s="396"/>
      <c r="AH208" s="396"/>
      <c r="AI208" s="396"/>
      <c r="AJ208" s="396"/>
      <c r="AK208" s="396"/>
      <c r="AL208" s="396"/>
      <c r="AM208" s="396"/>
      <c r="AN208" s="396"/>
      <c r="AO208" s="396"/>
      <c r="AP208" s="396"/>
      <c r="AQ208" s="396"/>
      <c r="AR208" s="396"/>
      <c r="AS208" s="396"/>
      <c r="AT208" s="396"/>
    </row>
    <row r="209" spans="1:46" x14ac:dyDescent="0.25">
      <c r="A209" s="378"/>
      <c r="B209" s="396"/>
      <c r="C209" s="396"/>
      <c r="D209" s="396"/>
      <c r="E209" s="396"/>
      <c r="F209" s="396"/>
      <c r="G209" s="396"/>
      <c r="H209" s="396"/>
      <c r="I209" s="396"/>
      <c r="J209" s="396"/>
      <c r="K209" s="396"/>
      <c r="L209" s="396"/>
      <c r="M209" s="396"/>
      <c r="N209" s="396"/>
      <c r="O209" s="396"/>
      <c r="P209" s="396"/>
      <c r="Q209" s="396"/>
      <c r="R209" s="396"/>
      <c r="S209" s="396"/>
      <c r="T209" s="396"/>
      <c r="U209" s="396"/>
      <c r="V209" s="396"/>
      <c r="W209" s="396"/>
      <c r="X209" s="396"/>
      <c r="Y209" s="396"/>
      <c r="Z209" s="396"/>
      <c r="AA209" s="396"/>
      <c r="AB209" s="396"/>
      <c r="AC209" s="396"/>
      <c r="AD209" s="396"/>
      <c r="AE209" s="396"/>
      <c r="AF209" s="396"/>
      <c r="AG209" s="396"/>
      <c r="AH209" s="396"/>
      <c r="AI209" s="396"/>
      <c r="AJ209" s="396"/>
      <c r="AK209" s="396"/>
      <c r="AL209" s="396"/>
      <c r="AM209" s="396"/>
      <c r="AN209" s="396"/>
      <c r="AO209" s="396"/>
      <c r="AP209" s="396"/>
      <c r="AQ209" s="396"/>
      <c r="AR209" s="396"/>
      <c r="AS209" s="396"/>
      <c r="AT209" s="396"/>
    </row>
    <row r="210" spans="1:46" x14ac:dyDescent="0.25">
      <c r="A210" s="378"/>
      <c r="B210" s="396"/>
      <c r="C210" s="396"/>
      <c r="D210" s="396"/>
      <c r="E210" s="396"/>
      <c r="F210" s="396"/>
      <c r="G210" s="396"/>
      <c r="H210" s="396"/>
      <c r="I210" s="396"/>
      <c r="J210" s="396"/>
      <c r="K210" s="396"/>
      <c r="L210" s="396"/>
      <c r="M210" s="396"/>
      <c r="N210" s="396"/>
      <c r="O210" s="396"/>
      <c r="P210" s="396"/>
      <c r="Q210" s="396"/>
      <c r="R210" s="396"/>
      <c r="S210" s="396"/>
      <c r="T210" s="396"/>
      <c r="U210" s="396"/>
      <c r="V210" s="396"/>
      <c r="W210" s="396"/>
      <c r="X210" s="396"/>
      <c r="Y210" s="396"/>
      <c r="Z210" s="396"/>
      <c r="AA210" s="396"/>
      <c r="AB210" s="396"/>
      <c r="AC210" s="396"/>
      <c r="AD210" s="396"/>
      <c r="AE210" s="396"/>
      <c r="AF210" s="396"/>
      <c r="AG210" s="396"/>
      <c r="AH210" s="396"/>
      <c r="AI210" s="396"/>
      <c r="AJ210" s="396"/>
      <c r="AK210" s="396"/>
      <c r="AL210" s="396"/>
      <c r="AM210" s="396"/>
      <c r="AN210" s="396"/>
      <c r="AO210" s="396"/>
      <c r="AP210" s="396"/>
      <c r="AQ210" s="396"/>
      <c r="AR210" s="396"/>
      <c r="AS210" s="396"/>
      <c r="AT210" s="396"/>
    </row>
    <row r="211" spans="1:46" x14ac:dyDescent="0.25">
      <c r="A211" s="378"/>
      <c r="B211" s="396"/>
      <c r="C211" s="396"/>
      <c r="D211" s="396"/>
      <c r="E211" s="396"/>
      <c r="F211" s="396"/>
      <c r="G211" s="396"/>
      <c r="H211" s="396"/>
      <c r="I211" s="396"/>
      <c r="J211" s="396"/>
      <c r="K211" s="396"/>
      <c r="L211" s="396"/>
      <c r="M211" s="396"/>
      <c r="N211" s="396"/>
      <c r="O211" s="396"/>
      <c r="P211" s="396"/>
      <c r="Q211" s="396"/>
      <c r="R211" s="396"/>
      <c r="S211" s="396"/>
      <c r="T211" s="396"/>
      <c r="U211" s="396"/>
      <c r="V211" s="396"/>
      <c r="W211" s="396"/>
      <c r="X211" s="396"/>
      <c r="Y211" s="396"/>
      <c r="Z211" s="396"/>
      <c r="AA211" s="396"/>
      <c r="AB211" s="396"/>
      <c r="AC211" s="396"/>
      <c r="AD211" s="396"/>
      <c r="AE211" s="396"/>
      <c r="AF211" s="396"/>
      <c r="AG211" s="396"/>
      <c r="AH211" s="396"/>
      <c r="AI211" s="396"/>
      <c r="AJ211" s="396"/>
      <c r="AK211" s="396"/>
      <c r="AL211" s="396"/>
      <c r="AM211" s="396"/>
      <c r="AN211" s="396"/>
      <c r="AO211" s="396"/>
      <c r="AP211" s="396"/>
      <c r="AQ211" s="396"/>
      <c r="AR211" s="396"/>
      <c r="AS211" s="396"/>
      <c r="AT211" s="396"/>
    </row>
    <row r="212" spans="1:46" x14ac:dyDescent="0.25">
      <c r="A212" s="378"/>
      <c r="B212" s="396"/>
      <c r="C212" s="396"/>
      <c r="D212" s="396"/>
      <c r="E212" s="396"/>
      <c r="F212" s="396"/>
      <c r="G212" s="396"/>
      <c r="H212" s="396"/>
      <c r="I212" s="396"/>
      <c r="J212" s="396"/>
      <c r="K212" s="396"/>
      <c r="L212" s="396"/>
      <c r="M212" s="396"/>
      <c r="N212" s="396"/>
      <c r="O212" s="396"/>
      <c r="P212" s="396"/>
      <c r="Q212" s="396"/>
      <c r="R212" s="396"/>
      <c r="S212" s="396"/>
      <c r="T212" s="396"/>
      <c r="U212" s="396"/>
      <c r="V212" s="396"/>
      <c r="W212" s="396"/>
      <c r="X212" s="396"/>
      <c r="Y212" s="396"/>
      <c r="Z212" s="396"/>
      <c r="AA212" s="396"/>
      <c r="AB212" s="396"/>
      <c r="AC212" s="396"/>
      <c r="AD212" s="396"/>
      <c r="AE212" s="396"/>
      <c r="AF212" s="396"/>
      <c r="AG212" s="396"/>
      <c r="AH212" s="396"/>
      <c r="AI212" s="396"/>
      <c r="AJ212" s="396"/>
      <c r="AK212" s="396"/>
      <c r="AL212" s="396"/>
      <c r="AM212" s="396"/>
      <c r="AN212" s="396"/>
      <c r="AO212" s="396"/>
      <c r="AP212" s="396"/>
      <c r="AQ212" s="396"/>
      <c r="AR212" s="396"/>
      <c r="AS212" s="396"/>
      <c r="AT212" s="396"/>
    </row>
    <row r="213" spans="1:46" x14ac:dyDescent="0.25">
      <c r="A213" s="378"/>
      <c r="B213" s="396"/>
      <c r="C213" s="396"/>
      <c r="D213" s="396"/>
      <c r="E213" s="396"/>
      <c r="F213" s="396"/>
      <c r="G213" s="396"/>
      <c r="H213" s="396"/>
      <c r="I213" s="396"/>
      <c r="J213" s="396"/>
      <c r="K213" s="396"/>
      <c r="L213" s="396"/>
      <c r="M213" s="396"/>
      <c r="N213" s="396"/>
      <c r="O213" s="396"/>
      <c r="P213" s="396"/>
      <c r="Q213" s="396"/>
      <c r="R213" s="396"/>
      <c r="S213" s="396"/>
      <c r="T213" s="396"/>
      <c r="U213" s="396"/>
      <c r="V213" s="396"/>
      <c r="W213" s="396"/>
      <c r="X213" s="396"/>
      <c r="Y213" s="396"/>
      <c r="Z213" s="396"/>
      <c r="AA213" s="396"/>
      <c r="AB213" s="396"/>
      <c r="AC213" s="396"/>
      <c r="AD213" s="396"/>
      <c r="AE213" s="396"/>
      <c r="AF213" s="396"/>
      <c r="AG213" s="396"/>
      <c r="AH213" s="396"/>
      <c r="AI213" s="396"/>
      <c r="AJ213" s="396"/>
      <c r="AK213" s="396"/>
      <c r="AL213" s="396"/>
      <c r="AM213" s="396"/>
      <c r="AN213" s="396"/>
      <c r="AO213" s="396"/>
      <c r="AP213" s="396"/>
      <c r="AQ213" s="396"/>
      <c r="AR213" s="396"/>
      <c r="AS213" s="396"/>
      <c r="AT213" s="396"/>
    </row>
    <row r="214" spans="1:46" x14ac:dyDescent="0.25">
      <c r="A214" s="378"/>
      <c r="B214" s="396"/>
      <c r="C214" s="396"/>
      <c r="D214" s="396"/>
      <c r="E214" s="396"/>
      <c r="F214" s="396"/>
      <c r="G214" s="396"/>
      <c r="H214" s="396"/>
      <c r="I214" s="396"/>
      <c r="J214" s="396"/>
      <c r="K214" s="396"/>
      <c r="L214" s="396"/>
      <c r="M214" s="396"/>
      <c r="N214" s="396"/>
      <c r="O214" s="396"/>
      <c r="P214" s="396"/>
      <c r="Q214" s="396"/>
      <c r="R214" s="396"/>
      <c r="S214" s="396"/>
      <c r="T214" s="396"/>
      <c r="U214" s="396"/>
      <c r="V214" s="396"/>
      <c r="W214" s="396"/>
      <c r="X214" s="396"/>
      <c r="Y214" s="396"/>
      <c r="Z214" s="396"/>
      <c r="AA214" s="396"/>
      <c r="AB214" s="396"/>
      <c r="AC214" s="396"/>
      <c r="AD214" s="396"/>
      <c r="AE214" s="396"/>
      <c r="AF214" s="396"/>
      <c r="AG214" s="396"/>
      <c r="AH214" s="396"/>
      <c r="AI214" s="396"/>
      <c r="AJ214" s="396"/>
      <c r="AK214" s="396"/>
      <c r="AL214" s="396"/>
      <c r="AM214" s="396"/>
      <c r="AN214" s="396"/>
      <c r="AO214" s="396"/>
      <c r="AP214" s="396"/>
      <c r="AQ214" s="396"/>
      <c r="AR214" s="396"/>
      <c r="AS214" s="396"/>
      <c r="AT214" s="396"/>
    </row>
    <row r="215" spans="1:46" x14ac:dyDescent="0.25">
      <c r="A215" s="378"/>
      <c r="B215" s="396"/>
      <c r="C215" s="396"/>
      <c r="D215" s="396"/>
      <c r="E215" s="396"/>
      <c r="F215" s="396"/>
      <c r="G215" s="396"/>
      <c r="H215" s="396"/>
      <c r="I215" s="396"/>
      <c r="J215" s="396"/>
      <c r="K215" s="396"/>
      <c r="L215" s="396"/>
      <c r="M215" s="396"/>
      <c r="N215" s="396"/>
      <c r="O215" s="396"/>
      <c r="P215" s="396"/>
      <c r="Q215" s="396"/>
      <c r="R215" s="396"/>
      <c r="S215" s="396"/>
      <c r="T215" s="396"/>
      <c r="U215" s="396"/>
      <c r="V215" s="396"/>
      <c r="W215" s="396"/>
      <c r="X215" s="396"/>
      <c r="Y215" s="396"/>
      <c r="Z215" s="396"/>
      <c r="AA215" s="396"/>
      <c r="AB215" s="396"/>
      <c r="AC215" s="396"/>
      <c r="AD215" s="396"/>
      <c r="AE215" s="396"/>
      <c r="AF215" s="396"/>
      <c r="AG215" s="396"/>
      <c r="AH215" s="396"/>
      <c r="AI215" s="396"/>
      <c r="AJ215" s="396"/>
      <c r="AK215" s="396"/>
      <c r="AL215" s="396"/>
      <c r="AM215" s="396"/>
      <c r="AN215" s="396"/>
      <c r="AO215" s="396"/>
      <c r="AP215" s="396"/>
      <c r="AQ215" s="396"/>
      <c r="AR215" s="396"/>
      <c r="AS215" s="396"/>
      <c r="AT215" s="396"/>
    </row>
    <row r="216" spans="1:46" x14ac:dyDescent="0.25">
      <c r="A216" s="378"/>
      <c r="B216" s="396"/>
      <c r="C216" s="396"/>
      <c r="D216" s="396"/>
      <c r="E216" s="396"/>
      <c r="F216" s="396"/>
      <c r="G216" s="396"/>
      <c r="H216" s="396"/>
      <c r="I216" s="396"/>
      <c r="J216" s="396"/>
      <c r="K216" s="396"/>
      <c r="L216" s="396"/>
      <c r="M216" s="396"/>
      <c r="N216" s="396"/>
      <c r="O216" s="396"/>
      <c r="P216" s="396"/>
      <c r="Q216" s="396"/>
      <c r="R216" s="396"/>
      <c r="S216" s="396"/>
      <c r="T216" s="396"/>
      <c r="U216" s="396"/>
      <c r="V216" s="396"/>
      <c r="W216" s="396"/>
      <c r="X216" s="396"/>
      <c r="Y216" s="396"/>
      <c r="Z216" s="396"/>
      <c r="AA216" s="396"/>
      <c r="AB216" s="396"/>
      <c r="AC216" s="396"/>
      <c r="AD216" s="396"/>
      <c r="AE216" s="396"/>
      <c r="AF216" s="396"/>
      <c r="AG216" s="396"/>
      <c r="AH216" s="396"/>
      <c r="AI216" s="396"/>
      <c r="AJ216" s="396"/>
      <c r="AK216" s="396"/>
      <c r="AL216" s="396"/>
      <c r="AM216" s="396"/>
      <c r="AN216" s="396"/>
      <c r="AO216" s="396"/>
      <c r="AP216" s="396"/>
      <c r="AQ216" s="396"/>
      <c r="AR216" s="396"/>
      <c r="AS216" s="396"/>
      <c r="AT216" s="396"/>
    </row>
    <row r="217" spans="1:46" x14ac:dyDescent="0.25">
      <c r="A217" s="378"/>
      <c r="B217" s="396"/>
      <c r="C217" s="396"/>
      <c r="D217" s="396"/>
      <c r="E217" s="396"/>
      <c r="F217" s="396"/>
      <c r="G217" s="396"/>
      <c r="H217" s="396"/>
      <c r="I217" s="396"/>
      <c r="J217" s="396"/>
      <c r="K217" s="396"/>
      <c r="L217" s="396"/>
      <c r="M217" s="396"/>
      <c r="N217" s="396"/>
      <c r="O217" s="396"/>
      <c r="P217" s="396"/>
      <c r="Q217" s="396"/>
      <c r="R217" s="396"/>
      <c r="S217" s="396"/>
      <c r="T217" s="396"/>
      <c r="U217" s="396"/>
      <c r="V217" s="396"/>
      <c r="W217" s="396"/>
      <c r="X217" s="396"/>
      <c r="Y217" s="396"/>
      <c r="Z217" s="396"/>
      <c r="AA217" s="396"/>
      <c r="AB217" s="396"/>
      <c r="AC217" s="396"/>
      <c r="AD217" s="396"/>
      <c r="AE217" s="396"/>
      <c r="AF217" s="396"/>
      <c r="AG217" s="396"/>
      <c r="AH217" s="396"/>
      <c r="AI217" s="396"/>
      <c r="AJ217" s="396"/>
      <c r="AK217" s="396"/>
      <c r="AL217" s="396"/>
      <c r="AM217" s="396"/>
      <c r="AN217" s="396"/>
      <c r="AO217" s="396"/>
      <c r="AP217" s="396"/>
      <c r="AQ217" s="396"/>
      <c r="AR217" s="396"/>
      <c r="AS217" s="396"/>
      <c r="AT217" s="396"/>
    </row>
    <row r="218" spans="1:46" x14ac:dyDescent="0.25">
      <c r="A218" s="378"/>
      <c r="B218" s="396"/>
      <c r="C218" s="396"/>
      <c r="D218" s="396"/>
      <c r="E218" s="396"/>
      <c r="F218" s="396"/>
      <c r="G218" s="396"/>
      <c r="H218" s="396"/>
      <c r="I218" s="396"/>
      <c r="J218" s="396"/>
      <c r="K218" s="396"/>
      <c r="L218" s="396"/>
      <c r="M218" s="396"/>
      <c r="N218" s="396"/>
      <c r="O218" s="396"/>
      <c r="P218" s="396"/>
      <c r="Q218" s="396"/>
      <c r="R218" s="396"/>
      <c r="S218" s="396"/>
      <c r="T218" s="396"/>
      <c r="U218" s="396"/>
      <c r="V218" s="396"/>
      <c r="W218" s="396"/>
      <c r="X218" s="396"/>
      <c r="Y218" s="396"/>
      <c r="Z218" s="396"/>
      <c r="AA218" s="396"/>
      <c r="AB218" s="396"/>
      <c r="AC218" s="396"/>
      <c r="AD218" s="396"/>
      <c r="AE218" s="396"/>
      <c r="AF218" s="396"/>
      <c r="AG218" s="396"/>
      <c r="AH218" s="396"/>
      <c r="AI218" s="396"/>
      <c r="AJ218" s="396"/>
      <c r="AK218" s="396"/>
      <c r="AL218" s="396"/>
      <c r="AM218" s="396"/>
      <c r="AN218" s="396"/>
      <c r="AO218" s="396"/>
      <c r="AP218" s="396"/>
      <c r="AQ218" s="396"/>
      <c r="AR218" s="396"/>
      <c r="AS218" s="396"/>
      <c r="AT218" s="396"/>
    </row>
    <row r="219" spans="1:46" x14ac:dyDescent="0.25">
      <c r="A219" s="378"/>
      <c r="B219" s="396"/>
      <c r="C219" s="396"/>
      <c r="D219" s="396"/>
      <c r="E219" s="396"/>
      <c r="F219" s="396"/>
      <c r="G219" s="396"/>
      <c r="H219" s="396"/>
      <c r="I219" s="396"/>
      <c r="J219" s="396"/>
      <c r="K219" s="396"/>
      <c r="L219" s="396"/>
      <c r="M219" s="396"/>
      <c r="N219" s="396"/>
      <c r="O219" s="396"/>
      <c r="P219" s="396"/>
      <c r="Q219" s="396"/>
      <c r="R219" s="396"/>
      <c r="S219" s="396"/>
      <c r="T219" s="396"/>
      <c r="U219" s="396"/>
      <c r="V219" s="396"/>
      <c r="W219" s="396"/>
      <c r="X219" s="396"/>
      <c r="Y219" s="396"/>
      <c r="Z219" s="396"/>
      <c r="AA219" s="396"/>
      <c r="AB219" s="396"/>
      <c r="AC219" s="396"/>
      <c r="AD219" s="396"/>
      <c r="AE219" s="396"/>
      <c r="AF219" s="396"/>
      <c r="AG219" s="396"/>
      <c r="AH219" s="396"/>
      <c r="AI219" s="396"/>
      <c r="AJ219" s="396"/>
      <c r="AK219" s="396"/>
      <c r="AL219" s="396"/>
      <c r="AM219" s="396"/>
      <c r="AN219" s="396"/>
      <c r="AO219" s="396"/>
      <c r="AP219" s="396"/>
      <c r="AQ219" s="396"/>
      <c r="AR219" s="396"/>
      <c r="AS219" s="396"/>
      <c r="AT219" s="396"/>
    </row>
    <row r="220" spans="1:46" x14ac:dyDescent="0.25">
      <c r="A220" s="378"/>
      <c r="B220" s="396"/>
      <c r="C220" s="396"/>
      <c r="D220" s="396"/>
      <c r="E220" s="396"/>
      <c r="F220" s="396"/>
      <c r="G220" s="396"/>
      <c r="H220" s="396"/>
      <c r="I220" s="396"/>
      <c r="J220" s="396"/>
      <c r="K220" s="396"/>
      <c r="L220" s="396"/>
      <c r="M220" s="396"/>
      <c r="N220" s="396"/>
      <c r="O220" s="396"/>
      <c r="P220" s="396"/>
      <c r="Q220" s="396"/>
      <c r="R220" s="396"/>
      <c r="S220" s="396"/>
      <c r="T220" s="396"/>
      <c r="U220" s="396"/>
      <c r="V220" s="396"/>
      <c r="W220" s="396"/>
      <c r="X220" s="396"/>
      <c r="Y220" s="396"/>
      <c r="Z220" s="396"/>
      <c r="AA220" s="396"/>
      <c r="AB220" s="396"/>
      <c r="AC220" s="396"/>
      <c r="AD220" s="396"/>
      <c r="AE220" s="396"/>
      <c r="AF220" s="396"/>
      <c r="AG220" s="396"/>
      <c r="AH220" s="396"/>
      <c r="AI220" s="396"/>
      <c r="AJ220" s="396"/>
      <c r="AK220" s="396"/>
      <c r="AL220" s="396"/>
      <c r="AM220" s="396"/>
      <c r="AN220" s="396"/>
      <c r="AO220" s="396"/>
      <c r="AP220" s="396"/>
      <c r="AQ220" s="396"/>
      <c r="AR220" s="396"/>
      <c r="AS220" s="396"/>
      <c r="AT220" s="396"/>
    </row>
    <row r="221" spans="1:46" x14ac:dyDescent="0.25">
      <c r="A221" s="378"/>
      <c r="B221" s="396"/>
      <c r="C221" s="396"/>
      <c r="D221" s="396"/>
      <c r="E221" s="396"/>
      <c r="F221" s="396"/>
      <c r="G221" s="396"/>
      <c r="H221" s="396"/>
      <c r="I221" s="396"/>
      <c r="J221" s="396"/>
      <c r="K221" s="396"/>
      <c r="L221" s="396"/>
      <c r="M221" s="396"/>
      <c r="N221" s="396"/>
      <c r="O221" s="396"/>
      <c r="P221" s="396"/>
      <c r="Q221" s="396"/>
      <c r="R221" s="396"/>
      <c r="S221" s="396"/>
      <c r="T221" s="396"/>
      <c r="U221" s="396"/>
      <c r="V221" s="396"/>
      <c r="W221" s="396"/>
      <c r="X221" s="396"/>
      <c r="Y221" s="396"/>
      <c r="Z221" s="396"/>
      <c r="AA221" s="396"/>
      <c r="AB221" s="396"/>
      <c r="AC221" s="396"/>
      <c r="AD221" s="396"/>
      <c r="AE221" s="396"/>
      <c r="AF221" s="396"/>
      <c r="AG221" s="396"/>
      <c r="AH221" s="396"/>
      <c r="AI221" s="396"/>
      <c r="AJ221" s="396"/>
      <c r="AK221" s="396"/>
      <c r="AL221" s="396"/>
      <c r="AM221" s="396"/>
      <c r="AN221" s="396"/>
      <c r="AO221" s="396"/>
      <c r="AP221" s="396"/>
      <c r="AQ221" s="396"/>
      <c r="AR221" s="396"/>
      <c r="AS221" s="396"/>
      <c r="AT221" s="396"/>
    </row>
    <row r="222" spans="1:46" x14ac:dyDescent="0.25">
      <c r="A222" s="378"/>
      <c r="B222" s="396"/>
      <c r="C222" s="396"/>
      <c r="D222" s="396"/>
      <c r="E222" s="396"/>
      <c r="F222" s="396"/>
      <c r="G222" s="396"/>
      <c r="H222" s="396"/>
      <c r="I222" s="396"/>
      <c r="J222" s="396"/>
      <c r="K222" s="396"/>
      <c r="L222" s="396"/>
      <c r="M222" s="396"/>
      <c r="N222" s="396"/>
      <c r="O222" s="396"/>
      <c r="P222" s="396"/>
      <c r="Q222" s="396"/>
      <c r="R222" s="396"/>
      <c r="S222" s="396"/>
      <c r="T222" s="396"/>
      <c r="U222" s="396"/>
      <c r="V222" s="396"/>
      <c r="W222" s="396"/>
      <c r="X222" s="396"/>
      <c r="Y222" s="396"/>
      <c r="Z222" s="396"/>
      <c r="AA222" s="396"/>
      <c r="AB222" s="396"/>
      <c r="AC222" s="396"/>
      <c r="AD222" s="396"/>
      <c r="AE222" s="396"/>
      <c r="AF222" s="396"/>
      <c r="AG222" s="396"/>
      <c r="AH222" s="396"/>
      <c r="AI222" s="396"/>
      <c r="AJ222" s="396"/>
      <c r="AK222" s="396"/>
      <c r="AL222" s="396"/>
      <c r="AM222" s="396"/>
      <c r="AN222" s="396"/>
      <c r="AO222" s="396"/>
      <c r="AP222" s="396"/>
      <c r="AQ222" s="396"/>
      <c r="AR222" s="396"/>
      <c r="AS222" s="396"/>
      <c r="AT222" s="396"/>
    </row>
    <row r="223" spans="1:46" x14ac:dyDescent="0.25">
      <c r="A223" s="378"/>
      <c r="B223" s="396"/>
      <c r="C223" s="396"/>
      <c r="D223" s="396"/>
      <c r="E223" s="396"/>
      <c r="F223" s="396"/>
      <c r="G223" s="396"/>
      <c r="H223" s="396"/>
      <c r="I223" s="396"/>
      <c r="J223" s="396"/>
      <c r="K223" s="396"/>
      <c r="L223" s="396"/>
      <c r="M223" s="396"/>
      <c r="N223" s="396"/>
      <c r="O223" s="396"/>
      <c r="P223" s="396"/>
      <c r="Q223" s="396"/>
      <c r="R223" s="396"/>
      <c r="S223" s="396"/>
      <c r="T223" s="396"/>
      <c r="U223" s="396"/>
      <c r="V223" s="396"/>
      <c r="W223" s="396"/>
      <c r="X223" s="396"/>
      <c r="Y223" s="396"/>
      <c r="Z223" s="396"/>
      <c r="AA223" s="396"/>
      <c r="AB223" s="396"/>
      <c r="AC223" s="396"/>
      <c r="AD223" s="396"/>
      <c r="AE223" s="396"/>
      <c r="AF223" s="396"/>
      <c r="AG223" s="396"/>
      <c r="AH223" s="396"/>
      <c r="AI223" s="396"/>
      <c r="AJ223" s="396"/>
      <c r="AK223" s="396"/>
      <c r="AL223" s="396"/>
      <c r="AM223" s="396"/>
      <c r="AN223" s="396"/>
      <c r="AO223" s="396"/>
      <c r="AP223" s="396"/>
      <c r="AQ223" s="396"/>
      <c r="AR223" s="396"/>
      <c r="AS223" s="396"/>
      <c r="AT223" s="396"/>
    </row>
    <row r="224" spans="1:46" x14ac:dyDescent="0.25">
      <c r="A224" s="378"/>
      <c r="B224" s="396"/>
      <c r="C224" s="396"/>
      <c r="D224" s="396"/>
      <c r="E224" s="396"/>
      <c r="F224" s="396"/>
      <c r="G224" s="396"/>
      <c r="H224" s="396"/>
      <c r="I224" s="396"/>
      <c r="J224" s="396"/>
      <c r="K224" s="396"/>
      <c r="L224" s="396"/>
      <c r="M224" s="396"/>
      <c r="N224" s="396"/>
      <c r="O224" s="396"/>
      <c r="P224" s="396"/>
      <c r="Q224" s="396"/>
      <c r="R224" s="396"/>
      <c r="S224" s="396"/>
      <c r="T224" s="396"/>
      <c r="U224" s="396"/>
      <c r="V224" s="396"/>
      <c r="W224" s="396"/>
      <c r="X224" s="396"/>
      <c r="Y224" s="396"/>
      <c r="Z224" s="396"/>
      <c r="AA224" s="396"/>
      <c r="AB224" s="396"/>
      <c r="AC224" s="396"/>
      <c r="AD224" s="396"/>
      <c r="AE224" s="396"/>
      <c r="AF224" s="396"/>
      <c r="AG224" s="396"/>
      <c r="AH224" s="396"/>
      <c r="AI224" s="396"/>
      <c r="AJ224" s="396"/>
      <c r="AK224" s="396"/>
      <c r="AL224" s="396"/>
      <c r="AM224" s="396"/>
      <c r="AN224" s="396"/>
      <c r="AO224" s="396"/>
      <c r="AP224" s="396"/>
      <c r="AQ224" s="396"/>
      <c r="AR224" s="396"/>
      <c r="AS224" s="396"/>
      <c r="AT224" s="396"/>
    </row>
    <row r="225" spans="1:46" x14ac:dyDescent="0.25">
      <c r="A225" s="378"/>
      <c r="B225" s="396"/>
      <c r="C225" s="396"/>
      <c r="D225" s="396"/>
      <c r="E225" s="396"/>
      <c r="F225" s="396"/>
      <c r="G225" s="396"/>
      <c r="H225" s="396"/>
      <c r="I225" s="396"/>
      <c r="J225" s="396"/>
      <c r="K225" s="396"/>
      <c r="L225" s="396"/>
      <c r="M225" s="396"/>
      <c r="N225" s="396"/>
      <c r="O225" s="396"/>
      <c r="P225" s="396"/>
      <c r="Q225" s="396"/>
      <c r="R225" s="396"/>
      <c r="S225" s="396"/>
      <c r="T225" s="396"/>
      <c r="U225" s="396"/>
      <c r="V225" s="396"/>
      <c r="W225" s="396"/>
      <c r="X225" s="396"/>
      <c r="Y225" s="396"/>
      <c r="Z225" s="396"/>
      <c r="AA225" s="396"/>
      <c r="AB225" s="396"/>
      <c r="AC225" s="396"/>
      <c r="AD225" s="396"/>
      <c r="AE225" s="396"/>
      <c r="AF225" s="396"/>
      <c r="AG225" s="396"/>
      <c r="AH225" s="396"/>
      <c r="AI225" s="396"/>
      <c r="AJ225" s="396"/>
      <c r="AK225" s="396"/>
      <c r="AL225" s="396"/>
      <c r="AM225" s="396"/>
      <c r="AN225" s="396"/>
      <c r="AO225" s="396"/>
      <c r="AP225" s="396"/>
      <c r="AQ225" s="396"/>
      <c r="AR225" s="396"/>
      <c r="AS225" s="396"/>
      <c r="AT225" s="396"/>
    </row>
    <row r="226" spans="1:46" x14ac:dyDescent="0.25">
      <c r="A226" s="378"/>
      <c r="B226" s="396"/>
      <c r="C226" s="396"/>
      <c r="D226" s="396"/>
      <c r="E226" s="396"/>
      <c r="F226" s="396"/>
      <c r="G226" s="396"/>
      <c r="H226" s="396"/>
      <c r="I226" s="396"/>
      <c r="J226" s="396"/>
      <c r="K226" s="396"/>
      <c r="L226" s="396"/>
      <c r="M226" s="396"/>
      <c r="N226" s="396"/>
      <c r="O226" s="396"/>
      <c r="P226" s="396"/>
      <c r="Q226" s="396"/>
      <c r="R226" s="396"/>
      <c r="S226" s="396"/>
      <c r="T226" s="396"/>
      <c r="U226" s="396"/>
      <c r="V226" s="396"/>
      <c r="W226" s="396"/>
      <c r="X226" s="396"/>
      <c r="Y226" s="396"/>
      <c r="Z226" s="396"/>
      <c r="AA226" s="396"/>
      <c r="AB226" s="396"/>
      <c r="AC226" s="396"/>
      <c r="AD226" s="396"/>
      <c r="AE226" s="396"/>
      <c r="AF226" s="396"/>
      <c r="AG226" s="396"/>
      <c r="AH226" s="396"/>
      <c r="AI226" s="396"/>
      <c r="AJ226" s="396"/>
      <c r="AK226" s="396"/>
      <c r="AL226" s="396"/>
      <c r="AM226" s="396"/>
      <c r="AN226" s="396"/>
      <c r="AO226" s="396"/>
      <c r="AP226" s="396"/>
      <c r="AQ226" s="396"/>
      <c r="AR226" s="396"/>
      <c r="AS226" s="396"/>
      <c r="AT226" s="396"/>
    </row>
    <row r="227" spans="1:46" x14ac:dyDescent="0.25">
      <c r="A227" s="378"/>
      <c r="B227" s="396"/>
      <c r="C227" s="396"/>
      <c r="D227" s="396"/>
      <c r="E227" s="396"/>
      <c r="F227" s="396"/>
      <c r="G227" s="396"/>
      <c r="H227" s="396"/>
      <c r="I227" s="396"/>
      <c r="J227" s="396"/>
      <c r="K227" s="396"/>
      <c r="L227" s="396"/>
      <c r="M227" s="396"/>
      <c r="N227" s="396"/>
      <c r="O227" s="396"/>
      <c r="P227" s="396"/>
      <c r="Q227" s="396"/>
      <c r="R227" s="396"/>
      <c r="S227" s="396"/>
      <c r="T227" s="396"/>
      <c r="U227" s="396"/>
      <c r="V227" s="396"/>
      <c r="W227" s="396"/>
      <c r="X227" s="396"/>
      <c r="Y227" s="396"/>
      <c r="Z227" s="396"/>
      <c r="AA227" s="396"/>
      <c r="AB227" s="396"/>
      <c r="AC227" s="396"/>
      <c r="AD227" s="396"/>
      <c r="AE227" s="396"/>
      <c r="AF227" s="396"/>
      <c r="AG227" s="396"/>
      <c r="AH227" s="396"/>
      <c r="AI227" s="396"/>
      <c r="AJ227" s="396"/>
      <c r="AK227" s="396"/>
      <c r="AL227" s="396"/>
      <c r="AM227" s="396"/>
      <c r="AN227" s="396"/>
      <c r="AO227" s="396"/>
      <c r="AP227" s="396"/>
      <c r="AQ227" s="396"/>
      <c r="AR227" s="396"/>
      <c r="AS227" s="396"/>
      <c r="AT227" s="396"/>
    </row>
    <row r="228" spans="1:46" x14ac:dyDescent="0.25">
      <c r="A228" s="378"/>
      <c r="B228" s="396"/>
      <c r="C228" s="396"/>
      <c r="D228" s="396"/>
      <c r="E228" s="396"/>
      <c r="F228" s="396"/>
      <c r="G228" s="396"/>
      <c r="H228" s="396"/>
      <c r="I228" s="396"/>
      <c r="J228" s="396"/>
      <c r="K228" s="396"/>
      <c r="L228" s="396"/>
      <c r="M228" s="396"/>
      <c r="N228" s="396"/>
      <c r="O228" s="396"/>
      <c r="P228" s="396"/>
      <c r="Q228" s="396"/>
      <c r="R228" s="396"/>
      <c r="S228" s="396"/>
      <c r="T228" s="396"/>
      <c r="U228" s="396"/>
      <c r="V228" s="396"/>
      <c r="W228" s="396"/>
      <c r="X228" s="396"/>
      <c r="Y228" s="396"/>
      <c r="Z228" s="396"/>
      <c r="AA228" s="396"/>
      <c r="AB228" s="396"/>
      <c r="AC228" s="396"/>
      <c r="AD228" s="396"/>
      <c r="AE228" s="396"/>
      <c r="AF228" s="396"/>
      <c r="AG228" s="396"/>
      <c r="AH228" s="396"/>
      <c r="AI228" s="396"/>
      <c r="AJ228" s="396"/>
      <c r="AK228" s="396"/>
      <c r="AL228" s="396"/>
      <c r="AM228" s="396"/>
      <c r="AN228" s="396"/>
      <c r="AO228" s="396"/>
      <c r="AP228" s="396"/>
      <c r="AQ228" s="396"/>
      <c r="AR228" s="396"/>
      <c r="AS228" s="396"/>
      <c r="AT228" s="396"/>
    </row>
    <row r="229" spans="1:46" x14ac:dyDescent="0.25">
      <c r="A229" s="378"/>
      <c r="B229" s="396"/>
      <c r="C229" s="396"/>
      <c r="D229" s="396"/>
      <c r="E229" s="396"/>
      <c r="F229" s="396"/>
      <c r="G229" s="396"/>
      <c r="H229" s="396"/>
      <c r="I229" s="396"/>
      <c r="J229" s="396"/>
      <c r="K229" s="396"/>
      <c r="L229" s="396"/>
      <c r="M229" s="396"/>
      <c r="N229" s="396"/>
      <c r="O229" s="396"/>
      <c r="P229" s="396"/>
      <c r="Q229" s="396"/>
      <c r="R229" s="396"/>
      <c r="S229" s="396"/>
      <c r="T229" s="396"/>
      <c r="U229" s="396"/>
      <c r="V229" s="396"/>
      <c r="W229" s="396"/>
      <c r="X229" s="396"/>
      <c r="Y229" s="396"/>
      <c r="Z229" s="396"/>
      <c r="AA229" s="396"/>
      <c r="AB229" s="396"/>
      <c r="AC229" s="396"/>
      <c r="AD229" s="396"/>
      <c r="AE229" s="396"/>
      <c r="AF229" s="396"/>
      <c r="AG229" s="396"/>
      <c r="AH229" s="396"/>
      <c r="AI229" s="396"/>
      <c r="AJ229" s="396"/>
      <c r="AK229" s="396"/>
      <c r="AL229" s="396"/>
      <c r="AM229" s="396"/>
      <c r="AN229" s="396"/>
      <c r="AO229" s="396"/>
      <c r="AP229" s="396"/>
      <c r="AQ229" s="396"/>
      <c r="AR229" s="396"/>
      <c r="AS229" s="396"/>
      <c r="AT229" s="396"/>
    </row>
    <row r="230" spans="1:46" x14ac:dyDescent="0.25">
      <c r="A230" s="378"/>
      <c r="B230" s="396"/>
      <c r="C230" s="396"/>
      <c r="D230" s="396"/>
      <c r="E230" s="396"/>
      <c r="F230" s="396"/>
      <c r="G230" s="396"/>
      <c r="H230" s="396"/>
      <c r="I230" s="396"/>
      <c r="J230" s="396"/>
      <c r="K230" s="396"/>
      <c r="L230" s="396"/>
      <c r="M230" s="396"/>
      <c r="N230" s="396"/>
      <c r="O230" s="396"/>
      <c r="P230" s="396"/>
      <c r="Q230" s="396"/>
      <c r="R230" s="396"/>
      <c r="S230" s="396"/>
      <c r="T230" s="396"/>
      <c r="U230" s="396"/>
      <c r="V230" s="396"/>
      <c r="W230" s="396"/>
      <c r="X230" s="396"/>
      <c r="Y230" s="396"/>
      <c r="Z230" s="396"/>
      <c r="AA230" s="396"/>
      <c r="AB230" s="396"/>
      <c r="AC230" s="396"/>
      <c r="AD230" s="396"/>
      <c r="AE230" s="396"/>
      <c r="AF230" s="396"/>
      <c r="AG230" s="396"/>
      <c r="AH230" s="396"/>
      <c r="AI230" s="396"/>
      <c r="AJ230" s="396"/>
      <c r="AK230" s="396"/>
      <c r="AL230" s="396"/>
      <c r="AM230" s="396"/>
      <c r="AN230" s="396"/>
      <c r="AO230" s="396"/>
      <c r="AP230" s="396"/>
      <c r="AQ230" s="396"/>
      <c r="AR230" s="396"/>
      <c r="AS230" s="396"/>
      <c r="AT230" s="396"/>
    </row>
    <row r="231" spans="1:46" x14ac:dyDescent="0.25">
      <c r="A231" s="378"/>
      <c r="B231" s="396"/>
      <c r="C231" s="396"/>
      <c r="D231" s="396"/>
      <c r="E231" s="396"/>
      <c r="F231" s="396"/>
      <c r="G231" s="396"/>
      <c r="H231" s="396"/>
      <c r="I231" s="396"/>
      <c r="J231" s="396"/>
      <c r="K231" s="396"/>
      <c r="L231" s="396"/>
      <c r="M231" s="396"/>
      <c r="N231" s="396"/>
      <c r="O231" s="396"/>
      <c r="P231" s="396"/>
      <c r="Q231" s="396"/>
      <c r="R231" s="396"/>
      <c r="S231" s="396"/>
      <c r="T231" s="396"/>
      <c r="U231" s="396"/>
      <c r="V231" s="396"/>
      <c r="W231" s="396"/>
      <c r="X231" s="396"/>
      <c r="Y231" s="396"/>
      <c r="Z231" s="396"/>
      <c r="AA231" s="396"/>
      <c r="AB231" s="396"/>
      <c r="AC231" s="396"/>
      <c r="AD231" s="396"/>
      <c r="AE231" s="396"/>
      <c r="AF231" s="396"/>
      <c r="AG231" s="396"/>
      <c r="AH231" s="396"/>
      <c r="AI231" s="396"/>
      <c r="AJ231" s="396"/>
      <c r="AK231" s="396"/>
      <c r="AL231" s="396"/>
      <c r="AM231" s="396"/>
      <c r="AN231" s="396"/>
      <c r="AO231" s="396"/>
      <c r="AP231" s="396"/>
      <c r="AQ231" s="396"/>
      <c r="AR231" s="396"/>
      <c r="AS231" s="396"/>
      <c r="AT231" s="396"/>
    </row>
    <row r="232" spans="1:46" x14ac:dyDescent="0.25">
      <c r="A232" s="378"/>
      <c r="B232" s="396"/>
      <c r="C232" s="396"/>
      <c r="D232" s="396"/>
      <c r="E232" s="396"/>
      <c r="F232" s="396"/>
      <c r="G232" s="396"/>
      <c r="H232" s="396"/>
      <c r="I232" s="396"/>
      <c r="J232" s="396"/>
      <c r="K232" s="396"/>
      <c r="L232" s="396"/>
      <c r="M232" s="396"/>
      <c r="N232" s="396"/>
      <c r="O232" s="396"/>
      <c r="P232" s="396"/>
      <c r="Q232" s="396"/>
      <c r="R232" s="396"/>
      <c r="S232" s="396"/>
      <c r="T232" s="396"/>
      <c r="U232" s="396"/>
      <c r="V232" s="396"/>
      <c r="W232" s="396"/>
      <c r="X232" s="396"/>
      <c r="Y232" s="396"/>
      <c r="Z232" s="396"/>
      <c r="AA232" s="396"/>
      <c r="AB232" s="396"/>
      <c r="AC232" s="396"/>
      <c r="AD232" s="396"/>
      <c r="AE232" s="396"/>
      <c r="AF232" s="396"/>
      <c r="AG232" s="396"/>
      <c r="AH232" s="396"/>
      <c r="AI232" s="396"/>
      <c r="AJ232" s="396"/>
      <c r="AK232" s="396"/>
      <c r="AL232" s="396"/>
      <c r="AM232" s="396"/>
      <c r="AN232" s="396"/>
      <c r="AO232" s="396"/>
      <c r="AP232" s="396"/>
      <c r="AQ232" s="396"/>
      <c r="AR232" s="396"/>
      <c r="AS232" s="396"/>
      <c r="AT232" s="396"/>
    </row>
    <row r="233" spans="1:46" x14ac:dyDescent="0.25">
      <c r="A233" s="378"/>
      <c r="B233" s="396"/>
      <c r="C233" s="396"/>
      <c r="D233" s="396"/>
      <c r="E233" s="396"/>
      <c r="F233" s="396"/>
      <c r="G233" s="396"/>
      <c r="H233" s="396"/>
      <c r="I233" s="396"/>
      <c r="J233" s="396"/>
      <c r="K233" s="396"/>
      <c r="L233" s="396"/>
      <c r="M233" s="396"/>
      <c r="N233" s="396"/>
      <c r="O233" s="396"/>
      <c r="P233" s="396"/>
      <c r="Q233" s="396"/>
      <c r="R233" s="396"/>
      <c r="S233" s="396"/>
      <c r="T233" s="396"/>
      <c r="U233" s="396"/>
      <c r="V233" s="396"/>
      <c r="W233" s="396"/>
      <c r="X233" s="396"/>
      <c r="Y233" s="396"/>
      <c r="Z233" s="396"/>
      <c r="AA233" s="396"/>
      <c r="AB233" s="396"/>
      <c r="AC233" s="396"/>
      <c r="AD233" s="396"/>
      <c r="AE233" s="396"/>
      <c r="AF233" s="396"/>
      <c r="AG233" s="396"/>
      <c r="AH233" s="396"/>
      <c r="AI233" s="396"/>
      <c r="AJ233" s="396"/>
      <c r="AK233" s="396"/>
      <c r="AL233" s="396"/>
      <c r="AM233" s="396"/>
      <c r="AN233" s="396"/>
      <c r="AO233" s="396"/>
      <c r="AP233" s="396"/>
      <c r="AQ233" s="396"/>
      <c r="AR233" s="396"/>
      <c r="AS233" s="396"/>
      <c r="AT233" s="396"/>
    </row>
    <row r="234" spans="1:46" x14ac:dyDescent="0.25">
      <c r="A234" s="378"/>
      <c r="B234" s="396"/>
      <c r="C234" s="396"/>
      <c r="D234" s="396"/>
      <c r="E234" s="396"/>
      <c r="F234" s="396"/>
      <c r="G234" s="396"/>
      <c r="H234" s="396"/>
      <c r="I234" s="396"/>
      <c r="J234" s="396"/>
      <c r="K234" s="396"/>
      <c r="L234" s="396"/>
      <c r="M234" s="396"/>
      <c r="N234" s="396"/>
      <c r="O234" s="396"/>
      <c r="P234" s="396"/>
      <c r="Q234" s="396"/>
      <c r="R234" s="396"/>
      <c r="S234" s="396"/>
      <c r="T234" s="396"/>
      <c r="U234" s="396"/>
      <c r="V234" s="396"/>
      <c r="W234" s="396"/>
      <c r="X234" s="396"/>
      <c r="Y234" s="396"/>
      <c r="Z234" s="396"/>
      <c r="AA234" s="396"/>
      <c r="AB234" s="396"/>
      <c r="AC234" s="396"/>
      <c r="AD234" s="396"/>
      <c r="AE234" s="396"/>
      <c r="AF234" s="396"/>
      <c r="AG234" s="396"/>
      <c r="AH234" s="396"/>
      <c r="AI234" s="396"/>
      <c r="AJ234" s="396"/>
      <c r="AK234" s="396"/>
      <c r="AL234" s="396"/>
      <c r="AM234" s="396"/>
      <c r="AN234" s="396"/>
      <c r="AO234" s="396"/>
      <c r="AP234" s="396"/>
      <c r="AQ234" s="396"/>
      <c r="AR234" s="396"/>
      <c r="AS234" s="396"/>
      <c r="AT234" s="396"/>
    </row>
    <row r="235" spans="1:46" x14ac:dyDescent="0.25">
      <c r="A235" s="378"/>
      <c r="B235" s="396"/>
      <c r="C235" s="396"/>
      <c r="D235" s="396"/>
      <c r="E235" s="396"/>
      <c r="F235" s="396"/>
      <c r="G235" s="396"/>
      <c r="H235" s="396"/>
      <c r="I235" s="396"/>
      <c r="J235" s="396"/>
      <c r="K235" s="396"/>
      <c r="L235" s="396"/>
      <c r="M235" s="396"/>
      <c r="N235" s="396"/>
      <c r="O235" s="396"/>
      <c r="P235" s="396"/>
      <c r="Q235" s="396"/>
      <c r="R235" s="396"/>
      <c r="S235" s="396"/>
      <c r="T235" s="396"/>
      <c r="U235" s="396"/>
      <c r="V235" s="396"/>
      <c r="W235" s="396"/>
      <c r="X235" s="396"/>
      <c r="Y235" s="396"/>
      <c r="Z235" s="396"/>
      <c r="AA235" s="396"/>
      <c r="AB235" s="396"/>
      <c r="AC235" s="396"/>
      <c r="AD235" s="396"/>
      <c r="AE235" s="396"/>
      <c r="AF235" s="396"/>
      <c r="AG235" s="396"/>
      <c r="AH235" s="396"/>
      <c r="AI235" s="396"/>
      <c r="AJ235" s="396"/>
      <c r="AK235" s="396"/>
      <c r="AL235" s="396"/>
      <c r="AM235" s="396"/>
      <c r="AN235" s="396"/>
      <c r="AO235" s="396"/>
      <c r="AP235" s="396"/>
      <c r="AQ235" s="396"/>
      <c r="AR235" s="396"/>
      <c r="AS235" s="396"/>
      <c r="AT235" s="396"/>
    </row>
    <row r="236" spans="1:46" x14ac:dyDescent="0.25">
      <c r="A236" s="378"/>
      <c r="B236" s="396"/>
      <c r="C236" s="396"/>
      <c r="D236" s="396"/>
      <c r="E236" s="396"/>
      <c r="F236" s="396"/>
      <c r="G236" s="396"/>
      <c r="H236" s="396"/>
      <c r="I236" s="396"/>
      <c r="J236" s="396"/>
      <c r="K236" s="396"/>
      <c r="L236" s="396"/>
      <c r="M236" s="396"/>
      <c r="N236" s="396"/>
      <c r="O236" s="396"/>
      <c r="P236" s="396"/>
      <c r="Q236" s="396"/>
      <c r="R236" s="396"/>
      <c r="S236" s="396"/>
      <c r="T236" s="396"/>
      <c r="U236" s="396"/>
      <c r="V236" s="396"/>
      <c r="W236" s="396"/>
      <c r="X236" s="396"/>
      <c r="Y236" s="396"/>
      <c r="Z236" s="396"/>
      <c r="AA236" s="396"/>
      <c r="AB236" s="396"/>
      <c r="AC236" s="396"/>
      <c r="AD236" s="396"/>
      <c r="AE236" s="396"/>
      <c r="AF236" s="396"/>
      <c r="AG236" s="396"/>
      <c r="AH236" s="396"/>
      <c r="AI236" s="396"/>
      <c r="AJ236" s="396"/>
      <c r="AK236" s="396"/>
      <c r="AL236" s="396"/>
      <c r="AM236" s="396"/>
      <c r="AN236" s="396"/>
      <c r="AO236" s="396"/>
      <c r="AP236" s="396"/>
      <c r="AQ236" s="396"/>
      <c r="AR236" s="396"/>
      <c r="AS236" s="396"/>
      <c r="AT236" s="396"/>
    </row>
    <row r="237" spans="1:46" x14ac:dyDescent="0.25">
      <c r="A237" s="378"/>
      <c r="B237" s="396"/>
      <c r="C237" s="396"/>
      <c r="D237" s="396"/>
      <c r="E237" s="396"/>
      <c r="F237" s="396"/>
      <c r="G237" s="396"/>
      <c r="H237" s="396"/>
      <c r="I237" s="396"/>
      <c r="J237" s="396"/>
      <c r="K237" s="396"/>
      <c r="L237" s="396"/>
      <c r="M237" s="396"/>
      <c r="N237" s="396"/>
      <c r="O237" s="396"/>
      <c r="P237" s="396"/>
      <c r="Q237" s="396"/>
      <c r="R237" s="396"/>
      <c r="S237" s="396"/>
      <c r="T237" s="396"/>
      <c r="U237" s="396"/>
      <c r="V237" s="396"/>
      <c r="W237" s="396"/>
      <c r="X237" s="396"/>
      <c r="Y237" s="396"/>
      <c r="Z237" s="396"/>
      <c r="AA237" s="396"/>
      <c r="AB237" s="396"/>
      <c r="AC237" s="396"/>
      <c r="AD237" s="396"/>
      <c r="AE237" s="396"/>
      <c r="AF237" s="396"/>
      <c r="AG237" s="396"/>
      <c r="AH237" s="396"/>
      <c r="AI237" s="396"/>
      <c r="AJ237" s="396"/>
      <c r="AK237" s="396"/>
      <c r="AL237" s="396"/>
      <c r="AM237" s="396"/>
      <c r="AN237" s="396"/>
      <c r="AO237" s="396"/>
      <c r="AP237" s="396"/>
      <c r="AQ237" s="396"/>
      <c r="AR237" s="396"/>
      <c r="AS237" s="396"/>
      <c r="AT237" s="396"/>
    </row>
    <row r="238" spans="1:46" x14ac:dyDescent="0.25">
      <c r="A238" s="378"/>
      <c r="B238" s="396"/>
      <c r="C238" s="396"/>
      <c r="D238" s="396"/>
      <c r="E238" s="396"/>
      <c r="F238" s="396"/>
      <c r="G238" s="396"/>
      <c r="H238" s="396"/>
      <c r="I238" s="396"/>
      <c r="J238" s="396"/>
      <c r="K238" s="396"/>
      <c r="L238" s="396"/>
      <c r="M238" s="396"/>
      <c r="N238" s="396"/>
      <c r="O238" s="396"/>
      <c r="P238" s="396"/>
      <c r="Q238" s="396"/>
      <c r="R238" s="396"/>
      <c r="S238" s="396"/>
      <c r="T238" s="396"/>
      <c r="U238" s="396"/>
      <c r="V238" s="396"/>
      <c r="W238" s="396"/>
      <c r="X238" s="396"/>
      <c r="Y238" s="396"/>
      <c r="Z238" s="396"/>
      <c r="AA238" s="396"/>
      <c r="AB238" s="396"/>
      <c r="AC238" s="396"/>
      <c r="AD238" s="396"/>
      <c r="AE238" s="396"/>
      <c r="AF238" s="396"/>
      <c r="AG238" s="396"/>
      <c r="AH238" s="396"/>
      <c r="AI238" s="396"/>
      <c r="AJ238" s="396"/>
      <c r="AK238" s="396"/>
      <c r="AL238" s="396"/>
      <c r="AM238" s="396"/>
      <c r="AN238" s="396"/>
      <c r="AO238" s="396"/>
      <c r="AP238" s="396"/>
      <c r="AQ238" s="396"/>
      <c r="AR238" s="396"/>
      <c r="AS238" s="396"/>
      <c r="AT238" s="396"/>
    </row>
    <row r="239" spans="1:46" x14ac:dyDescent="0.25">
      <c r="A239" s="378"/>
      <c r="B239" s="396"/>
      <c r="C239" s="396"/>
      <c r="D239" s="396"/>
      <c r="E239" s="396"/>
      <c r="F239" s="396"/>
      <c r="G239" s="396"/>
      <c r="H239" s="396"/>
      <c r="I239" s="396"/>
      <c r="J239" s="396"/>
      <c r="K239" s="396"/>
      <c r="L239" s="396"/>
      <c r="M239" s="396"/>
      <c r="N239" s="396"/>
      <c r="O239" s="396"/>
      <c r="P239" s="396"/>
      <c r="Q239" s="396"/>
      <c r="R239" s="396"/>
      <c r="S239" s="396"/>
      <c r="T239" s="396"/>
      <c r="U239" s="396"/>
      <c r="V239" s="396"/>
      <c r="W239" s="396"/>
      <c r="X239" s="396"/>
      <c r="Y239" s="396"/>
      <c r="Z239" s="396"/>
      <c r="AA239" s="396"/>
      <c r="AB239" s="396"/>
      <c r="AC239" s="396"/>
      <c r="AD239" s="396"/>
      <c r="AE239" s="396"/>
      <c r="AF239" s="396"/>
      <c r="AG239" s="396"/>
      <c r="AH239" s="396"/>
      <c r="AI239" s="396"/>
      <c r="AJ239" s="396"/>
      <c r="AK239" s="396"/>
      <c r="AL239" s="396"/>
      <c r="AM239" s="396"/>
      <c r="AN239" s="396"/>
      <c r="AO239" s="396"/>
      <c r="AP239" s="396"/>
      <c r="AQ239" s="396"/>
      <c r="AR239" s="396"/>
      <c r="AS239" s="396"/>
      <c r="AT239" s="396"/>
    </row>
    <row r="240" spans="1:46" x14ac:dyDescent="0.25">
      <c r="A240" s="378"/>
      <c r="B240" s="396"/>
      <c r="C240" s="396"/>
      <c r="D240" s="396"/>
      <c r="E240" s="396"/>
      <c r="F240" s="396"/>
      <c r="G240" s="396"/>
      <c r="H240" s="396"/>
      <c r="I240" s="396"/>
      <c r="J240" s="396"/>
      <c r="K240" s="396"/>
      <c r="L240" s="396"/>
      <c r="M240" s="396"/>
      <c r="N240" s="396"/>
      <c r="O240" s="396"/>
      <c r="P240" s="396"/>
      <c r="Q240" s="396"/>
      <c r="R240" s="396"/>
      <c r="S240" s="396"/>
      <c r="T240" s="396"/>
      <c r="U240" s="396"/>
      <c r="V240" s="396"/>
      <c r="W240" s="396"/>
      <c r="X240" s="396"/>
      <c r="Y240" s="396"/>
      <c r="Z240" s="396"/>
      <c r="AA240" s="396"/>
      <c r="AB240" s="396"/>
      <c r="AC240" s="396"/>
      <c r="AD240" s="396"/>
      <c r="AE240" s="396"/>
      <c r="AF240" s="396"/>
      <c r="AG240" s="396"/>
      <c r="AH240" s="396"/>
      <c r="AI240" s="396"/>
      <c r="AJ240" s="396"/>
      <c r="AK240" s="396"/>
      <c r="AL240" s="396"/>
      <c r="AM240" s="396"/>
      <c r="AN240" s="396"/>
      <c r="AO240" s="396"/>
      <c r="AP240" s="396"/>
      <c r="AQ240" s="396"/>
      <c r="AR240" s="396"/>
      <c r="AS240" s="396"/>
      <c r="AT240" s="396"/>
    </row>
    <row r="241" spans="1:46" x14ac:dyDescent="0.25">
      <c r="A241" s="378"/>
      <c r="B241" s="396"/>
      <c r="C241" s="396"/>
      <c r="D241" s="396"/>
      <c r="E241" s="396"/>
      <c r="F241" s="396"/>
      <c r="G241" s="396"/>
      <c r="H241" s="396"/>
      <c r="I241" s="396"/>
      <c r="J241" s="396"/>
      <c r="K241" s="396"/>
      <c r="L241" s="396"/>
      <c r="M241" s="396"/>
      <c r="N241" s="396"/>
      <c r="O241" s="396"/>
      <c r="P241" s="396"/>
      <c r="Q241" s="396"/>
      <c r="R241" s="396"/>
      <c r="S241" s="396"/>
      <c r="T241" s="396"/>
      <c r="U241" s="396"/>
      <c r="V241" s="396"/>
      <c r="W241" s="396"/>
      <c r="X241" s="396"/>
      <c r="Y241" s="396"/>
      <c r="Z241" s="396"/>
      <c r="AA241" s="396"/>
      <c r="AB241" s="396"/>
      <c r="AC241" s="396"/>
      <c r="AD241" s="396"/>
      <c r="AE241" s="396"/>
      <c r="AF241" s="396"/>
      <c r="AG241" s="396"/>
      <c r="AH241" s="396"/>
      <c r="AI241" s="396"/>
      <c r="AJ241" s="396"/>
      <c r="AK241" s="396"/>
      <c r="AL241" s="396"/>
      <c r="AM241" s="396"/>
      <c r="AN241" s="396"/>
      <c r="AO241" s="396"/>
      <c r="AP241" s="396"/>
      <c r="AQ241" s="396"/>
      <c r="AR241" s="396"/>
      <c r="AS241" s="396"/>
      <c r="AT241" s="396"/>
    </row>
    <row r="242" spans="1:46" x14ac:dyDescent="0.25">
      <c r="A242" s="378"/>
      <c r="B242" s="396"/>
      <c r="C242" s="396"/>
      <c r="D242" s="396"/>
      <c r="E242" s="396"/>
      <c r="F242" s="396"/>
      <c r="G242" s="396"/>
      <c r="H242" s="396"/>
      <c r="I242" s="396"/>
      <c r="J242" s="396"/>
      <c r="K242" s="396"/>
      <c r="L242" s="396"/>
      <c r="M242" s="396"/>
      <c r="N242" s="396"/>
      <c r="O242" s="396"/>
      <c r="P242" s="396"/>
      <c r="Q242" s="396"/>
      <c r="R242" s="396"/>
      <c r="S242" s="396"/>
      <c r="T242" s="396"/>
      <c r="U242" s="396"/>
      <c r="V242" s="396"/>
      <c r="W242" s="396"/>
      <c r="X242" s="396"/>
      <c r="Y242" s="396"/>
      <c r="Z242" s="396"/>
      <c r="AA242" s="396"/>
      <c r="AB242" s="396"/>
      <c r="AC242" s="396"/>
      <c r="AD242" s="396"/>
      <c r="AE242" s="396"/>
      <c r="AF242" s="396"/>
      <c r="AG242" s="396"/>
      <c r="AH242" s="396"/>
      <c r="AI242" s="396"/>
      <c r="AJ242" s="396"/>
      <c r="AK242" s="396"/>
      <c r="AL242" s="396"/>
      <c r="AM242" s="396"/>
      <c r="AN242" s="396"/>
      <c r="AO242" s="396"/>
      <c r="AP242" s="396"/>
      <c r="AQ242" s="396"/>
      <c r="AR242" s="396"/>
      <c r="AS242" s="396"/>
      <c r="AT242" s="396"/>
    </row>
    <row r="243" spans="1:46" x14ac:dyDescent="0.25">
      <c r="A243" s="378"/>
      <c r="B243" s="396"/>
      <c r="C243" s="396"/>
      <c r="D243" s="396"/>
      <c r="E243" s="396"/>
      <c r="F243" s="396"/>
      <c r="G243" s="396"/>
      <c r="H243" s="396"/>
      <c r="I243" s="396"/>
      <c r="J243" s="396"/>
      <c r="K243" s="396"/>
      <c r="L243" s="396"/>
      <c r="M243" s="396"/>
      <c r="N243" s="396"/>
      <c r="O243" s="396"/>
      <c r="P243" s="396"/>
      <c r="Q243" s="396"/>
      <c r="R243" s="396"/>
      <c r="S243" s="396"/>
      <c r="T243" s="396"/>
      <c r="U243" s="396"/>
      <c r="V243" s="396"/>
      <c r="W243" s="396"/>
      <c r="X243" s="396"/>
      <c r="Y243" s="396"/>
      <c r="Z243" s="396"/>
      <c r="AA243" s="396"/>
      <c r="AB243" s="396"/>
      <c r="AC243" s="396"/>
      <c r="AD243" s="396"/>
      <c r="AE243" s="396"/>
      <c r="AF243" s="396"/>
      <c r="AG243" s="396"/>
      <c r="AH243" s="396"/>
      <c r="AI243" s="396"/>
      <c r="AJ243" s="396"/>
      <c r="AK243" s="396"/>
      <c r="AL243" s="396"/>
      <c r="AM243" s="396"/>
      <c r="AN243" s="396"/>
      <c r="AO243" s="396"/>
      <c r="AP243" s="396"/>
      <c r="AQ243" s="396"/>
      <c r="AR243" s="396"/>
      <c r="AS243" s="396"/>
      <c r="AT243" s="396"/>
    </row>
    <row r="244" spans="1:46" x14ac:dyDescent="0.25">
      <c r="A244" s="378"/>
      <c r="B244" s="396"/>
      <c r="C244" s="396"/>
      <c r="D244" s="396"/>
      <c r="E244" s="396"/>
      <c r="F244" s="396"/>
      <c r="G244" s="396"/>
      <c r="H244" s="396"/>
      <c r="I244" s="396"/>
      <c r="J244" s="396"/>
      <c r="K244" s="396"/>
      <c r="L244" s="396"/>
      <c r="M244" s="396"/>
      <c r="N244" s="396"/>
      <c r="O244" s="396"/>
      <c r="P244" s="396"/>
      <c r="Q244" s="396"/>
      <c r="R244" s="396"/>
      <c r="S244" s="396"/>
      <c r="T244" s="396"/>
      <c r="U244" s="396"/>
      <c r="V244" s="396"/>
      <c r="W244" s="396"/>
      <c r="X244" s="396"/>
      <c r="Y244" s="396"/>
      <c r="Z244" s="396"/>
      <c r="AA244" s="396"/>
      <c r="AB244" s="396"/>
      <c r="AC244" s="396"/>
      <c r="AD244" s="396"/>
      <c r="AE244" s="396"/>
      <c r="AF244" s="396"/>
      <c r="AG244" s="396"/>
      <c r="AH244" s="396"/>
      <c r="AI244" s="396"/>
      <c r="AJ244" s="396"/>
      <c r="AK244" s="396"/>
      <c r="AL244" s="396"/>
      <c r="AM244" s="396"/>
      <c r="AN244" s="396"/>
      <c r="AO244" s="396"/>
      <c r="AP244" s="396"/>
      <c r="AQ244" s="396"/>
      <c r="AR244" s="396"/>
      <c r="AS244" s="396"/>
      <c r="AT244" s="396"/>
    </row>
    <row r="245" spans="1:46" x14ac:dyDescent="0.25">
      <c r="A245" s="378"/>
      <c r="B245" s="396"/>
      <c r="C245" s="396"/>
      <c r="D245" s="396"/>
      <c r="E245" s="396"/>
      <c r="F245" s="396"/>
      <c r="G245" s="396"/>
      <c r="H245" s="396"/>
      <c r="I245" s="396"/>
      <c r="J245" s="396"/>
      <c r="K245" s="396"/>
      <c r="L245" s="396"/>
      <c r="M245" s="396"/>
      <c r="N245" s="396"/>
      <c r="O245" s="396"/>
      <c r="P245" s="396"/>
      <c r="Q245" s="396"/>
      <c r="R245" s="396"/>
      <c r="S245" s="396"/>
      <c r="T245" s="396"/>
      <c r="U245" s="396"/>
      <c r="V245" s="396"/>
      <c r="W245" s="396"/>
      <c r="X245" s="396"/>
      <c r="Y245" s="396"/>
      <c r="Z245" s="396"/>
      <c r="AA245" s="396"/>
      <c r="AB245" s="396"/>
      <c r="AC245" s="396"/>
      <c r="AD245" s="396"/>
      <c r="AE245" s="396"/>
      <c r="AF245" s="396"/>
      <c r="AG245" s="396"/>
      <c r="AH245" s="396"/>
      <c r="AI245" s="396"/>
      <c r="AJ245" s="396"/>
      <c r="AK245" s="396"/>
      <c r="AL245" s="396"/>
      <c r="AM245" s="396"/>
      <c r="AN245" s="396"/>
      <c r="AO245" s="396"/>
      <c r="AP245" s="396"/>
      <c r="AQ245" s="396"/>
      <c r="AR245" s="396"/>
      <c r="AS245" s="396"/>
      <c r="AT245" s="396"/>
    </row>
    <row r="246" spans="1:46" x14ac:dyDescent="0.25">
      <c r="A246" s="378"/>
      <c r="B246" s="396"/>
      <c r="C246" s="396"/>
      <c r="D246" s="396"/>
      <c r="E246" s="396"/>
      <c r="F246" s="396"/>
      <c r="G246" s="396"/>
      <c r="H246" s="396"/>
      <c r="I246" s="396"/>
      <c r="J246" s="396"/>
      <c r="K246" s="396"/>
      <c r="L246" s="396"/>
      <c r="M246" s="396"/>
      <c r="N246" s="396"/>
      <c r="O246" s="396"/>
      <c r="P246" s="396"/>
      <c r="Q246" s="396"/>
      <c r="R246" s="396"/>
      <c r="S246" s="396"/>
      <c r="T246" s="396"/>
      <c r="U246" s="396"/>
      <c r="V246" s="396"/>
      <c r="W246" s="396"/>
      <c r="X246" s="396"/>
      <c r="Y246" s="396"/>
      <c r="Z246" s="396"/>
      <c r="AA246" s="396"/>
      <c r="AB246" s="396"/>
      <c r="AC246" s="396"/>
      <c r="AD246" s="396"/>
      <c r="AE246" s="396"/>
      <c r="AF246" s="396"/>
      <c r="AG246" s="396"/>
      <c r="AH246" s="396"/>
      <c r="AI246" s="396"/>
      <c r="AJ246" s="396"/>
      <c r="AK246" s="396"/>
      <c r="AL246" s="396"/>
      <c r="AM246" s="396"/>
      <c r="AN246" s="396"/>
      <c r="AO246" s="396"/>
      <c r="AP246" s="396"/>
      <c r="AQ246" s="396"/>
      <c r="AR246" s="396"/>
      <c r="AS246" s="396"/>
      <c r="AT246" s="396"/>
    </row>
    <row r="247" spans="1:46" x14ac:dyDescent="0.25">
      <c r="A247" s="378"/>
      <c r="B247" s="396"/>
      <c r="C247" s="396"/>
      <c r="D247" s="396"/>
      <c r="E247" s="396"/>
      <c r="F247" s="396"/>
      <c r="G247" s="396"/>
      <c r="H247" s="396"/>
      <c r="I247" s="396"/>
      <c r="J247" s="396"/>
      <c r="K247" s="396"/>
      <c r="L247" s="396"/>
      <c r="M247" s="396"/>
      <c r="N247" s="396"/>
      <c r="O247" s="396"/>
      <c r="P247" s="396"/>
      <c r="Q247" s="396"/>
      <c r="R247" s="396"/>
      <c r="S247" s="396"/>
      <c r="T247" s="396"/>
      <c r="U247" s="396"/>
      <c r="V247" s="396"/>
      <c r="W247" s="396"/>
      <c r="X247" s="396"/>
      <c r="Y247" s="396"/>
      <c r="Z247" s="396"/>
      <c r="AA247" s="396"/>
      <c r="AB247" s="396"/>
      <c r="AC247" s="396"/>
      <c r="AD247" s="396"/>
      <c r="AE247" s="396"/>
      <c r="AF247" s="396"/>
      <c r="AG247" s="396"/>
      <c r="AH247" s="396"/>
      <c r="AI247" s="396"/>
      <c r="AJ247" s="396"/>
      <c r="AK247" s="396"/>
      <c r="AL247" s="396"/>
      <c r="AM247" s="396"/>
      <c r="AN247" s="396"/>
      <c r="AO247" s="396"/>
      <c r="AP247" s="396"/>
      <c r="AQ247" s="396"/>
      <c r="AR247" s="396"/>
      <c r="AS247" s="396"/>
      <c r="AT247" s="396"/>
    </row>
    <row r="248" spans="1:46" x14ac:dyDescent="0.25">
      <c r="A248" s="378"/>
      <c r="B248" s="396"/>
      <c r="C248" s="396"/>
      <c r="D248" s="396"/>
      <c r="E248" s="396"/>
      <c r="F248" s="396"/>
      <c r="G248" s="396"/>
      <c r="H248" s="396"/>
      <c r="I248" s="396"/>
      <c r="J248" s="396"/>
      <c r="K248" s="396"/>
      <c r="L248" s="396"/>
      <c r="M248" s="396"/>
      <c r="N248" s="396"/>
      <c r="O248" s="396"/>
      <c r="P248" s="396"/>
      <c r="Q248" s="396"/>
      <c r="R248" s="396"/>
      <c r="S248" s="396"/>
      <c r="T248" s="396"/>
      <c r="U248" s="396"/>
      <c r="V248" s="396"/>
      <c r="W248" s="396"/>
      <c r="X248" s="396"/>
      <c r="Y248" s="396"/>
      <c r="Z248" s="396"/>
      <c r="AA248" s="396"/>
      <c r="AB248" s="396"/>
      <c r="AC248" s="396"/>
      <c r="AD248" s="396"/>
      <c r="AE248" s="396"/>
      <c r="AF248" s="396"/>
      <c r="AG248" s="396"/>
      <c r="AH248" s="396"/>
      <c r="AI248" s="396"/>
      <c r="AJ248" s="396"/>
      <c r="AK248" s="396"/>
      <c r="AL248" s="396"/>
      <c r="AM248" s="396"/>
      <c r="AN248" s="396"/>
      <c r="AO248" s="396"/>
      <c r="AP248" s="396"/>
      <c r="AQ248" s="396"/>
      <c r="AR248" s="396"/>
      <c r="AS248" s="396"/>
      <c r="AT248" s="396"/>
    </row>
    <row r="249" spans="1:46" x14ac:dyDescent="0.25">
      <c r="A249" s="378"/>
      <c r="B249" s="396"/>
      <c r="C249" s="396"/>
      <c r="D249" s="396"/>
      <c r="E249" s="396"/>
      <c r="F249" s="396"/>
      <c r="G249" s="396"/>
      <c r="H249" s="396"/>
      <c r="I249" s="396"/>
      <c r="J249" s="396"/>
      <c r="K249" s="396"/>
      <c r="L249" s="396"/>
      <c r="M249" s="396"/>
      <c r="N249" s="396"/>
      <c r="O249" s="396"/>
      <c r="P249" s="396"/>
      <c r="Q249" s="396"/>
      <c r="R249" s="396"/>
      <c r="S249" s="396"/>
      <c r="T249" s="396"/>
      <c r="U249" s="396"/>
      <c r="V249" s="396"/>
      <c r="W249" s="396"/>
      <c r="X249" s="396"/>
      <c r="Y249" s="396"/>
      <c r="Z249" s="396"/>
      <c r="AA249" s="396"/>
      <c r="AB249" s="396"/>
      <c r="AC249" s="396"/>
      <c r="AD249" s="396"/>
      <c r="AE249" s="396"/>
      <c r="AF249" s="396"/>
      <c r="AG249" s="396"/>
      <c r="AH249" s="396"/>
      <c r="AI249" s="396"/>
      <c r="AJ249" s="396"/>
      <c r="AK249" s="396"/>
      <c r="AL249" s="396"/>
      <c r="AM249" s="396"/>
      <c r="AN249" s="396"/>
      <c r="AO249" s="396"/>
      <c r="AP249" s="396"/>
      <c r="AQ249" s="396"/>
      <c r="AR249" s="396"/>
      <c r="AS249" s="396"/>
      <c r="AT249" s="396"/>
    </row>
    <row r="250" spans="1:46" x14ac:dyDescent="0.25">
      <c r="A250" s="378"/>
      <c r="B250" s="396"/>
      <c r="C250" s="396"/>
      <c r="D250" s="396"/>
      <c r="E250" s="396"/>
      <c r="F250" s="396"/>
      <c r="G250" s="396"/>
      <c r="H250" s="396"/>
      <c r="I250" s="396"/>
      <c r="J250" s="396"/>
      <c r="K250" s="396"/>
      <c r="L250" s="396"/>
      <c r="M250" s="396"/>
      <c r="N250" s="396"/>
      <c r="O250" s="396"/>
      <c r="P250" s="396"/>
      <c r="Q250" s="396"/>
      <c r="R250" s="396"/>
      <c r="S250" s="396"/>
      <c r="T250" s="396"/>
      <c r="U250" s="396"/>
      <c r="V250" s="396"/>
      <c r="W250" s="396"/>
      <c r="X250" s="396"/>
      <c r="Y250" s="396"/>
      <c r="Z250" s="396"/>
      <c r="AA250" s="396"/>
      <c r="AB250" s="396"/>
      <c r="AC250" s="396"/>
      <c r="AD250" s="396"/>
      <c r="AE250" s="396"/>
      <c r="AF250" s="396"/>
      <c r="AG250" s="396"/>
      <c r="AH250" s="396"/>
      <c r="AI250" s="396"/>
      <c r="AJ250" s="396"/>
      <c r="AK250" s="396"/>
      <c r="AL250" s="396"/>
      <c r="AM250" s="396"/>
      <c r="AN250" s="396"/>
      <c r="AO250" s="396"/>
      <c r="AP250" s="396"/>
      <c r="AQ250" s="396"/>
      <c r="AR250" s="396"/>
      <c r="AS250" s="396"/>
      <c r="AT250" s="396"/>
    </row>
    <row r="251" spans="1:46" x14ac:dyDescent="0.25">
      <c r="A251" s="378"/>
      <c r="B251" s="396"/>
      <c r="C251" s="396"/>
      <c r="D251" s="396"/>
      <c r="E251" s="396"/>
      <c r="F251" s="396"/>
      <c r="G251" s="396"/>
      <c r="H251" s="396"/>
      <c r="I251" s="396"/>
      <c r="J251" s="396"/>
      <c r="K251" s="396"/>
      <c r="L251" s="396"/>
      <c r="M251" s="396"/>
      <c r="N251" s="396"/>
      <c r="O251" s="396"/>
      <c r="P251" s="396"/>
      <c r="Q251" s="396"/>
      <c r="R251" s="396"/>
      <c r="S251" s="396"/>
      <c r="T251" s="396"/>
      <c r="U251" s="396"/>
      <c r="V251" s="396"/>
      <c r="W251" s="396"/>
      <c r="X251" s="396"/>
      <c r="Y251" s="396"/>
      <c r="Z251" s="396"/>
      <c r="AA251" s="396"/>
      <c r="AB251" s="396"/>
      <c r="AC251" s="396"/>
      <c r="AD251" s="396"/>
      <c r="AE251" s="396"/>
      <c r="AF251" s="396"/>
      <c r="AG251" s="396"/>
      <c r="AH251" s="396"/>
      <c r="AI251" s="396"/>
      <c r="AJ251" s="396"/>
      <c r="AK251" s="396"/>
      <c r="AL251" s="396"/>
      <c r="AM251" s="396"/>
      <c r="AN251" s="396"/>
      <c r="AO251" s="396"/>
      <c r="AP251" s="396"/>
      <c r="AQ251" s="396"/>
      <c r="AR251" s="396"/>
      <c r="AS251" s="396"/>
      <c r="AT251" s="396"/>
    </row>
    <row r="252" spans="1:46" x14ac:dyDescent="0.25">
      <c r="A252" s="378"/>
      <c r="B252" s="396"/>
      <c r="C252" s="396"/>
      <c r="D252" s="396"/>
      <c r="E252" s="396"/>
      <c r="F252" s="396"/>
      <c r="G252" s="396"/>
      <c r="H252" s="396"/>
      <c r="I252" s="396"/>
      <c r="J252" s="396"/>
      <c r="K252" s="396"/>
      <c r="L252" s="396"/>
      <c r="M252" s="396"/>
      <c r="N252" s="396"/>
      <c r="O252" s="396"/>
      <c r="P252" s="396"/>
      <c r="Q252" s="396"/>
      <c r="R252" s="396"/>
      <c r="S252" s="396"/>
      <c r="T252" s="396"/>
      <c r="U252" s="396"/>
      <c r="V252" s="396"/>
      <c r="W252" s="396"/>
      <c r="X252" s="396"/>
      <c r="Y252" s="396"/>
      <c r="Z252" s="396"/>
      <c r="AA252" s="396"/>
      <c r="AB252" s="396"/>
      <c r="AC252" s="396"/>
      <c r="AD252" s="396"/>
      <c r="AE252" s="396"/>
      <c r="AF252" s="396"/>
      <c r="AG252" s="396"/>
      <c r="AH252" s="396"/>
      <c r="AI252" s="396"/>
      <c r="AJ252" s="396"/>
      <c r="AK252" s="396"/>
      <c r="AL252" s="396"/>
      <c r="AM252" s="396"/>
      <c r="AN252" s="396"/>
      <c r="AO252" s="396"/>
      <c r="AP252" s="396"/>
      <c r="AQ252" s="396"/>
      <c r="AR252" s="396"/>
      <c r="AS252" s="396"/>
      <c r="AT252" s="396"/>
    </row>
    <row r="253" spans="1:46" x14ac:dyDescent="0.25">
      <c r="A253" s="378"/>
      <c r="B253" s="396"/>
      <c r="C253" s="396"/>
      <c r="D253" s="396"/>
      <c r="E253" s="396"/>
      <c r="F253" s="396"/>
      <c r="G253" s="396"/>
      <c r="H253" s="396"/>
      <c r="I253" s="396"/>
      <c r="J253" s="396"/>
      <c r="K253" s="396"/>
      <c r="L253" s="396"/>
      <c r="M253" s="396"/>
      <c r="N253" s="396"/>
      <c r="O253" s="396"/>
      <c r="P253" s="396"/>
      <c r="Q253" s="396"/>
      <c r="R253" s="396"/>
      <c r="S253" s="396"/>
      <c r="T253" s="396"/>
      <c r="U253" s="396"/>
      <c r="V253" s="396"/>
      <c r="W253" s="396"/>
      <c r="X253" s="396"/>
      <c r="Y253" s="396"/>
      <c r="Z253" s="396"/>
      <c r="AA253" s="396"/>
      <c r="AB253" s="396"/>
      <c r="AC253" s="396"/>
      <c r="AD253" s="396"/>
      <c r="AE253" s="396"/>
      <c r="AF253" s="396"/>
      <c r="AG253" s="396"/>
      <c r="AH253" s="396"/>
      <c r="AI253" s="396"/>
      <c r="AJ253" s="396"/>
      <c r="AK253" s="396"/>
      <c r="AL253" s="396"/>
      <c r="AM253" s="396"/>
      <c r="AN253" s="396"/>
      <c r="AO253" s="396"/>
      <c r="AP253" s="396"/>
      <c r="AQ253" s="396"/>
      <c r="AR253" s="396"/>
      <c r="AS253" s="396"/>
      <c r="AT253" s="396"/>
    </row>
    <row r="254" spans="1:46" x14ac:dyDescent="0.25">
      <c r="A254" s="378"/>
      <c r="B254" s="396"/>
      <c r="C254" s="396"/>
      <c r="D254" s="396"/>
      <c r="E254" s="396"/>
      <c r="F254" s="396"/>
      <c r="G254" s="396"/>
      <c r="H254" s="396"/>
      <c r="I254" s="396"/>
      <c r="J254" s="396"/>
      <c r="K254" s="396"/>
      <c r="L254" s="396"/>
      <c r="M254" s="396"/>
      <c r="N254" s="396"/>
      <c r="O254" s="396"/>
      <c r="P254" s="396"/>
      <c r="Q254" s="396"/>
      <c r="R254" s="396"/>
      <c r="S254" s="396"/>
      <c r="T254" s="396"/>
      <c r="U254" s="396"/>
      <c r="V254" s="396"/>
      <c r="W254" s="396"/>
      <c r="X254" s="396"/>
      <c r="Y254" s="396"/>
      <c r="Z254" s="396"/>
      <c r="AA254" s="396"/>
      <c r="AB254" s="396"/>
      <c r="AC254" s="396"/>
      <c r="AD254" s="396"/>
      <c r="AE254" s="396"/>
      <c r="AF254" s="396"/>
      <c r="AG254" s="396"/>
      <c r="AH254" s="396"/>
      <c r="AI254" s="396"/>
      <c r="AJ254" s="396"/>
      <c r="AK254" s="396"/>
      <c r="AL254" s="396"/>
      <c r="AM254" s="396"/>
      <c r="AN254" s="396"/>
      <c r="AO254" s="396"/>
      <c r="AP254" s="396"/>
      <c r="AQ254" s="396"/>
      <c r="AR254" s="396"/>
      <c r="AS254" s="396"/>
      <c r="AT254" s="396"/>
    </row>
    <row r="255" spans="1:46" x14ac:dyDescent="0.25">
      <c r="A255" s="378"/>
      <c r="B255" s="396"/>
      <c r="C255" s="396"/>
      <c r="D255" s="396"/>
      <c r="E255" s="396"/>
      <c r="F255" s="396"/>
      <c r="G255" s="396"/>
      <c r="H255" s="396"/>
      <c r="I255" s="396"/>
      <c r="J255" s="396"/>
      <c r="K255" s="396"/>
      <c r="L255" s="396"/>
      <c r="M255" s="396"/>
      <c r="N255" s="396"/>
      <c r="O255" s="396"/>
      <c r="P255" s="396"/>
      <c r="Q255" s="396"/>
      <c r="R255" s="396"/>
      <c r="S255" s="396"/>
      <c r="T255" s="396"/>
      <c r="U255" s="396"/>
      <c r="V255" s="396"/>
      <c r="W255" s="396"/>
      <c r="X255" s="396"/>
      <c r="Y255" s="396"/>
      <c r="Z255" s="396"/>
      <c r="AA255" s="396"/>
      <c r="AB255" s="396"/>
      <c r="AC255" s="396"/>
      <c r="AD255" s="396"/>
      <c r="AE255" s="396"/>
      <c r="AF255" s="396"/>
      <c r="AG255" s="396"/>
      <c r="AH255" s="396"/>
      <c r="AI255" s="396"/>
      <c r="AJ255" s="396"/>
      <c r="AK255" s="396"/>
      <c r="AL255" s="396"/>
      <c r="AM255" s="396"/>
      <c r="AN255" s="396"/>
      <c r="AO255" s="396"/>
      <c r="AP255" s="396"/>
      <c r="AQ255" s="396"/>
      <c r="AR255" s="396"/>
      <c r="AS255" s="396"/>
      <c r="AT255" s="396"/>
    </row>
    <row r="256" spans="1:46" x14ac:dyDescent="0.25">
      <c r="A256" s="378"/>
      <c r="B256" s="396"/>
      <c r="C256" s="396"/>
      <c r="D256" s="396"/>
      <c r="E256" s="396"/>
      <c r="F256" s="396"/>
      <c r="G256" s="396"/>
      <c r="H256" s="396"/>
      <c r="I256" s="396"/>
      <c r="J256" s="396"/>
      <c r="K256" s="396"/>
      <c r="L256" s="396"/>
      <c r="M256" s="396"/>
      <c r="N256" s="396"/>
      <c r="O256" s="396"/>
      <c r="P256" s="396"/>
      <c r="Q256" s="396"/>
      <c r="R256" s="396"/>
      <c r="S256" s="396"/>
      <c r="T256" s="396"/>
      <c r="U256" s="396"/>
      <c r="V256" s="396"/>
      <c r="W256" s="396"/>
      <c r="X256" s="396"/>
      <c r="Y256" s="396"/>
      <c r="Z256" s="396"/>
      <c r="AA256" s="396"/>
      <c r="AB256" s="396"/>
      <c r="AC256" s="396"/>
      <c r="AD256" s="396"/>
      <c r="AE256" s="396"/>
      <c r="AF256" s="396"/>
      <c r="AG256" s="396"/>
      <c r="AH256" s="396"/>
      <c r="AI256" s="396"/>
      <c r="AJ256" s="396"/>
      <c r="AK256" s="396"/>
      <c r="AL256" s="396"/>
      <c r="AM256" s="396"/>
      <c r="AN256" s="396"/>
      <c r="AO256" s="396"/>
      <c r="AP256" s="396"/>
      <c r="AQ256" s="396"/>
      <c r="AR256" s="396"/>
      <c r="AS256" s="396"/>
      <c r="AT256" s="396"/>
    </row>
    <row r="257" spans="1:46" x14ac:dyDescent="0.25">
      <c r="A257" s="378"/>
      <c r="B257" s="396"/>
      <c r="C257" s="396"/>
      <c r="D257" s="396"/>
      <c r="E257" s="396"/>
      <c r="F257" s="396"/>
      <c r="G257" s="396"/>
      <c r="H257" s="396"/>
      <c r="I257" s="396"/>
      <c r="J257" s="396"/>
      <c r="K257" s="396"/>
      <c r="L257" s="396"/>
      <c r="M257" s="396"/>
      <c r="N257" s="396"/>
      <c r="O257" s="396"/>
      <c r="P257" s="396"/>
      <c r="Q257" s="396"/>
      <c r="R257" s="396"/>
      <c r="S257" s="396"/>
      <c r="T257" s="396"/>
      <c r="U257" s="396"/>
      <c r="V257" s="396"/>
      <c r="W257" s="396"/>
      <c r="X257" s="396"/>
      <c r="Y257" s="396"/>
      <c r="Z257" s="396"/>
      <c r="AA257" s="396"/>
      <c r="AB257" s="396"/>
      <c r="AC257" s="396"/>
      <c r="AD257" s="396"/>
      <c r="AE257" s="396"/>
      <c r="AF257" s="396"/>
      <c r="AG257" s="396"/>
      <c r="AH257" s="396"/>
      <c r="AI257" s="396"/>
      <c r="AJ257" s="396"/>
      <c r="AK257" s="396"/>
      <c r="AL257" s="396"/>
      <c r="AM257" s="396"/>
      <c r="AN257" s="396"/>
      <c r="AO257" s="396"/>
      <c r="AP257" s="396"/>
      <c r="AQ257" s="396"/>
      <c r="AR257" s="396"/>
      <c r="AS257" s="396"/>
      <c r="AT257" s="396"/>
    </row>
    <row r="258" spans="1:46" x14ac:dyDescent="0.25">
      <c r="A258" s="378"/>
      <c r="B258" s="396"/>
      <c r="C258" s="396"/>
      <c r="D258" s="396"/>
      <c r="E258" s="396"/>
      <c r="F258" s="396"/>
      <c r="G258" s="396"/>
      <c r="H258" s="396"/>
      <c r="I258" s="396"/>
      <c r="J258" s="396"/>
      <c r="K258" s="396"/>
      <c r="L258" s="396"/>
      <c r="M258" s="396"/>
      <c r="N258" s="396"/>
      <c r="O258" s="396"/>
      <c r="P258" s="396"/>
      <c r="Q258" s="396"/>
      <c r="R258" s="396"/>
      <c r="S258" s="396"/>
      <c r="T258" s="396"/>
      <c r="U258" s="396"/>
      <c r="V258" s="396"/>
      <c r="W258" s="396"/>
      <c r="X258" s="396"/>
      <c r="Y258" s="396"/>
      <c r="Z258" s="396"/>
      <c r="AA258" s="396"/>
      <c r="AB258" s="396"/>
      <c r="AC258" s="396"/>
      <c r="AD258" s="396"/>
      <c r="AE258" s="396"/>
      <c r="AF258" s="396"/>
      <c r="AG258" s="396"/>
      <c r="AH258" s="396"/>
      <c r="AI258" s="396"/>
      <c r="AJ258" s="396"/>
      <c r="AK258" s="396"/>
      <c r="AL258" s="396"/>
      <c r="AM258" s="396"/>
      <c r="AN258" s="396"/>
      <c r="AO258" s="396"/>
      <c r="AP258" s="396"/>
      <c r="AQ258" s="396"/>
      <c r="AR258" s="396"/>
      <c r="AS258" s="396"/>
      <c r="AT258" s="396"/>
    </row>
    <row r="259" spans="1:46" x14ac:dyDescent="0.25">
      <c r="A259" s="378"/>
      <c r="B259" s="396"/>
      <c r="C259" s="396"/>
      <c r="D259" s="396"/>
      <c r="E259" s="396"/>
      <c r="F259" s="396"/>
      <c r="G259" s="396"/>
      <c r="H259" s="396"/>
      <c r="I259" s="396"/>
      <c r="J259" s="396"/>
      <c r="K259" s="396"/>
      <c r="L259" s="396"/>
      <c r="M259" s="396"/>
      <c r="N259" s="396"/>
      <c r="O259" s="396"/>
      <c r="P259" s="396"/>
      <c r="Q259" s="396"/>
      <c r="R259" s="396"/>
      <c r="S259" s="396"/>
      <c r="T259" s="396"/>
      <c r="U259" s="396"/>
      <c r="V259" s="396"/>
      <c r="W259" s="396"/>
      <c r="X259" s="396"/>
      <c r="Y259" s="396"/>
      <c r="Z259" s="396"/>
      <c r="AA259" s="396"/>
      <c r="AB259" s="396"/>
      <c r="AC259" s="396"/>
      <c r="AD259" s="396"/>
      <c r="AE259" s="396"/>
      <c r="AF259" s="396"/>
      <c r="AG259" s="396"/>
      <c r="AH259" s="396"/>
      <c r="AI259" s="396"/>
      <c r="AJ259" s="396"/>
      <c r="AK259" s="396"/>
      <c r="AL259" s="396"/>
      <c r="AM259" s="396"/>
      <c r="AN259" s="396"/>
      <c r="AO259" s="396"/>
      <c r="AP259" s="396"/>
      <c r="AQ259" s="396"/>
      <c r="AR259" s="396"/>
      <c r="AS259" s="396"/>
      <c r="AT259" s="396"/>
    </row>
    <row r="260" spans="1:46" x14ac:dyDescent="0.25">
      <c r="A260" s="378"/>
      <c r="B260" s="396"/>
      <c r="C260" s="396"/>
      <c r="D260" s="396"/>
      <c r="E260" s="396"/>
      <c r="F260" s="396"/>
      <c r="G260" s="396"/>
      <c r="H260" s="396"/>
      <c r="I260" s="396"/>
      <c r="J260" s="396"/>
      <c r="K260" s="396"/>
      <c r="L260" s="396"/>
      <c r="M260" s="396"/>
      <c r="N260" s="396"/>
      <c r="O260" s="396"/>
      <c r="P260" s="396"/>
      <c r="Q260" s="396"/>
      <c r="R260" s="396"/>
      <c r="S260" s="396"/>
      <c r="T260" s="396"/>
      <c r="U260" s="396"/>
      <c r="V260" s="396"/>
      <c r="W260" s="396"/>
      <c r="X260" s="396"/>
      <c r="Y260" s="396"/>
      <c r="Z260" s="396"/>
      <c r="AA260" s="396"/>
      <c r="AB260" s="396"/>
      <c r="AC260" s="396"/>
      <c r="AD260" s="396"/>
      <c r="AE260" s="396"/>
      <c r="AF260" s="396"/>
      <c r="AG260" s="396"/>
      <c r="AH260" s="396"/>
      <c r="AI260" s="396"/>
      <c r="AJ260" s="396"/>
      <c r="AK260" s="396"/>
      <c r="AL260" s="396"/>
      <c r="AM260" s="396"/>
      <c r="AN260" s="396"/>
      <c r="AO260" s="396"/>
      <c r="AP260" s="396"/>
      <c r="AQ260" s="396"/>
      <c r="AR260" s="396"/>
      <c r="AS260" s="396"/>
      <c r="AT260" s="396"/>
    </row>
    <row r="261" spans="1:46" x14ac:dyDescent="0.25">
      <c r="A261" s="378"/>
      <c r="B261" s="396"/>
      <c r="C261" s="396"/>
      <c r="D261" s="396"/>
      <c r="E261" s="396"/>
      <c r="F261" s="396"/>
      <c r="G261" s="396"/>
      <c r="H261" s="396"/>
      <c r="I261" s="396"/>
      <c r="J261" s="396"/>
      <c r="K261" s="396"/>
      <c r="L261" s="396"/>
      <c r="M261" s="396"/>
      <c r="N261" s="396"/>
      <c r="O261" s="396"/>
      <c r="P261" s="396"/>
      <c r="Q261" s="396"/>
      <c r="R261" s="396"/>
      <c r="S261" s="396"/>
      <c r="T261" s="396"/>
      <c r="U261" s="396"/>
      <c r="V261" s="396"/>
      <c r="W261" s="396"/>
      <c r="X261" s="396"/>
      <c r="Y261" s="396"/>
      <c r="Z261" s="396"/>
      <c r="AA261" s="396"/>
      <c r="AB261" s="396"/>
      <c r="AC261" s="396"/>
      <c r="AD261" s="396"/>
      <c r="AE261" s="396"/>
      <c r="AF261" s="396"/>
      <c r="AG261" s="396"/>
      <c r="AH261" s="396"/>
      <c r="AI261" s="396"/>
      <c r="AJ261" s="396"/>
      <c r="AK261" s="396"/>
      <c r="AL261" s="396"/>
      <c r="AM261" s="396"/>
      <c r="AN261" s="396"/>
      <c r="AO261" s="396"/>
      <c r="AP261" s="396"/>
      <c r="AQ261" s="396"/>
      <c r="AR261" s="396"/>
      <c r="AS261" s="396"/>
      <c r="AT261" s="396"/>
    </row>
    <row r="262" spans="1:46" x14ac:dyDescent="0.25">
      <c r="A262" s="378"/>
      <c r="B262" s="396"/>
      <c r="C262" s="396"/>
      <c r="D262" s="396"/>
      <c r="E262" s="396"/>
      <c r="F262" s="396"/>
      <c r="G262" s="396"/>
      <c r="H262" s="396"/>
      <c r="I262" s="396"/>
      <c r="J262" s="396"/>
      <c r="K262" s="396"/>
      <c r="L262" s="396"/>
      <c r="M262" s="396"/>
      <c r="N262" s="396"/>
      <c r="O262" s="396"/>
      <c r="P262" s="396"/>
      <c r="Q262" s="396"/>
      <c r="R262" s="396"/>
      <c r="S262" s="396"/>
      <c r="T262" s="396"/>
      <c r="U262" s="396"/>
      <c r="V262" s="396"/>
      <c r="W262" s="396"/>
      <c r="X262" s="396"/>
      <c r="Y262" s="396"/>
      <c r="Z262" s="396"/>
      <c r="AA262" s="396"/>
      <c r="AB262" s="396"/>
      <c r="AC262" s="396"/>
      <c r="AD262" s="396"/>
      <c r="AE262" s="396"/>
      <c r="AF262" s="396"/>
      <c r="AG262" s="396"/>
      <c r="AH262" s="396"/>
      <c r="AI262" s="396"/>
      <c r="AJ262" s="396"/>
      <c r="AK262" s="396"/>
      <c r="AL262" s="396"/>
      <c r="AM262" s="396"/>
      <c r="AN262" s="396"/>
      <c r="AO262" s="396"/>
      <c r="AP262" s="396"/>
      <c r="AQ262" s="396"/>
      <c r="AR262" s="396"/>
      <c r="AS262" s="396"/>
      <c r="AT262" s="396"/>
    </row>
    <row r="263" spans="1:46" x14ac:dyDescent="0.25">
      <c r="A263" s="378"/>
      <c r="B263" s="396"/>
      <c r="C263" s="396"/>
      <c r="D263" s="396"/>
      <c r="E263" s="396"/>
      <c r="F263" s="396"/>
      <c r="G263" s="396"/>
      <c r="H263" s="396"/>
      <c r="I263" s="396"/>
      <c r="J263" s="396"/>
      <c r="K263" s="396"/>
      <c r="L263" s="396"/>
      <c r="M263" s="396"/>
      <c r="N263" s="396"/>
      <c r="O263" s="396"/>
      <c r="P263" s="396"/>
      <c r="Q263" s="396"/>
      <c r="R263" s="396"/>
      <c r="S263" s="396"/>
      <c r="T263" s="396"/>
      <c r="U263" s="396"/>
      <c r="V263" s="396"/>
      <c r="W263" s="396"/>
      <c r="X263" s="396"/>
      <c r="Y263" s="396"/>
      <c r="Z263" s="396"/>
      <c r="AA263" s="396"/>
      <c r="AB263" s="396"/>
      <c r="AC263" s="396"/>
      <c r="AD263" s="396"/>
      <c r="AE263" s="396"/>
      <c r="AF263" s="396"/>
      <c r="AG263" s="396"/>
      <c r="AH263" s="396"/>
      <c r="AI263" s="396"/>
      <c r="AJ263" s="396"/>
      <c r="AK263" s="396"/>
      <c r="AL263" s="396"/>
      <c r="AM263" s="396"/>
      <c r="AN263" s="396"/>
      <c r="AO263" s="396"/>
      <c r="AP263" s="396"/>
      <c r="AQ263" s="396"/>
      <c r="AR263" s="396"/>
      <c r="AS263" s="396"/>
      <c r="AT263" s="396"/>
    </row>
    <row r="264" spans="1:46" x14ac:dyDescent="0.25">
      <c r="A264" s="378"/>
      <c r="B264" s="396"/>
      <c r="C264" s="396"/>
      <c r="D264" s="396"/>
      <c r="E264" s="396"/>
      <c r="F264" s="396"/>
      <c r="G264" s="396"/>
      <c r="H264" s="396"/>
      <c r="I264" s="396"/>
      <c r="J264" s="396"/>
      <c r="K264" s="396"/>
      <c r="L264" s="396"/>
      <c r="M264" s="396"/>
      <c r="N264" s="396"/>
      <c r="O264" s="396"/>
      <c r="P264" s="396"/>
      <c r="Q264" s="396"/>
      <c r="R264" s="396"/>
      <c r="S264" s="396"/>
      <c r="T264" s="396"/>
      <c r="U264" s="396"/>
      <c r="V264" s="396"/>
      <c r="W264" s="396"/>
      <c r="X264" s="396"/>
      <c r="Y264" s="396"/>
      <c r="Z264" s="396"/>
      <c r="AA264" s="396"/>
      <c r="AB264" s="396"/>
      <c r="AC264" s="396"/>
      <c r="AD264" s="396"/>
      <c r="AE264" s="396"/>
      <c r="AF264" s="396"/>
      <c r="AG264" s="396"/>
      <c r="AH264" s="396"/>
      <c r="AI264" s="396"/>
      <c r="AJ264" s="396"/>
      <c r="AK264" s="396"/>
      <c r="AL264" s="396"/>
      <c r="AM264" s="396"/>
      <c r="AN264" s="396"/>
      <c r="AO264" s="396"/>
      <c r="AP264" s="396"/>
      <c r="AQ264" s="396"/>
      <c r="AR264" s="396"/>
      <c r="AS264" s="396"/>
      <c r="AT264" s="396"/>
    </row>
    <row r="265" spans="1:46" x14ac:dyDescent="0.25">
      <c r="A265" s="378"/>
      <c r="B265" s="396"/>
      <c r="C265" s="396"/>
      <c r="D265" s="396"/>
      <c r="E265" s="396"/>
      <c r="F265" s="396"/>
      <c r="G265" s="396"/>
      <c r="H265" s="396"/>
      <c r="I265" s="396"/>
      <c r="J265" s="396"/>
      <c r="K265" s="396"/>
      <c r="L265" s="396"/>
      <c r="M265" s="396"/>
      <c r="N265" s="396"/>
      <c r="O265" s="396"/>
      <c r="P265" s="396"/>
      <c r="Q265" s="396"/>
      <c r="R265" s="396"/>
      <c r="S265" s="396"/>
      <c r="T265" s="396"/>
      <c r="U265" s="396"/>
      <c r="V265" s="396"/>
      <c r="W265" s="396"/>
      <c r="X265" s="396"/>
      <c r="Y265" s="396"/>
      <c r="Z265" s="396"/>
      <c r="AA265" s="396"/>
      <c r="AB265" s="396"/>
      <c r="AC265" s="396"/>
      <c r="AD265" s="396"/>
      <c r="AE265" s="396"/>
      <c r="AF265" s="396"/>
      <c r="AG265" s="396"/>
      <c r="AH265" s="396"/>
      <c r="AI265" s="396"/>
      <c r="AJ265" s="396"/>
      <c r="AK265" s="396"/>
      <c r="AL265" s="396"/>
      <c r="AM265" s="396"/>
      <c r="AN265" s="396"/>
      <c r="AO265" s="396"/>
      <c r="AP265" s="396"/>
      <c r="AQ265" s="396"/>
      <c r="AR265" s="396"/>
      <c r="AS265" s="396"/>
      <c r="AT265" s="396"/>
    </row>
    <row r="266" spans="1:46" x14ac:dyDescent="0.25">
      <c r="A266" s="378"/>
      <c r="B266" s="396"/>
      <c r="C266" s="396"/>
      <c r="D266" s="396"/>
      <c r="E266" s="396"/>
      <c r="F266" s="396"/>
      <c r="G266" s="396"/>
      <c r="H266" s="396"/>
      <c r="I266" s="396"/>
      <c r="J266" s="396"/>
      <c r="K266" s="396"/>
      <c r="L266" s="396"/>
      <c r="M266" s="396"/>
      <c r="N266" s="396"/>
      <c r="O266" s="396"/>
      <c r="P266" s="396"/>
      <c r="Q266" s="396"/>
      <c r="R266" s="396"/>
      <c r="S266" s="396"/>
      <c r="T266" s="396"/>
      <c r="U266" s="396"/>
      <c r="V266" s="396"/>
      <c r="W266" s="396"/>
      <c r="X266" s="396"/>
      <c r="Y266" s="396"/>
      <c r="Z266" s="396"/>
      <c r="AA266" s="396"/>
      <c r="AB266" s="396"/>
      <c r="AC266" s="396"/>
      <c r="AD266" s="396"/>
      <c r="AE266" s="396"/>
      <c r="AF266" s="396"/>
      <c r="AG266" s="396"/>
      <c r="AH266" s="396"/>
      <c r="AI266" s="396"/>
      <c r="AJ266" s="396"/>
      <c r="AK266" s="396"/>
      <c r="AL266" s="396"/>
      <c r="AM266" s="396"/>
      <c r="AN266" s="396"/>
      <c r="AO266" s="396"/>
      <c r="AP266" s="396"/>
      <c r="AQ266" s="396"/>
      <c r="AR266" s="396"/>
      <c r="AS266" s="396"/>
      <c r="AT266" s="396"/>
    </row>
    <row r="267" spans="1:46" x14ac:dyDescent="0.25">
      <c r="A267" s="378"/>
      <c r="B267" s="396"/>
      <c r="C267" s="396"/>
      <c r="D267" s="396"/>
      <c r="E267" s="396"/>
      <c r="F267" s="396"/>
      <c r="G267" s="396"/>
      <c r="H267" s="396"/>
      <c r="I267" s="396"/>
      <c r="J267" s="396"/>
      <c r="K267" s="396"/>
      <c r="L267" s="396"/>
      <c r="M267" s="396"/>
      <c r="N267" s="396"/>
      <c r="O267" s="396"/>
      <c r="P267" s="396"/>
      <c r="Q267" s="396"/>
      <c r="R267" s="396"/>
      <c r="S267" s="396"/>
      <c r="T267" s="396"/>
      <c r="U267" s="396"/>
      <c r="V267" s="396"/>
      <c r="W267" s="396"/>
      <c r="X267" s="396"/>
      <c r="Y267" s="396"/>
      <c r="Z267" s="396"/>
      <c r="AA267" s="396"/>
      <c r="AB267" s="396"/>
      <c r="AC267" s="396"/>
      <c r="AD267" s="396"/>
      <c r="AE267" s="396"/>
      <c r="AF267" s="396"/>
      <c r="AG267" s="396"/>
      <c r="AH267" s="396"/>
      <c r="AI267" s="396"/>
      <c r="AJ267" s="396"/>
      <c r="AK267" s="396"/>
      <c r="AL267" s="396"/>
      <c r="AM267" s="396"/>
      <c r="AN267" s="396"/>
      <c r="AO267" s="396"/>
      <c r="AP267" s="396"/>
      <c r="AQ267" s="396"/>
      <c r="AR267" s="396"/>
      <c r="AS267" s="396"/>
      <c r="AT267" s="396"/>
    </row>
    <row r="268" spans="1:46" x14ac:dyDescent="0.25">
      <c r="A268" s="378"/>
      <c r="B268" s="396"/>
      <c r="C268" s="396"/>
      <c r="D268" s="396"/>
      <c r="E268" s="396"/>
      <c r="F268" s="396"/>
      <c r="G268" s="396"/>
      <c r="H268" s="396"/>
      <c r="I268" s="396"/>
      <c r="J268" s="396"/>
      <c r="K268" s="396"/>
      <c r="L268" s="396"/>
      <c r="M268" s="396"/>
      <c r="N268" s="396"/>
      <c r="O268" s="396"/>
      <c r="P268" s="396"/>
      <c r="Q268" s="396"/>
      <c r="R268" s="396"/>
      <c r="S268" s="396"/>
      <c r="T268" s="396"/>
      <c r="U268" s="396"/>
      <c r="V268" s="396"/>
      <c r="W268" s="396"/>
      <c r="X268" s="396"/>
      <c r="Y268" s="396"/>
      <c r="Z268" s="396"/>
      <c r="AA268" s="396"/>
      <c r="AB268" s="396"/>
      <c r="AC268" s="396"/>
      <c r="AD268" s="396"/>
      <c r="AE268" s="396"/>
      <c r="AF268" s="396"/>
      <c r="AG268" s="396"/>
      <c r="AH268" s="396"/>
      <c r="AI268" s="396"/>
      <c r="AJ268" s="396"/>
      <c r="AK268" s="396"/>
      <c r="AL268" s="396"/>
      <c r="AM268" s="396"/>
      <c r="AN268" s="396"/>
      <c r="AO268" s="396"/>
      <c r="AP268" s="396"/>
      <c r="AQ268" s="396"/>
      <c r="AR268" s="396"/>
      <c r="AS268" s="396"/>
      <c r="AT268" s="396"/>
    </row>
    <row r="269" spans="1:46" x14ac:dyDescent="0.25">
      <c r="A269" s="378"/>
      <c r="B269" s="396"/>
      <c r="C269" s="396"/>
      <c r="D269" s="396"/>
      <c r="E269" s="396"/>
      <c r="F269" s="396"/>
      <c r="G269" s="396"/>
      <c r="H269" s="396"/>
      <c r="I269" s="396"/>
      <c r="J269" s="396"/>
      <c r="K269" s="396"/>
      <c r="L269" s="396"/>
      <c r="M269" s="396"/>
      <c r="N269" s="396"/>
      <c r="O269" s="396"/>
      <c r="P269" s="396"/>
      <c r="Q269" s="396"/>
      <c r="R269" s="396"/>
      <c r="S269" s="396"/>
      <c r="T269" s="396"/>
      <c r="U269" s="396"/>
      <c r="V269" s="396"/>
      <c r="W269" s="396"/>
      <c r="X269" s="396"/>
      <c r="Y269" s="396"/>
      <c r="Z269" s="396"/>
      <c r="AA269" s="396"/>
      <c r="AB269" s="396"/>
      <c r="AC269" s="396"/>
      <c r="AD269" s="396"/>
      <c r="AE269" s="396"/>
      <c r="AF269" s="396"/>
      <c r="AG269" s="396"/>
      <c r="AH269" s="396"/>
      <c r="AI269" s="396"/>
      <c r="AJ269" s="396"/>
      <c r="AK269" s="396"/>
      <c r="AL269" s="396"/>
      <c r="AM269" s="396"/>
      <c r="AN269" s="396"/>
      <c r="AO269" s="396"/>
      <c r="AP269" s="396"/>
      <c r="AQ269" s="396"/>
      <c r="AR269" s="396"/>
      <c r="AS269" s="396"/>
      <c r="AT269" s="396"/>
    </row>
    <row r="270" spans="1:46" x14ac:dyDescent="0.25">
      <c r="A270" s="378"/>
      <c r="B270" s="396"/>
      <c r="C270" s="396"/>
      <c r="D270" s="396"/>
      <c r="E270" s="396"/>
      <c r="F270" s="396"/>
      <c r="G270" s="396"/>
      <c r="H270" s="396"/>
      <c r="I270" s="396"/>
      <c r="J270" s="396"/>
      <c r="K270" s="396"/>
      <c r="L270" s="396"/>
      <c r="M270" s="396"/>
      <c r="N270" s="396"/>
      <c r="O270" s="396"/>
      <c r="P270" s="396"/>
      <c r="Q270" s="396"/>
      <c r="R270" s="396"/>
      <c r="S270" s="396"/>
      <c r="T270" s="396"/>
      <c r="U270" s="396"/>
      <c r="V270" s="396"/>
      <c r="W270" s="396"/>
      <c r="X270" s="396"/>
      <c r="Y270" s="396"/>
      <c r="Z270" s="396"/>
      <c r="AA270" s="396"/>
      <c r="AB270" s="396"/>
      <c r="AC270" s="396"/>
      <c r="AD270" s="396"/>
      <c r="AE270" s="396"/>
      <c r="AF270" s="396"/>
      <c r="AG270" s="396"/>
      <c r="AH270" s="396"/>
      <c r="AI270" s="396"/>
      <c r="AJ270" s="396"/>
      <c r="AK270" s="396"/>
      <c r="AL270" s="396"/>
      <c r="AM270" s="396"/>
      <c r="AN270" s="396"/>
      <c r="AO270" s="396"/>
      <c r="AP270" s="396"/>
      <c r="AQ270" s="396"/>
      <c r="AR270" s="396"/>
      <c r="AS270" s="396"/>
      <c r="AT270" s="396"/>
    </row>
    <row r="271" spans="1:46" x14ac:dyDescent="0.25">
      <c r="A271" s="378"/>
      <c r="B271" s="396"/>
      <c r="C271" s="396"/>
      <c r="D271" s="396"/>
      <c r="E271" s="396"/>
      <c r="F271" s="396"/>
      <c r="G271" s="396"/>
      <c r="H271" s="396"/>
      <c r="I271" s="396"/>
      <c r="J271" s="396"/>
      <c r="K271" s="396"/>
      <c r="L271" s="396"/>
      <c r="M271" s="396"/>
      <c r="N271" s="396"/>
      <c r="O271" s="396"/>
      <c r="P271" s="396"/>
      <c r="Q271" s="396"/>
      <c r="R271" s="396"/>
      <c r="S271" s="396"/>
      <c r="T271" s="396"/>
      <c r="U271" s="396"/>
      <c r="V271" s="396"/>
      <c r="W271" s="396"/>
      <c r="X271" s="396"/>
      <c r="Y271" s="396"/>
      <c r="Z271" s="396"/>
      <c r="AA271" s="396"/>
      <c r="AB271" s="396"/>
      <c r="AC271" s="396"/>
      <c r="AD271" s="396"/>
      <c r="AE271" s="396"/>
      <c r="AF271" s="396"/>
      <c r="AG271" s="396"/>
      <c r="AH271" s="396"/>
      <c r="AI271" s="396"/>
      <c r="AJ271" s="396"/>
      <c r="AK271" s="396"/>
      <c r="AL271" s="396"/>
      <c r="AM271" s="396"/>
      <c r="AN271" s="396"/>
      <c r="AO271" s="396"/>
      <c r="AP271" s="396"/>
      <c r="AQ271" s="396"/>
      <c r="AR271" s="396"/>
      <c r="AS271" s="396"/>
      <c r="AT271" s="396"/>
    </row>
    <row r="272" spans="1:46" x14ac:dyDescent="0.25">
      <c r="A272" s="378"/>
      <c r="B272" s="396"/>
      <c r="C272" s="396"/>
      <c r="D272" s="396"/>
      <c r="E272" s="396"/>
      <c r="F272" s="396"/>
      <c r="G272" s="396"/>
      <c r="H272" s="396"/>
      <c r="I272" s="396"/>
      <c r="J272" s="396"/>
      <c r="K272" s="396"/>
      <c r="L272" s="396"/>
      <c r="M272" s="396"/>
      <c r="N272" s="396"/>
      <c r="O272" s="396"/>
      <c r="P272" s="396"/>
      <c r="Q272" s="396"/>
      <c r="R272" s="396"/>
      <c r="S272" s="396"/>
      <c r="T272" s="396"/>
      <c r="U272" s="396"/>
      <c r="V272" s="396"/>
      <c r="W272" s="396"/>
      <c r="X272" s="396"/>
      <c r="Y272" s="396"/>
      <c r="Z272" s="396"/>
      <c r="AA272" s="396"/>
      <c r="AB272" s="396"/>
      <c r="AC272" s="396"/>
      <c r="AD272" s="396"/>
      <c r="AE272" s="396"/>
      <c r="AF272" s="396"/>
      <c r="AG272" s="396"/>
      <c r="AH272" s="396"/>
      <c r="AI272" s="396"/>
      <c r="AJ272" s="396"/>
      <c r="AK272" s="396"/>
      <c r="AL272" s="396"/>
      <c r="AM272" s="396"/>
      <c r="AN272" s="396"/>
      <c r="AO272" s="396"/>
      <c r="AP272" s="396"/>
      <c r="AQ272" s="396"/>
      <c r="AR272" s="396"/>
      <c r="AS272" s="396"/>
      <c r="AT272" s="396"/>
    </row>
    <row r="273" spans="1:46" x14ac:dyDescent="0.25">
      <c r="A273" s="378"/>
      <c r="B273" s="396"/>
      <c r="C273" s="396"/>
      <c r="D273" s="396"/>
      <c r="E273" s="396"/>
      <c r="F273" s="396"/>
      <c r="G273" s="396"/>
      <c r="H273" s="396"/>
      <c r="I273" s="396"/>
      <c r="J273" s="396"/>
      <c r="K273" s="396"/>
      <c r="L273" s="396"/>
      <c r="M273" s="396"/>
      <c r="N273" s="396"/>
      <c r="O273" s="396"/>
      <c r="P273" s="396"/>
      <c r="Q273" s="396"/>
      <c r="R273" s="396"/>
      <c r="S273" s="396"/>
      <c r="T273" s="396"/>
      <c r="U273" s="396"/>
      <c r="V273" s="396"/>
      <c r="W273" s="396"/>
      <c r="X273" s="396"/>
      <c r="Y273" s="396"/>
      <c r="Z273" s="396"/>
      <c r="AA273" s="396"/>
      <c r="AB273" s="396"/>
      <c r="AC273" s="396"/>
      <c r="AD273" s="396"/>
      <c r="AE273" s="396"/>
      <c r="AF273" s="396"/>
      <c r="AG273" s="396"/>
      <c r="AH273" s="396"/>
      <c r="AI273" s="396"/>
      <c r="AJ273" s="396"/>
      <c r="AK273" s="396"/>
      <c r="AL273" s="396"/>
      <c r="AM273" s="396"/>
      <c r="AN273" s="396"/>
      <c r="AO273" s="396"/>
      <c r="AP273" s="396"/>
      <c r="AQ273" s="396"/>
      <c r="AR273" s="396"/>
      <c r="AS273" s="396"/>
      <c r="AT273" s="396"/>
    </row>
    <row r="274" spans="1:46" x14ac:dyDescent="0.25">
      <c r="A274" s="378"/>
      <c r="B274" s="396"/>
      <c r="C274" s="396"/>
      <c r="D274" s="396"/>
      <c r="E274" s="396"/>
      <c r="F274" s="396"/>
      <c r="G274" s="396"/>
      <c r="H274" s="396"/>
      <c r="I274" s="396"/>
      <c r="J274" s="396"/>
      <c r="K274" s="396"/>
      <c r="L274" s="396"/>
      <c r="M274" s="396"/>
      <c r="N274" s="396"/>
      <c r="O274" s="396"/>
      <c r="P274" s="396"/>
      <c r="Q274" s="396"/>
      <c r="R274" s="396"/>
      <c r="S274" s="396"/>
      <c r="T274" s="396"/>
      <c r="U274" s="396"/>
      <c r="V274" s="396"/>
      <c r="W274" s="396"/>
      <c r="X274" s="396"/>
      <c r="Y274" s="396"/>
      <c r="Z274" s="396"/>
      <c r="AA274" s="396"/>
      <c r="AB274" s="396"/>
      <c r="AC274" s="396"/>
      <c r="AD274" s="396"/>
      <c r="AE274" s="396"/>
      <c r="AF274" s="396"/>
      <c r="AG274" s="396"/>
      <c r="AH274" s="396"/>
      <c r="AI274" s="396"/>
      <c r="AJ274" s="396"/>
      <c r="AK274" s="396"/>
      <c r="AL274" s="396"/>
      <c r="AM274" s="396"/>
      <c r="AN274" s="396"/>
      <c r="AO274" s="396"/>
      <c r="AP274" s="396"/>
      <c r="AQ274" s="396"/>
      <c r="AR274" s="396"/>
      <c r="AS274" s="396"/>
      <c r="AT274" s="396"/>
    </row>
    <row r="275" spans="1:46" x14ac:dyDescent="0.25">
      <c r="A275" s="378"/>
      <c r="B275" s="396"/>
      <c r="C275" s="396"/>
      <c r="D275" s="396"/>
      <c r="E275" s="396"/>
      <c r="F275" s="396"/>
      <c r="G275" s="396"/>
      <c r="H275" s="396"/>
      <c r="I275" s="396"/>
      <c r="J275" s="396"/>
      <c r="K275" s="396"/>
      <c r="L275" s="396"/>
      <c r="M275" s="396"/>
      <c r="N275" s="396"/>
      <c r="O275" s="396"/>
      <c r="P275" s="396"/>
      <c r="Q275" s="396"/>
      <c r="R275" s="396"/>
      <c r="S275" s="396"/>
      <c r="T275" s="396"/>
      <c r="U275" s="396"/>
      <c r="V275" s="396"/>
      <c r="W275" s="396"/>
      <c r="X275" s="396"/>
      <c r="Y275" s="396"/>
      <c r="Z275" s="396"/>
      <c r="AA275" s="396"/>
      <c r="AB275" s="396"/>
      <c r="AC275" s="396"/>
      <c r="AD275" s="396"/>
      <c r="AE275" s="396"/>
      <c r="AF275" s="396"/>
      <c r="AG275" s="396"/>
      <c r="AH275" s="396"/>
      <c r="AI275" s="396"/>
      <c r="AJ275" s="396"/>
      <c r="AK275" s="396"/>
      <c r="AL275" s="396"/>
      <c r="AM275" s="396"/>
      <c r="AN275" s="396"/>
      <c r="AO275" s="396"/>
      <c r="AP275" s="396"/>
      <c r="AQ275" s="396"/>
      <c r="AR275" s="396"/>
      <c r="AS275" s="396"/>
      <c r="AT275" s="396"/>
    </row>
    <row r="276" spans="1:46" x14ac:dyDescent="0.25">
      <c r="A276" s="378"/>
      <c r="B276" s="396"/>
      <c r="C276" s="396"/>
      <c r="D276" s="396"/>
      <c r="E276" s="396"/>
      <c r="F276" s="396"/>
      <c r="G276" s="396"/>
      <c r="H276" s="396"/>
      <c r="I276" s="396"/>
      <c r="J276" s="396"/>
      <c r="K276" s="396"/>
      <c r="L276" s="396"/>
      <c r="M276" s="396"/>
      <c r="N276" s="396"/>
      <c r="O276" s="396"/>
      <c r="P276" s="396"/>
      <c r="Q276" s="396"/>
      <c r="R276" s="396"/>
      <c r="S276" s="396"/>
      <c r="T276" s="396"/>
      <c r="U276" s="396"/>
      <c r="V276" s="396"/>
      <c r="W276" s="396"/>
      <c r="X276" s="396"/>
      <c r="Y276" s="396"/>
      <c r="Z276" s="396"/>
      <c r="AA276" s="396"/>
      <c r="AB276" s="396"/>
      <c r="AC276" s="396"/>
      <c r="AD276" s="396"/>
      <c r="AE276" s="396"/>
      <c r="AF276" s="396"/>
      <c r="AG276" s="396"/>
      <c r="AH276" s="396"/>
      <c r="AI276" s="396"/>
      <c r="AJ276" s="396"/>
      <c r="AK276" s="396"/>
      <c r="AL276" s="396"/>
      <c r="AM276" s="396"/>
      <c r="AN276" s="396"/>
      <c r="AO276" s="396"/>
      <c r="AP276" s="396"/>
      <c r="AQ276" s="396"/>
      <c r="AR276" s="396"/>
      <c r="AS276" s="396"/>
      <c r="AT276" s="396"/>
    </row>
    <row r="277" spans="1:46" x14ac:dyDescent="0.25">
      <c r="A277" s="378"/>
      <c r="B277" s="396"/>
      <c r="C277" s="396"/>
      <c r="D277" s="396"/>
      <c r="E277" s="396"/>
      <c r="F277" s="396"/>
      <c r="G277" s="396"/>
      <c r="H277" s="396"/>
      <c r="I277" s="396"/>
      <c r="J277" s="396"/>
      <c r="K277" s="396"/>
      <c r="L277" s="396"/>
      <c r="M277" s="396"/>
      <c r="N277" s="396"/>
      <c r="O277" s="396"/>
      <c r="P277" s="396"/>
      <c r="Q277" s="396"/>
      <c r="R277" s="396"/>
      <c r="S277" s="396"/>
      <c r="T277" s="396"/>
      <c r="U277" s="396"/>
      <c r="V277" s="396"/>
      <c r="W277" s="396"/>
      <c r="X277" s="396"/>
      <c r="Y277" s="396"/>
      <c r="Z277" s="396"/>
      <c r="AA277" s="396"/>
      <c r="AB277" s="396"/>
      <c r="AC277" s="396"/>
      <c r="AD277" s="396"/>
      <c r="AE277" s="396"/>
      <c r="AF277" s="396"/>
      <c r="AG277" s="396"/>
      <c r="AH277" s="396"/>
      <c r="AI277" s="396"/>
      <c r="AJ277" s="396"/>
      <c r="AK277" s="396"/>
      <c r="AL277" s="396"/>
      <c r="AM277" s="396"/>
      <c r="AN277" s="396"/>
      <c r="AO277" s="396"/>
      <c r="AP277" s="396"/>
      <c r="AQ277" s="396"/>
      <c r="AR277" s="396"/>
      <c r="AS277" s="396"/>
      <c r="AT277" s="396"/>
    </row>
    <row r="278" spans="1:46" x14ac:dyDescent="0.25">
      <c r="A278" s="378"/>
      <c r="B278" s="396"/>
      <c r="C278" s="396"/>
      <c r="D278" s="396"/>
      <c r="E278" s="396"/>
      <c r="F278" s="396"/>
      <c r="G278" s="396"/>
      <c r="H278" s="396"/>
      <c r="I278" s="396"/>
      <c r="J278" s="396"/>
      <c r="K278" s="396"/>
      <c r="L278" s="396"/>
      <c r="M278" s="396"/>
      <c r="N278" s="396"/>
      <c r="O278" s="396"/>
      <c r="P278" s="396"/>
      <c r="Q278" s="396"/>
      <c r="R278" s="396"/>
      <c r="S278" s="396"/>
      <c r="T278" s="396"/>
      <c r="U278" s="396"/>
      <c r="V278" s="396"/>
      <c r="W278" s="396"/>
      <c r="X278" s="396"/>
      <c r="Y278" s="396"/>
      <c r="Z278" s="396"/>
      <c r="AA278" s="396"/>
      <c r="AB278" s="396"/>
      <c r="AC278" s="396"/>
      <c r="AD278" s="396"/>
      <c r="AE278" s="396"/>
      <c r="AF278" s="396"/>
      <c r="AG278" s="396"/>
      <c r="AH278" s="396"/>
      <c r="AI278" s="396"/>
      <c r="AJ278" s="396"/>
      <c r="AK278" s="396"/>
      <c r="AL278" s="396"/>
      <c r="AM278" s="396"/>
      <c r="AN278" s="396"/>
      <c r="AO278" s="396"/>
      <c r="AP278" s="396"/>
      <c r="AQ278" s="396"/>
      <c r="AR278" s="396"/>
      <c r="AS278" s="396"/>
      <c r="AT278" s="396"/>
    </row>
    <row r="279" spans="1:46" x14ac:dyDescent="0.25">
      <c r="A279" s="378"/>
      <c r="B279" s="396"/>
      <c r="C279" s="396"/>
      <c r="D279" s="396"/>
      <c r="E279" s="396"/>
      <c r="F279" s="396"/>
      <c r="G279" s="396"/>
      <c r="H279" s="396"/>
      <c r="I279" s="396"/>
      <c r="J279" s="396"/>
      <c r="K279" s="396"/>
      <c r="L279" s="396"/>
      <c r="M279" s="396"/>
      <c r="N279" s="396"/>
      <c r="O279" s="396"/>
      <c r="P279" s="396"/>
      <c r="Q279" s="396"/>
      <c r="R279" s="396"/>
      <c r="S279" s="396"/>
      <c r="T279" s="396"/>
      <c r="U279" s="396"/>
      <c r="V279" s="396"/>
      <c r="W279" s="396"/>
      <c r="X279" s="396"/>
      <c r="Y279" s="396"/>
      <c r="Z279" s="396"/>
      <c r="AA279" s="396"/>
      <c r="AB279" s="396"/>
      <c r="AC279" s="396"/>
      <c r="AD279" s="396"/>
      <c r="AE279" s="396"/>
      <c r="AF279" s="396"/>
      <c r="AG279" s="396"/>
      <c r="AH279" s="396"/>
      <c r="AI279" s="396"/>
      <c r="AJ279" s="396"/>
      <c r="AK279" s="396"/>
      <c r="AL279" s="396"/>
      <c r="AM279" s="396"/>
      <c r="AN279" s="396"/>
      <c r="AO279" s="396"/>
      <c r="AP279" s="396"/>
      <c r="AQ279" s="396"/>
      <c r="AR279" s="396"/>
      <c r="AS279" s="396"/>
      <c r="AT279" s="396"/>
    </row>
    <row r="280" spans="1:46" x14ac:dyDescent="0.25">
      <c r="A280" s="378"/>
      <c r="B280" s="396"/>
      <c r="C280" s="396"/>
      <c r="D280" s="396"/>
      <c r="E280" s="396"/>
      <c r="F280" s="396"/>
      <c r="G280" s="396"/>
      <c r="H280" s="396"/>
      <c r="I280" s="396"/>
      <c r="J280" s="396"/>
      <c r="K280" s="396"/>
      <c r="L280" s="396"/>
      <c r="M280" s="396"/>
      <c r="N280" s="396"/>
      <c r="O280" s="396"/>
      <c r="P280" s="396"/>
      <c r="Q280" s="396"/>
      <c r="R280" s="396"/>
      <c r="S280" s="396"/>
      <c r="T280" s="396"/>
      <c r="U280" s="396"/>
      <c r="V280" s="396"/>
      <c r="W280" s="396"/>
      <c r="X280" s="396"/>
      <c r="Y280" s="396"/>
      <c r="Z280" s="396"/>
      <c r="AA280" s="396"/>
      <c r="AB280" s="396"/>
      <c r="AC280" s="396"/>
      <c r="AD280" s="396"/>
      <c r="AE280" s="396"/>
      <c r="AF280" s="396"/>
      <c r="AG280" s="396"/>
      <c r="AH280" s="396"/>
      <c r="AI280" s="396"/>
      <c r="AJ280" s="396"/>
      <c r="AK280" s="396"/>
      <c r="AL280" s="396"/>
      <c r="AM280" s="396"/>
      <c r="AN280" s="396"/>
      <c r="AO280" s="396"/>
      <c r="AP280" s="396"/>
      <c r="AQ280" s="396"/>
      <c r="AR280" s="396"/>
      <c r="AS280" s="396"/>
      <c r="AT280" s="396"/>
    </row>
    <row r="281" spans="1:46" x14ac:dyDescent="0.25">
      <c r="A281" s="378"/>
      <c r="B281" s="396"/>
      <c r="C281" s="396"/>
      <c r="D281" s="396"/>
      <c r="E281" s="396"/>
      <c r="F281" s="396"/>
      <c r="G281" s="396"/>
      <c r="H281" s="396"/>
      <c r="I281" s="396"/>
      <c r="J281" s="396"/>
      <c r="K281" s="396"/>
      <c r="L281" s="396"/>
      <c r="M281" s="396"/>
      <c r="N281" s="396"/>
      <c r="O281" s="396"/>
      <c r="P281" s="396"/>
      <c r="Q281" s="396"/>
      <c r="R281" s="396"/>
      <c r="S281" s="396"/>
      <c r="T281" s="396"/>
      <c r="U281" s="396"/>
      <c r="V281" s="396"/>
      <c r="W281" s="396"/>
      <c r="X281" s="396"/>
      <c r="Y281" s="396"/>
      <c r="Z281" s="396"/>
      <c r="AA281" s="396"/>
      <c r="AB281" s="396"/>
      <c r="AC281" s="396"/>
      <c r="AD281" s="396"/>
      <c r="AE281" s="396"/>
      <c r="AF281" s="396"/>
      <c r="AG281" s="396"/>
      <c r="AH281" s="396"/>
      <c r="AI281" s="396"/>
      <c r="AJ281" s="396"/>
      <c r="AK281" s="396"/>
      <c r="AL281" s="396"/>
      <c r="AM281" s="396"/>
      <c r="AN281" s="396"/>
      <c r="AO281" s="396"/>
      <c r="AP281" s="396"/>
      <c r="AQ281" s="396"/>
      <c r="AR281" s="396"/>
      <c r="AS281" s="396"/>
      <c r="AT281" s="396"/>
    </row>
    <row r="282" spans="1:46" x14ac:dyDescent="0.25">
      <c r="A282" s="378"/>
      <c r="B282" s="396"/>
      <c r="C282" s="396"/>
      <c r="D282" s="396"/>
      <c r="E282" s="396"/>
      <c r="F282" s="396"/>
      <c r="G282" s="396"/>
      <c r="H282" s="396"/>
      <c r="I282" s="396"/>
      <c r="J282" s="396"/>
      <c r="K282" s="396"/>
      <c r="L282" s="396"/>
      <c r="M282" s="396"/>
      <c r="N282" s="396"/>
      <c r="O282" s="396"/>
      <c r="P282" s="396"/>
      <c r="Q282" s="396"/>
      <c r="R282" s="396"/>
      <c r="S282" s="396"/>
      <c r="T282" s="396"/>
      <c r="U282" s="396"/>
      <c r="V282" s="396"/>
      <c r="W282" s="396"/>
      <c r="X282" s="396"/>
      <c r="Y282" s="396"/>
      <c r="Z282" s="396"/>
      <c r="AA282" s="396"/>
      <c r="AB282" s="396"/>
      <c r="AC282" s="396"/>
      <c r="AD282" s="396"/>
      <c r="AE282" s="396"/>
      <c r="AF282" s="396"/>
      <c r="AG282" s="396"/>
      <c r="AH282" s="396"/>
      <c r="AI282" s="396"/>
      <c r="AJ282" s="396"/>
      <c r="AK282" s="396"/>
      <c r="AL282" s="396"/>
      <c r="AM282" s="396"/>
      <c r="AN282" s="396"/>
      <c r="AO282" s="396"/>
      <c r="AP282" s="396"/>
      <c r="AQ282" s="396"/>
      <c r="AR282" s="396"/>
      <c r="AS282" s="396"/>
      <c r="AT282" s="396"/>
    </row>
    <row r="283" spans="1:46" x14ac:dyDescent="0.25">
      <c r="A283" s="378"/>
      <c r="B283" s="396"/>
      <c r="C283" s="396"/>
      <c r="D283" s="396"/>
      <c r="E283" s="396"/>
      <c r="F283" s="396"/>
      <c r="G283" s="396"/>
      <c r="H283" s="396"/>
      <c r="I283" s="396"/>
      <c r="J283" s="396"/>
      <c r="K283" s="396"/>
      <c r="L283" s="396"/>
      <c r="M283" s="396"/>
      <c r="N283" s="396"/>
      <c r="O283" s="396"/>
      <c r="P283" s="396"/>
      <c r="Q283" s="396"/>
      <c r="R283" s="396"/>
      <c r="S283" s="396"/>
      <c r="T283" s="396"/>
      <c r="U283" s="396"/>
      <c r="V283" s="396"/>
      <c r="W283" s="396"/>
      <c r="X283" s="396"/>
      <c r="Y283" s="396"/>
      <c r="Z283" s="396"/>
      <c r="AA283" s="396"/>
      <c r="AB283" s="396"/>
      <c r="AC283" s="396"/>
      <c r="AD283" s="396"/>
      <c r="AE283" s="396"/>
      <c r="AF283" s="396"/>
      <c r="AG283" s="396"/>
      <c r="AH283" s="396"/>
      <c r="AI283" s="396"/>
      <c r="AJ283" s="396"/>
      <c r="AK283" s="396"/>
      <c r="AL283" s="396"/>
      <c r="AM283" s="396"/>
      <c r="AN283" s="396"/>
      <c r="AO283" s="396"/>
      <c r="AP283" s="396"/>
      <c r="AQ283" s="396"/>
      <c r="AR283" s="396"/>
      <c r="AS283" s="396"/>
      <c r="AT283" s="396"/>
    </row>
    <row r="284" spans="1:46" x14ac:dyDescent="0.25">
      <c r="A284" s="378"/>
      <c r="B284" s="396"/>
      <c r="C284" s="396"/>
      <c r="D284" s="396"/>
      <c r="E284" s="396"/>
      <c r="F284" s="396"/>
      <c r="G284" s="396"/>
      <c r="H284" s="396"/>
      <c r="I284" s="396"/>
      <c r="J284" s="396"/>
      <c r="K284" s="396"/>
      <c r="L284" s="396"/>
      <c r="M284" s="396"/>
      <c r="N284" s="396"/>
      <c r="O284" s="396"/>
      <c r="P284" s="396"/>
      <c r="Q284" s="396"/>
      <c r="R284" s="396"/>
      <c r="S284" s="396"/>
      <c r="T284" s="396"/>
      <c r="U284" s="396"/>
      <c r="V284" s="396"/>
      <c r="W284" s="396"/>
      <c r="X284" s="396"/>
      <c r="Y284" s="396"/>
      <c r="Z284" s="396"/>
      <c r="AA284" s="396"/>
      <c r="AB284" s="396"/>
      <c r="AC284" s="396"/>
      <c r="AD284" s="396"/>
      <c r="AE284" s="396"/>
      <c r="AF284" s="396"/>
      <c r="AG284" s="396"/>
      <c r="AH284" s="396"/>
      <c r="AI284" s="396"/>
      <c r="AJ284" s="396"/>
      <c r="AK284" s="396"/>
      <c r="AL284" s="396"/>
      <c r="AM284" s="396"/>
      <c r="AN284" s="396"/>
      <c r="AO284" s="396"/>
      <c r="AP284" s="396"/>
      <c r="AQ284" s="396"/>
      <c r="AR284" s="396"/>
      <c r="AS284" s="396"/>
      <c r="AT284" s="396"/>
    </row>
    <row r="285" spans="1:46" x14ac:dyDescent="0.25">
      <c r="A285" s="378"/>
      <c r="B285" s="396"/>
      <c r="C285" s="396"/>
      <c r="D285" s="396"/>
      <c r="E285" s="396"/>
      <c r="F285" s="396"/>
      <c r="G285" s="396"/>
      <c r="H285" s="396"/>
      <c r="I285" s="396"/>
      <c r="J285" s="396"/>
      <c r="K285" s="396"/>
      <c r="L285" s="396"/>
      <c r="M285" s="396"/>
      <c r="N285" s="396"/>
      <c r="O285" s="396"/>
      <c r="P285" s="396"/>
      <c r="Q285" s="396"/>
      <c r="R285" s="396"/>
      <c r="S285" s="396"/>
      <c r="T285" s="396"/>
      <c r="U285" s="396"/>
      <c r="V285" s="396"/>
      <c r="W285" s="396"/>
      <c r="X285" s="396"/>
      <c r="Y285" s="396"/>
      <c r="Z285" s="396"/>
      <c r="AA285" s="396"/>
      <c r="AB285" s="396"/>
      <c r="AC285" s="396"/>
      <c r="AD285" s="396"/>
      <c r="AE285" s="396"/>
      <c r="AF285" s="396"/>
      <c r="AG285" s="396"/>
      <c r="AH285" s="396"/>
      <c r="AI285" s="396"/>
      <c r="AJ285" s="396"/>
      <c r="AK285" s="396"/>
      <c r="AL285" s="396"/>
      <c r="AM285" s="396"/>
      <c r="AN285" s="396"/>
      <c r="AO285" s="396"/>
      <c r="AP285" s="396"/>
      <c r="AQ285" s="396"/>
      <c r="AR285" s="396"/>
      <c r="AS285" s="396"/>
      <c r="AT285" s="396"/>
    </row>
    <row r="286" spans="1:46" x14ac:dyDescent="0.25">
      <c r="A286" s="378"/>
      <c r="B286" s="396"/>
      <c r="C286" s="396"/>
      <c r="D286" s="396"/>
      <c r="E286" s="396"/>
      <c r="F286" s="396"/>
      <c r="G286" s="396"/>
      <c r="H286" s="396"/>
      <c r="I286" s="396"/>
      <c r="J286" s="396"/>
      <c r="K286" s="396"/>
      <c r="L286" s="396"/>
      <c r="M286" s="396"/>
      <c r="N286" s="396"/>
      <c r="O286" s="396"/>
      <c r="P286" s="396"/>
      <c r="Q286" s="396"/>
      <c r="R286" s="396"/>
      <c r="S286" s="396"/>
      <c r="T286" s="396"/>
      <c r="U286" s="396"/>
      <c r="V286" s="396"/>
      <c r="W286" s="396"/>
      <c r="X286" s="396"/>
      <c r="Y286" s="396"/>
      <c r="Z286" s="396"/>
      <c r="AA286" s="396"/>
      <c r="AB286" s="396"/>
      <c r="AC286" s="396"/>
      <c r="AD286" s="396"/>
      <c r="AE286" s="396"/>
      <c r="AF286" s="396"/>
      <c r="AG286" s="396"/>
      <c r="AH286" s="396"/>
      <c r="AI286" s="396"/>
      <c r="AJ286" s="396"/>
      <c r="AK286" s="396"/>
      <c r="AL286" s="396"/>
      <c r="AM286" s="396"/>
      <c r="AN286" s="396"/>
      <c r="AO286" s="396"/>
      <c r="AP286" s="396"/>
      <c r="AQ286" s="396"/>
      <c r="AR286" s="396"/>
      <c r="AS286" s="396"/>
      <c r="AT286" s="396"/>
    </row>
    <row r="287" spans="1:46" x14ac:dyDescent="0.25">
      <c r="A287" s="378"/>
      <c r="B287" s="396"/>
      <c r="C287" s="396"/>
      <c r="D287" s="396"/>
      <c r="E287" s="396"/>
      <c r="F287" s="396"/>
      <c r="G287" s="396"/>
      <c r="H287" s="396"/>
      <c r="I287" s="396"/>
      <c r="J287" s="396"/>
      <c r="K287" s="396"/>
      <c r="L287" s="396"/>
      <c r="M287" s="396"/>
      <c r="N287" s="396"/>
      <c r="O287" s="396"/>
      <c r="P287" s="396"/>
      <c r="Q287" s="396"/>
      <c r="R287" s="396"/>
      <c r="S287" s="396"/>
      <c r="T287" s="396"/>
      <c r="U287" s="396"/>
      <c r="V287" s="396"/>
      <c r="W287" s="396"/>
      <c r="X287" s="396"/>
      <c r="Y287" s="396"/>
      <c r="Z287" s="396"/>
      <c r="AA287" s="396"/>
      <c r="AB287" s="396"/>
      <c r="AC287" s="396"/>
      <c r="AD287" s="396"/>
      <c r="AE287" s="396"/>
      <c r="AF287" s="396"/>
      <c r="AG287" s="396"/>
      <c r="AH287" s="396"/>
      <c r="AI287" s="396"/>
      <c r="AJ287" s="396"/>
      <c r="AK287" s="396"/>
      <c r="AL287" s="396"/>
      <c r="AM287" s="396"/>
      <c r="AN287" s="396"/>
      <c r="AO287" s="396"/>
      <c r="AP287" s="396"/>
      <c r="AQ287" s="396"/>
      <c r="AR287" s="396"/>
      <c r="AS287" s="396"/>
      <c r="AT287" s="396"/>
    </row>
    <row r="288" spans="1:46" x14ac:dyDescent="0.25">
      <c r="A288" s="378"/>
      <c r="B288" s="396"/>
      <c r="C288" s="396"/>
      <c r="D288" s="396"/>
      <c r="E288" s="396"/>
      <c r="F288" s="396"/>
      <c r="G288" s="396"/>
      <c r="H288" s="396"/>
      <c r="I288" s="396"/>
      <c r="J288" s="396"/>
      <c r="K288" s="396"/>
      <c r="L288" s="396"/>
      <c r="M288" s="396"/>
      <c r="N288" s="396"/>
      <c r="O288" s="396"/>
      <c r="P288" s="396"/>
      <c r="Q288" s="396"/>
      <c r="R288" s="396"/>
      <c r="S288" s="396"/>
      <c r="T288" s="396"/>
      <c r="U288" s="396"/>
      <c r="V288" s="396"/>
      <c r="W288" s="396"/>
      <c r="X288" s="396"/>
      <c r="Y288" s="396"/>
      <c r="Z288" s="396"/>
      <c r="AA288" s="396"/>
      <c r="AB288" s="396"/>
      <c r="AC288" s="396"/>
      <c r="AD288" s="396"/>
      <c r="AE288" s="396"/>
      <c r="AF288" s="396"/>
      <c r="AG288" s="396"/>
      <c r="AH288" s="396"/>
      <c r="AI288" s="396"/>
      <c r="AJ288" s="396"/>
      <c r="AK288" s="396"/>
      <c r="AL288" s="396"/>
      <c r="AM288" s="396"/>
      <c r="AN288" s="396"/>
      <c r="AO288" s="396"/>
      <c r="AP288" s="396"/>
      <c r="AQ288" s="396"/>
      <c r="AR288" s="396"/>
      <c r="AS288" s="396"/>
      <c r="AT288" s="396"/>
    </row>
    <row r="289" spans="1:46" x14ac:dyDescent="0.25">
      <c r="A289" s="378"/>
      <c r="B289" s="396"/>
      <c r="C289" s="396"/>
      <c r="D289" s="396"/>
      <c r="E289" s="396"/>
      <c r="F289" s="396"/>
      <c r="G289" s="396"/>
      <c r="H289" s="396"/>
      <c r="I289" s="396"/>
      <c r="J289" s="396"/>
      <c r="K289" s="396"/>
      <c r="L289" s="396"/>
      <c r="M289" s="396"/>
      <c r="N289" s="396"/>
      <c r="O289" s="396"/>
      <c r="P289" s="396"/>
      <c r="Q289" s="396"/>
      <c r="R289" s="396"/>
      <c r="S289" s="396"/>
      <c r="T289" s="396"/>
      <c r="U289" s="396"/>
      <c r="V289" s="396"/>
      <c r="W289" s="396"/>
      <c r="X289" s="396"/>
      <c r="Y289" s="396"/>
      <c r="Z289" s="396"/>
      <c r="AA289" s="396"/>
      <c r="AB289" s="396"/>
      <c r="AC289" s="396"/>
      <c r="AD289" s="396"/>
      <c r="AE289" s="396"/>
      <c r="AF289" s="396"/>
      <c r="AG289" s="396"/>
      <c r="AH289" s="396"/>
      <c r="AI289" s="396"/>
      <c r="AJ289" s="396"/>
      <c r="AK289" s="396"/>
      <c r="AL289" s="396"/>
      <c r="AM289" s="396"/>
      <c r="AN289" s="396"/>
      <c r="AO289" s="396"/>
      <c r="AP289" s="396"/>
      <c r="AQ289" s="396"/>
      <c r="AR289" s="396"/>
      <c r="AS289" s="396"/>
      <c r="AT289" s="396"/>
    </row>
    <row r="290" spans="1:46" x14ac:dyDescent="0.25">
      <c r="A290" s="378"/>
      <c r="B290" s="396"/>
      <c r="C290" s="396"/>
      <c r="D290" s="396"/>
      <c r="E290" s="396"/>
      <c r="F290" s="396"/>
      <c r="G290" s="396"/>
      <c r="H290" s="396"/>
      <c r="I290" s="396"/>
      <c r="J290" s="396"/>
      <c r="K290" s="396"/>
      <c r="L290" s="396"/>
      <c r="M290" s="396"/>
      <c r="N290" s="396"/>
      <c r="O290" s="396"/>
      <c r="P290" s="396"/>
      <c r="Q290" s="396"/>
      <c r="R290" s="396"/>
      <c r="S290" s="396"/>
      <c r="T290" s="396"/>
      <c r="U290" s="396"/>
      <c r="V290" s="396"/>
      <c r="W290" s="396"/>
      <c r="X290" s="396"/>
      <c r="Y290" s="396"/>
      <c r="Z290" s="396"/>
      <c r="AA290" s="396"/>
      <c r="AB290" s="396"/>
      <c r="AC290" s="396"/>
      <c r="AD290" s="396"/>
      <c r="AE290" s="396"/>
      <c r="AF290" s="396"/>
      <c r="AG290" s="396"/>
      <c r="AH290" s="396"/>
      <c r="AI290" s="396"/>
      <c r="AJ290" s="396"/>
      <c r="AK290" s="396"/>
      <c r="AL290" s="396"/>
      <c r="AM290" s="396"/>
      <c r="AN290" s="396"/>
      <c r="AO290" s="396"/>
      <c r="AP290" s="396"/>
      <c r="AQ290" s="396"/>
      <c r="AR290" s="396"/>
      <c r="AS290" s="396"/>
      <c r="AT290" s="396"/>
    </row>
    <row r="291" spans="1:46" x14ac:dyDescent="0.25">
      <c r="A291" s="378"/>
      <c r="B291" s="396"/>
      <c r="C291" s="396"/>
      <c r="D291" s="396"/>
      <c r="E291" s="396"/>
      <c r="F291" s="396"/>
      <c r="G291" s="396"/>
      <c r="H291" s="396"/>
      <c r="I291" s="396"/>
      <c r="J291" s="396"/>
      <c r="K291" s="396"/>
      <c r="L291" s="396"/>
      <c r="M291" s="396"/>
      <c r="N291" s="396"/>
      <c r="O291" s="396"/>
      <c r="P291" s="396"/>
      <c r="Q291" s="396"/>
      <c r="R291" s="396"/>
      <c r="S291" s="396"/>
      <c r="T291" s="396"/>
      <c r="U291" s="396"/>
      <c r="V291" s="396"/>
      <c r="W291" s="396"/>
      <c r="X291" s="396"/>
      <c r="Y291" s="396"/>
      <c r="Z291" s="396"/>
      <c r="AA291" s="396"/>
      <c r="AB291" s="396"/>
      <c r="AC291" s="396"/>
      <c r="AD291" s="396"/>
      <c r="AE291" s="396"/>
      <c r="AF291" s="396"/>
      <c r="AG291" s="396"/>
      <c r="AH291" s="396"/>
      <c r="AI291" s="396"/>
      <c r="AJ291" s="396"/>
      <c r="AK291" s="396"/>
      <c r="AL291" s="396"/>
      <c r="AM291" s="396"/>
      <c r="AN291" s="396"/>
      <c r="AO291" s="396"/>
      <c r="AP291" s="396"/>
      <c r="AQ291" s="396"/>
      <c r="AR291" s="396"/>
      <c r="AS291" s="396"/>
      <c r="AT291" s="396"/>
    </row>
    <row r="292" spans="1:46" x14ac:dyDescent="0.25">
      <c r="A292" s="378"/>
      <c r="B292" s="396"/>
      <c r="C292" s="396"/>
      <c r="D292" s="396"/>
      <c r="E292" s="396"/>
      <c r="F292" s="396"/>
      <c r="G292" s="396"/>
      <c r="H292" s="396"/>
      <c r="I292" s="396"/>
      <c r="J292" s="396"/>
      <c r="K292" s="396"/>
      <c r="L292" s="396"/>
      <c r="M292" s="396"/>
      <c r="N292" s="396"/>
      <c r="O292" s="396"/>
      <c r="P292" s="396"/>
      <c r="Q292" s="396"/>
      <c r="R292" s="396"/>
      <c r="S292" s="396"/>
      <c r="T292" s="396"/>
      <c r="U292" s="396"/>
      <c r="V292" s="396"/>
      <c r="W292" s="396"/>
      <c r="X292" s="396"/>
      <c r="Y292" s="396"/>
      <c r="Z292" s="396"/>
      <c r="AA292" s="396"/>
      <c r="AB292" s="396"/>
      <c r="AC292" s="396"/>
      <c r="AD292" s="396"/>
      <c r="AE292" s="396"/>
      <c r="AF292" s="396"/>
      <c r="AG292" s="396"/>
      <c r="AH292" s="396"/>
      <c r="AI292" s="396"/>
      <c r="AJ292" s="396"/>
      <c r="AK292" s="396"/>
      <c r="AL292" s="396"/>
      <c r="AM292" s="396"/>
      <c r="AN292" s="396"/>
      <c r="AO292" s="396"/>
      <c r="AP292" s="396"/>
      <c r="AQ292" s="396"/>
      <c r="AR292" s="396"/>
      <c r="AS292" s="396"/>
      <c r="AT292" s="396"/>
    </row>
    <row r="293" spans="1:46" x14ac:dyDescent="0.25">
      <c r="A293" s="378"/>
      <c r="B293" s="396"/>
      <c r="C293" s="396"/>
      <c r="D293" s="396"/>
      <c r="E293" s="396"/>
      <c r="F293" s="396"/>
      <c r="G293" s="396"/>
      <c r="H293" s="396"/>
      <c r="I293" s="396"/>
      <c r="J293" s="396"/>
      <c r="K293" s="396"/>
      <c r="L293" s="396"/>
      <c r="M293" s="396"/>
      <c r="N293" s="396"/>
      <c r="O293" s="396"/>
      <c r="P293" s="396"/>
      <c r="Q293" s="396"/>
      <c r="R293" s="396"/>
      <c r="S293" s="396"/>
      <c r="T293" s="396"/>
      <c r="U293" s="396"/>
      <c r="V293" s="396"/>
      <c r="W293" s="396"/>
      <c r="X293" s="396"/>
      <c r="Y293" s="396"/>
      <c r="Z293" s="396"/>
      <c r="AA293" s="396"/>
      <c r="AB293" s="396"/>
      <c r="AC293" s="396"/>
      <c r="AD293" s="396"/>
      <c r="AE293" s="396"/>
      <c r="AF293" s="396"/>
      <c r="AG293" s="396"/>
      <c r="AH293" s="396"/>
      <c r="AI293" s="396"/>
      <c r="AJ293" s="396"/>
      <c r="AK293" s="396"/>
      <c r="AL293" s="396"/>
      <c r="AM293" s="396"/>
      <c r="AN293" s="396"/>
      <c r="AO293" s="396"/>
      <c r="AP293" s="396"/>
      <c r="AQ293" s="396"/>
      <c r="AR293" s="396"/>
      <c r="AS293" s="396"/>
      <c r="AT293" s="396"/>
    </row>
    <row r="294" spans="1:46" x14ac:dyDescent="0.25">
      <c r="A294" s="378"/>
      <c r="B294" s="396"/>
      <c r="C294" s="396"/>
      <c r="D294" s="396"/>
      <c r="E294" s="396"/>
      <c r="F294" s="396"/>
      <c r="G294" s="396"/>
      <c r="H294" s="396"/>
      <c r="I294" s="396"/>
      <c r="J294" s="396"/>
      <c r="K294" s="396"/>
      <c r="L294" s="396"/>
      <c r="M294" s="396"/>
      <c r="N294" s="396"/>
      <c r="O294" s="396"/>
      <c r="P294" s="396"/>
      <c r="Q294" s="396"/>
      <c r="R294" s="396"/>
      <c r="S294" s="396"/>
      <c r="T294" s="396"/>
      <c r="U294" s="396"/>
      <c r="V294" s="396"/>
      <c r="W294" s="396"/>
      <c r="X294" s="396"/>
      <c r="Y294" s="396"/>
      <c r="Z294" s="396"/>
      <c r="AA294" s="396"/>
      <c r="AB294" s="396"/>
      <c r="AC294" s="396"/>
      <c r="AD294" s="396"/>
      <c r="AE294" s="396"/>
      <c r="AF294" s="396"/>
      <c r="AG294" s="396"/>
      <c r="AH294" s="396"/>
      <c r="AI294" s="396"/>
      <c r="AJ294" s="396"/>
      <c r="AK294" s="396"/>
      <c r="AL294" s="396"/>
      <c r="AM294" s="396"/>
      <c r="AN294" s="396"/>
      <c r="AO294" s="396"/>
      <c r="AP294" s="396"/>
      <c r="AQ294" s="396"/>
      <c r="AR294" s="396"/>
      <c r="AS294" s="396"/>
      <c r="AT294" s="396"/>
    </row>
    <row r="295" spans="1:46" x14ac:dyDescent="0.25">
      <c r="A295" s="378"/>
      <c r="B295" s="396"/>
      <c r="C295" s="396"/>
      <c r="D295" s="396"/>
      <c r="E295" s="396"/>
      <c r="F295" s="396"/>
      <c r="G295" s="396"/>
      <c r="H295" s="396"/>
      <c r="I295" s="396"/>
      <c r="J295" s="396"/>
      <c r="K295" s="396"/>
      <c r="L295" s="396"/>
      <c r="M295" s="396"/>
      <c r="N295" s="396"/>
      <c r="O295" s="396"/>
      <c r="P295" s="396"/>
      <c r="Q295" s="396"/>
      <c r="R295" s="396"/>
      <c r="S295" s="396"/>
      <c r="T295" s="396"/>
      <c r="U295" s="396"/>
      <c r="V295" s="396"/>
      <c r="W295" s="396"/>
      <c r="X295" s="396"/>
      <c r="Y295" s="396"/>
      <c r="Z295" s="396"/>
      <c r="AA295" s="396"/>
      <c r="AB295" s="396"/>
      <c r="AC295" s="396"/>
      <c r="AD295" s="396"/>
      <c r="AE295" s="396"/>
      <c r="AF295" s="396"/>
      <c r="AG295" s="396"/>
      <c r="AH295" s="396"/>
      <c r="AI295" s="396"/>
      <c r="AJ295" s="396"/>
      <c r="AK295" s="396"/>
      <c r="AL295" s="396"/>
      <c r="AM295" s="396"/>
      <c r="AN295" s="396"/>
      <c r="AO295" s="396"/>
      <c r="AP295" s="396"/>
      <c r="AQ295" s="396"/>
      <c r="AR295" s="396"/>
      <c r="AS295" s="396"/>
      <c r="AT295" s="396"/>
    </row>
    <row r="296" spans="1:46" x14ac:dyDescent="0.25">
      <c r="A296" s="378"/>
      <c r="B296" s="396"/>
      <c r="C296" s="396"/>
      <c r="D296" s="396"/>
      <c r="E296" s="396"/>
      <c r="F296" s="396"/>
      <c r="G296" s="396"/>
      <c r="H296" s="396"/>
      <c r="I296" s="396"/>
      <c r="J296" s="396"/>
      <c r="K296" s="396"/>
      <c r="L296" s="396"/>
      <c r="M296" s="396"/>
      <c r="N296" s="396"/>
      <c r="O296" s="396"/>
      <c r="P296" s="396"/>
      <c r="Q296" s="396"/>
      <c r="R296" s="396"/>
      <c r="S296" s="396"/>
      <c r="T296" s="396"/>
      <c r="U296" s="396"/>
      <c r="V296" s="396"/>
      <c r="W296" s="396"/>
      <c r="X296" s="396"/>
      <c r="Y296" s="396"/>
      <c r="Z296" s="396"/>
      <c r="AA296" s="396"/>
      <c r="AB296" s="396"/>
      <c r="AC296" s="396"/>
      <c r="AD296" s="396"/>
      <c r="AE296" s="396"/>
      <c r="AF296" s="396"/>
      <c r="AG296" s="396"/>
      <c r="AH296" s="396"/>
      <c r="AI296" s="396"/>
      <c r="AJ296" s="396"/>
      <c r="AK296" s="396"/>
      <c r="AL296" s="396"/>
      <c r="AM296" s="396"/>
      <c r="AN296" s="396"/>
      <c r="AO296" s="396"/>
      <c r="AP296" s="396"/>
      <c r="AQ296" s="396"/>
      <c r="AR296" s="396"/>
      <c r="AS296" s="396"/>
      <c r="AT296" s="396"/>
    </row>
    <row r="297" spans="1:46" x14ac:dyDescent="0.25">
      <c r="A297" s="378"/>
      <c r="B297" s="396"/>
      <c r="C297" s="396"/>
      <c r="D297" s="396"/>
      <c r="E297" s="396"/>
      <c r="F297" s="396"/>
      <c r="G297" s="396"/>
      <c r="H297" s="396"/>
      <c r="I297" s="396"/>
      <c r="J297" s="396"/>
      <c r="K297" s="396"/>
      <c r="L297" s="396"/>
      <c r="M297" s="396"/>
      <c r="N297" s="396"/>
      <c r="O297" s="396"/>
      <c r="P297" s="396"/>
      <c r="Q297" s="396"/>
      <c r="R297" s="396"/>
      <c r="S297" s="396"/>
      <c r="T297" s="396"/>
      <c r="U297" s="396"/>
      <c r="V297" s="396"/>
      <c r="W297" s="396"/>
      <c r="X297" s="396"/>
      <c r="Y297" s="396"/>
      <c r="Z297" s="396"/>
      <c r="AA297" s="396"/>
      <c r="AB297" s="396"/>
      <c r="AC297" s="396"/>
      <c r="AD297" s="396"/>
      <c r="AE297" s="396"/>
      <c r="AF297" s="396"/>
      <c r="AG297" s="396"/>
      <c r="AH297" s="396"/>
      <c r="AI297" s="396"/>
      <c r="AJ297" s="396"/>
      <c r="AK297" s="396"/>
      <c r="AL297" s="396"/>
      <c r="AM297" s="396"/>
      <c r="AN297" s="396"/>
      <c r="AO297" s="396"/>
      <c r="AP297" s="396"/>
      <c r="AQ297" s="396"/>
      <c r="AR297" s="396"/>
      <c r="AS297" s="396"/>
      <c r="AT297" s="396"/>
    </row>
    <row r="298" spans="1:46" x14ac:dyDescent="0.25">
      <c r="A298" s="378"/>
      <c r="B298" s="396"/>
      <c r="C298" s="396"/>
      <c r="D298" s="396"/>
      <c r="E298" s="396"/>
      <c r="F298" s="396"/>
      <c r="G298" s="396"/>
      <c r="H298" s="396"/>
      <c r="I298" s="396"/>
      <c r="J298" s="396"/>
      <c r="K298" s="396"/>
      <c r="L298" s="396"/>
      <c r="M298" s="396"/>
      <c r="N298" s="396"/>
      <c r="O298" s="396"/>
      <c r="P298" s="396"/>
      <c r="Q298" s="396"/>
      <c r="R298" s="396"/>
      <c r="S298" s="396"/>
      <c r="T298" s="396"/>
      <c r="U298" s="396"/>
      <c r="V298" s="396"/>
      <c r="W298" s="396"/>
      <c r="X298" s="396"/>
      <c r="Y298" s="396"/>
      <c r="Z298" s="396"/>
      <c r="AA298" s="396"/>
      <c r="AB298" s="396"/>
      <c r="AC298" s="396"/>
      <c r="AD298" s="396"/>
      <c r="AE298" s="396"/>
      <c r="AF298" s="396"/>
      <c r="AG298" s="396"/>
      <c r="AH298" s="396"/>
      <c r="AI298" s="396"/>
      <c r="AJ298" s="396"/>
      <c r="AK298" s="396"/>
      <c r="AL298" s="396"/>
      <c r="AM298" s="396"/>
      <c r="AN298" s="396"/>
      <c r="AO298" s="396"/>
      <c r="AP298" s="396"/>
      <c r="AQ298" s="396"/>
      <c r="AR298" s="396"/>
      <c r="AS298" s="396"/>
      <c r="AT298" s="396"/>
    </row>
    <row r="299" spans="1:46" x14ac:dyDescent="0.25">
      <c r="A299" s="378"/>
      <c r="B299" s="396"/>
      <c r="C299" s="396"/>
      <c r="D299" s="396"/>
      <c r="E299" s="396"/>
      <c r="F299" s="396"/>
      <c r="G299" s="396"/>
      <c r="H299" s="396"/>
      <c r="I299" s="396"/>
      <c r="J299" s="396"/>
      <c r="K299" s="396"/>
      <c r="L299" s="396"/>
      <c r="M299" s="396"/>
      <c r="N299" s="396"/>
      <c r="O299" s="396"/>
      <c r="P299" s="396"/>
      <c r="Q299" s="396"/>
      <c r="R299" s="396"/>
      <c r="S299" s="396"/>
      <c r="T299" s="396"/>
      <c r="U299" s="396"/>
      <c r="V299" s="396"/>
      <c r="W299" s="396"/>
      <c r="X299" s="396"/>
      <c r="Y299" s="396"/>
      <c r="Z299" s="396"/>
      <c r="AA299" s="396"/>
      <c r="AB299" s="396"/>
      <c r="AC299" s="396"/>
      <c r="AD299" s="396"/>
      <c r="AE299" s="396"/>
      <c r="AF299" s="396"/>
      <c r="AG299" s="396"/>
      <c r="AH299" s="396"/>
      <c r="AI299" s="396"/>
      <c r="AJ299" s="396"/>
      <c r="AK299" s="396"/>
      <c r="AL299" s="396"/>
      <c r="AM299" s="396"/>
      <c r="AN299" s="396"/>
      <c r="AO299" s="396"/>
      <c r="AP299" s="396"/>
      <c r="AQ299" s="396"/>
      <c r="AR299" s="396"/>
      <c r="AS299" s="396"/>
      <c r="AT299" s="396"/>
    </row>
    <row r="300" spans="1:46" x14ac:dyDescent="0.25">
      <c r="A300" s="378"/>
      <c r="B300" s="396"/>
      <c r="C300" s="396"/>
      <c r="D300" s="396"/>
      <c r="E300" s="396"/>
      <c r="F300" s="396"/>
      <c r="G300" s="396"/>
      <c r="H300" s="396"/>
      <c r="I300" s="396"/>
      <c r="J300" s="396"/>
      <c r="K300" s="396"/>
      <c r="L300" s="396"/>
      <c r="M300" s="396"/>
      <c r="N300" s="396"/>
      <c r="O300" s="396"/>
      <c r="P300" s="396"/>
      <c r="Q300" s="396"/>
      <c r="R300" s="396"/>
      <c r="S300" s="396"/>
      <c r="T300" s="396"/>
      <c r="U300" s="396"/>
      <c r="V300" s="396"/>
      <c r="W300" s="396"/>
      <c r="X300" s="396"/>
      <c r="Y300" s="396"/>
      <c r="Z300" s="396"/>
      <c r="AA300" s="396"/>
      <c r="AB300" s="396"/>
      <c r="AC300" s="396"/>
      <c r="AD300" s="396"/>
      <c r="AE300" s="396"/>
      <c r="AF300" s="396"/>
      <c r="AG300" s="396"/>
      <c r="AH300" s="396"/>
      <c r="AI300" s="396"/>
      <c r="AJ300" s="396"/>
      <c r="AK300" s="396"/>
      <c r="AL300" s="396"/>
      <c r="AM300" s="396"/>
      <c r="AN300" s="396"/>
      <c r="AO300" s="396"/>
      <c r="AP300" s="396"/>
      <c r="AQ300" s="396"/>
      <c r="AR300" s="396"/>
      <c r="AS300" s="396"/>
      <c r="AT300" s="396"/>
    </row>
    <row r="301" spans="1:46" x14ac:dyDescent="0.25">
      <c r="A301" s="378"/>
      <c r="B301" s="396"/>
      <c r="C301" s="396"/>
      <c r="D301" s="396"/>
      <c r="E301" s="396"/>
      <c r="F301" s="396"/>
      <c r="G301" s="396"/>
      <c r="H301" s="396"/>
      <c r="I301" s="396"/>
      <c r="J301" s="396"/>
      <c r="K301" s="396"/>
      <c r="L301" s="396"/>
      <c r="M301" s="396"/>
      <c r="N301" s="396"/>
      <c r="O301" s="396"/>
      <c r="P301" s="396"/>
      <c r="Q301" s="396"/>
      <c r="R301" s="396"/>
      <c r="S301" s="396"/>
      <c r="T301" s="396"/>
      <c r="U301" s="396"/>
      <c r="V301" s="396"/>
      <c r="W301" s="396"/>
      <c r="X301" s="396"/>
      <c r="Y301" s="396"/>
      <c r="Z301" s="396"/>
      <c r="AA301" s="396"/>
      <c r="AB301" s="396"/>
      <c r="AC301" s="396"/>
      <c r="AD301" s="396"/>
      <c r="AE301" s="396"/>
      <c r="AF301" s="396"/>
      <c r="AG301" s="396"/>
      <c r="AH301" s="396"/>
      <c r="AI301" s="396"/>
      <c r="AJ301" s="396"/>
      <c r="AK301" s="396"/>
      <c r="AL301" s="396"/>
      <c r="AM301" s="396"/>
      <c r="AN301" s="396"/>
      <c r="AO301" s="396"/>
      <c r="AP301" s="396"/>
      <c r="AQ301" s="396"/>
      <c r="AR301" s="396"/>
      <c r="AS301" s="396"/>
      <c r="AT301" s="396"/>
    </row>
    <row r="302" spans="1:46" x14ac:dyDescent="0.25">
      <c r="A302" s="378"/>
      <c r="B302" s="396"/>
      <c r="C302" s="396"/>
      <c r="D302" s="396"/>
      <c r="E302" s="396"/>
      <c r="F302" s="396"/>
      <c r="G302" s="396"/>
      <c r="H302" s="396"/>
      <c r="I302" s="396"/>
      <c r="J302" s="396"/>
      <c r="K302" s="396"/>
      <c r="L302" s="396"/>
      <c r="M302" s="396"/>
      <c r="N302" s="396"/>
      <c r="O302" s="396"/>
      <c r="P302" s="396"/>
      <c r="Q302" s="396"/>
      <c r="R302" s="396"/>
      <c r="S302" s="396"/>
      <c r="T302" s="396"/>
      <c r="U302" s="396"/>
      <c r="V302" s="396"/>
      <c r="W302" s="396"/>
      <c r="X302" s="378"/>
      <c r="Y302" s="378"/>
      <c r="Z302" s="378"/>
      <c r="AA302" s="378"/>
      <c r="AB302" s="378"/>
      <c r="AC302" s="396"/>
      <c r="AD302" s="396"/>
      <c r="AE302" s="396"/>
      <c r="AF302" s="396"/>
      <c r="AG302" s="396"/>
      <c r="AH302" s="396"/>
      <c r="AI302" s="396"/>
      <c r="AJ302" s="396"/>
      <c r="AK302" s="396"/>
      <c r="AL302" s="396"/>
      <c r="AM302" s="396"/>
      <c r="AN302" s="396"/>
      <c r="AO302" s="396"/>
      <c r="AP302" s="396"/>
      <c r="AQ302" s="396"/>
      <c r="AR302" s="396"/>
      <c r="AS302" s="396"/>
      <c r="AT302" s="396"/>
    </row>
    <row r="303" spans="1:46" x14ac:dyDescent="0.25">
      <c r="A303" s="378"/>
      <c r="B303" s="396"/>
      <c r="C303" s="396"/>
      <c r="D303" s="396"/>
      <c r="E303" s="396"/>
      <c r="F303" s="396"/>
      <c r="G303" s="396"/>
      <c r="H303" s="396"/>
      <c r="I303" s="396"/>
      <c r="J303" s="396"/>
      <c r="K303" s="396"/>
      <c r="L303" s="396"/>
      <c r="M303" s="396"/>
      <c r="N303" s="396"/>
      <c r="O303" s="396"/>
      <c r="P303" s="396"/>
      <c r="Q303" s="396"/>
      <c r="R303" s="396"/>
      <c r="S303" s="396"/>
      <c r="T303" s="396"/>
      <c r="U303" s="396"/>
      <c r="V303" s="396"/>
      <c r="W303" s="396"/>
      <c r="X303" s="378"/>
      <c r="Y303" s="378"/>
      <c r="Z303" s="378"/>
      <c r="AA303" s="378"/>
      <c r="AB303" s="378"/>
      <c r="AC303" s="396"/>
      <c r="AD303" s="396"/>
      <c r="AE303" s="396"/>
      <c r="AF303" s="396"/>
      <c r="AG303" s="396"/>
      <c r="AH303" s="396"/>
      <c r="AI303" s="396"/>
      <c r="AJ303" s="396"/>
      <c r="AK303" s="396"/>
      <c r="AL303" s="396"/>
      <c r="AM303" s="396"/>
      <c r="AN303" s="396"/>
      <c r="AO303" s="396"/>
      <c r="AP303" s="396"/>
      <c r="AQ303" s="396"/>
      <c r="AR303" s="396"/>
      <c r="AS303" s="396"/>
      <c r="AT303" s="396"/>
    </row>
    <row r="304" spans="1:46" x14ac:dyDescent="0.25">
      <c r="A304" s="378"/>
      <c r="B304" s="396"/>
      <c r="C304" s="396"/>
      <c r="D304" s="396"/>
      <c r="E304" s="396"/>
      <c r="F304" s="396"/>
      <c r="G304" s="396"/>
      <c r="H304" s="396"/>
      <c r="I304" s="396"/>
      <c r="J304" s="396"/>
      <c r="K304" s="396"/>
      <c r="L304" s="396"/>
      <c r="M304" s="396"/>
      <c r="N304" s="396"/>
      <c r="O304" s="396"/>
      <c r="P304" s="396"/>
      <c r="Q304" s="396"/>
      <c r="R304" s="396"/>
      <c r="S304" s="396"/>
      <c r="T304" s="396"/>
      <c r="U304" s="396"/>
      <c r="V304" s="396"/>
      <c r="W304" s="396"/>
      <c r="X304" s="378"/>
      <c r="Y304" s="378"/>
      <c r="Z304" s="378"/>
      <c r="AA304" s="378"/>
      <c r="AB304" s="378"/>
      <c r="AC304" s="396"/>
      <c r="AD304" s="396"/>
      <c r="AE304" s="396"/>
      <c r="AF304" s="396"/>
      <c r="AG304" s="396"/>
      <c r="AH304" s="396"/>
      <c r="AI304" s="396"/>
      <c r="AJ304" s="396"/>
      <c r="AK304" s="396"/>
      <c r="AL304" s="396"/>
      <c r="AM304" s="396"/>
      <c r="AN304" s="396"/>
      <c r="AO304" s="396"/>
      <c r="AP304" s="396"/>
      <c r="AQ304" s="396"/>
      <c r="AR304" s="396"/>
      <c r="AS304" s="396"/>
      <c r="AT304" s="396"/>
    </row>
    <row r="305" spans="1:46" x14ac:dyDescent="0.25">
      <c r="A305" s="378"/>
      <c r="B305" s="396"/>
      <c r="C305" s="396"/>
      <c r="D305" s="396"/>
      <c r="E305" s="396"/>
      <c r="F305" s="396"/>
      <c r="G305" s="396"/>
      <c r="H305" s="396"/>
      <c r="I305" s="396"/>
      <c r="J305" s="396"/>
      <c r="K305" s="396"/>
      <c r="L305" s="396"/>
      <c r="M305" s="396"/>
      <c r="N305" s="396"/>
      <c r="O305" s="396"/>
      <c r="P305" s="396"/>
      <c r="Q305" s="396"/>
      <c r="R305" s="396"/>
      <c r="S305" s="396"/>
      <c r="T305" s="396"/>
      <c r="U305" s="396"/>
      <c r="V305" s="396"/>
      <c r="W305" s="396"/>
      <c r="X305" s="378"/>
      <c r="Y305" s="378"/>
      <c r="Z305" s="378"/>
      <c r="AA305" s="378"/>
      <c r="AB305" s="378"/>
      <c r="AC305" s="396"/>
      <c r="AD305" s="396"/>
      <c r="AE305" s="396"/>
      <c r="AF305" s="396"/>
      <c r="AG305" s="396"/>
      <c r="AH305" s="396"/>
      <c r="AI305" s="396"/>
      <c r="AJ305" s="396"/>
      <c r="AK305" s="396"/>
      <c r="AL305" s="396"/>
      <c r="AM305" s="396"/>
      <c r="AN305" s="396"/>
      <c r="AO305" s="396"/>
      <c r="AP305" s="396"/>
      <c r="AQ305" s="396"/>
      <c r="AR305" s="396"/>
      <c r="AS305" s="396"/>
      <c r="AT305" s="396"/>
    </row>
    <row r="306" spans="1:46" x14ac:dyDescent="0.25">
      <c r="A306" s="378"/>
      <c r="B306" s="396"/>
      <c r="C306" s="396"/>
      <c r="D306" s="396"/>
      <c r="E306" s="396"/>
      <c r="F306" s="396"/>
      <c r="G306" s="396"/>
      <c r="H306" s="396"/>
      <c r="I306" s="396"/>
      <c r="J306" s="396"/>
      <c r="K306" s="396"/>
      <c r="L306" s="396"/>
      <c r="M306" s="396"/>
      <c r="N306" s="396"/>
      <c r="O306" s="396"/>
      <c r="P306" s="396"/>
      <c r="Q306" s="396"/>
      <c r="R306" s="396"/>
      <c r="S306" s="396"/>
      <c r="T306" s="396"/>
      <c r="U306" s="396"/>
      <c r="V306" s="396"/>
      <c r="W306" s="396"/>
      <c r="X306" s="378"/>
      <c r="Y306" s="378"/>
      <c r="Z306" s="378"/>
      <c r="AA306" s="378"/>
      <c r="AB306" s="378"/>
      <c r="AC306" s="396"/>
      <c r="AD306" s="396"/>
      <c r="AE306" s="396"/>
      <c r="AF306" s="396"/>
      <c r="AG306" s="396"/>
      <c r="AH306" s="396"/>
      <c r="AI306" s="396"/>
      <c r="AJ306" s="396"/>
      <c r="AK306" s="396"/>
      <c r="AL306" s="396"/>
      <c r="AM306" s="396"/>
      <c r="AN306" s="396"/>
      <c r="AO306" s="396"/>
      <c r="AP306" s="396"/>
      <c r="AQ306" s="396"/>
      <c r="AR306" s="396"/>
      <c r="AS306" s="396"/>
      <c r="AT306" s="396"/>
    </row>
    <row r="307" spans="1:46" x14ac:dyDescent="0.25">
      <c r="A307" s="378"/>
      <c r="B307" s="396"/>
      <c r="C307" s="396"/>
      <c r="D307" s="396"/>
      <c r="E307" s="396"/>
      <c r="F307" s="396"/>
      <c r="G307" s="396"/>
      <c r="H307" s="396"/>
      <c r="I307" s="396"/>
      <c r="J307" s="396"/>
      <c r="K307" s="396"/>
      <c r="L307" s="396"/>
      <c r="M307" s="396"/>
      <c r="N307" s="396"/>
      <c r="O307" s="396"/>
      <c r="P307" s="396"/>
      <c r="Q307" s="396"/>
      <c r="R307" s="396"/>
      <c r="S307" s="396"/>
      <c r="T307" s="396"/>
      <c r="U307" s="396"/>
      <c r="V307" s="396"/>
      <c r="W307" s="396"/>
      <c r="X307" s="378"/>
      <c r="Y307" s="378"/>
      <c r="Z307" s="378"/>
      <c r="AA307" s="378"/>
      <c r="AB307" s="378"/>
      <c r="AC307" s="396"/>
      <c r="AD307" s="396"/>
      <c r="AE307" s="396"/>
      <c r="AF307" s="396"/>
      <c r="AG307" s="396"/>
      <c r="AH307" s="396"/>
      <c r="AI307" s="396"/>
      <c r="AJ307" s="396"/>
      <c r="AK307" s="396"/>
      <c r="AL307" s="396"/>
      <c r="AM307" s="396"/>
      <c r="AN307" s="396"/>
      <c r="AO307" s="396"/>
      <c r="AP307" s="396"/>
      <c r="AQ307" s="396"/>
      <c r="AR307" s="396"/>
      <c r="AS307" s="396"/>
      <c r="AT307" s="396"/>
    </row>
    <row r="308" spans="1:46" x14ac:dyDescent="0.25">
      <c r="A308" s="378"/>
      <c r="B308" s="396"/>
      <c r="C308" s="396"/>
      <c r="D308" s="396"/>
      <c r="E308" s="396"/>
      <c r="F308" s="396"/>
      <c r="G308" s="396"/>
      <c r="H308" s="396"/>
      <c r="I308" s="396"/>
      <c r="J308" s="396"/>
      <c r="K308" s="396"/>
      <c r="L308" s="396"/>
      <c r="M308" s="396"/>
      <c r="N308" s="396"/>
      <c r="O308" s="396"/>
      <c r="P308" s="396"/>
      <c r="Q308" s="396"/>
      <c r="R308" s="396"/>
      <c r="S308" s="396"/>
      <c r="T308" s="396"/>
      <c r="U308" s="396"/>
      <c r="V308" s="396"/>
      <c r="W308" s="396"/>
      <c r="X308" s="378"/>
      <c r="Y308" s="378"/>
      <c r="Z308" s="378"/>
      <c r="AA308" s="378"/>
      <c r="AB308" s="378"/>
      <c r="AC308" s="396"/>
      <c r="AD308" s="396"/>
      <c r="AE308" s="396"/>
      <c r="AF308" s="396"/>
      <c r="AG308" s="396"/>
      <c r="AH308" s="396"/>
      <c r="AI308" s="396"/>
      <c r="AJ308" s="396"/>
      <c r="AK308" s="396"/>
      <c r="AL308" s="396"/>
      <c r="AM308" s="396"/>
      <c r="AN308" s="396"/>
      <c r="AO308" s="396"/>
      <c r="AP308" s="396"/>
      <c r="AQ308" s="396"/>
      <c r="AR308" s="396"/>
      <c r="AS308" s="396"/>
      <c r="AT308" s="396"/>
    </row>
    <row r="309" spans="1:46" x14ac:dyDescent="0.25">
      <c r="A309" s="378"/>
      <c r="B309" s="396"/>
      <c r="C309" s="396"/>
      <c r="D309" s="396"/>
      <c r="E309" s="396"/>
      <c r="F309" s="396"/>
      <c r="G309" s="396"/>
      <c r="H309" s="396"/>
      <c r="I309" s="396"/>
      <c r="J309" s="396"/>
      <c r="K309" s="396"/>
      <c r="L309" s="396"/>
      <c r="M309" s="396"/>
      <c r="N309" s="396"/>
      <c r="O309" s="396"/>
      <c r="P309" s="396"/>
      <c r="Q309" s="396"/>
      <c r="R309" s="396"/>
      <c r="S309" s="396"/>
      <c r="T309" s="396"/>
      <c r="U309" s="396"/>
      <c r="V309" s="396"/>
      <c r="W309" s="396"/>
      <c r="X309" s="378"/>
      <c r="Y309" s="378"/>
      <c r="Z309" s="378"/>
      <c r="AA309" s="378"/>
      <c r="AB309" s="378"/>
      <c r="AC309" s="396"/>
      <c r="AD309" s="396"/>
      <c r="AE309" s="396"/>
      <c r="AF309" s="396"/>
      <c r="AG309" s="396"/>
      <c r="AH309" s="396"/>
      <c r="AI309" s="396"/>
      <c r="AJ309" s="396"/>
      <c r="AK309" s="396"/>
      <c r="AL309" s="396"/>
      <c r="AM309" s="396"/>
      <c r="AN309" s="396"/>
      <c r="AO309" s="396"/>
      <c r="AP309" s="396"/>
      <c r="AQ309" s="396"/>
      <c r="AR309" s="396"/>
      <c r="AS309" s="396"/>
      <c r="AT309" s="396"/>
    </row>
    <row r="310" spans="1:46" x14ac:dyDescent="0.25">
      <c r="A310" s="378"/>
      <c r="B310" s="396"/>
      <c r="C310" s="396"/>
      <c r="D310" s="396"/>
      <c r="E310" s="396"/>
      <c r="F310" s="396"/>
      <c r="G310" s="396"/>
      <c r="H310" s="396"/>
      <c r="I310" s="396"/>
      <c r="J310" s="396"/>
      <c r="K310" s="396"/>
      <c r="L310" s="396"/>
      <c r="M310" s="396"/>
      <c r="N310" s="396"/>
      <c r="O310" s="396"/>
      <c r="P310" s="396"/>
      <c r="Q310" s="396"/>
      <c r="R310" s="396"/>
      <c r="S310" s="396"/>
      <c r="T310" s="396"/>
      <c r="U310" s="396"/>
      <c r="V310" s="396"/>
      <c r="W310" s="396"/>
      <c r="X310" s="378"/>
      <c r="Y310" s="378"/>
      <c r="Z310" s="378"/>
      <c r="AA310" s="378"/>
      <c r="AB310" s="378"/>
      <c r="AC310" s="396"/>
      <c r="AD310" s="396"/>
      <c r="AE310" s="396"/>
      <c r="AF310" s="396"/>
      <c r="AG310" s="396"/>
      <c r="AH310" s="396"/>
      <c r="AI310" s="396"/>
      <c r="AJ310" s="396"/>
      <c r="AK310" s="396"/>
      <c r="AL310" s="396"/>
      <c r="AM310" s="396"/>
      <c r="AN310" s="396"/>
      <c r="AO310" s="396"/>
      <c r="AP310" s="396"/>
      <c r="AQ310" s="396"/>
      <c r="AR310" s="396"/>
      <c r="AS310" s="396"/>
      <c r="AT310" s="396"/>
    </row>
    <row r="311" spans="1:46" x14ac:dyDescent="0.25">
      <c r="A311" s="378"/>
      <c r="B311" s="396"/>
      <c r="C311" s="396"/>
      <c r="D311" s="396"/>
      <c r="E311" s="396"/>
      <c r="F311" s="396"/>
      <c r="G311" s="396"/>
      <c r="H311" s="396"/>
      <c r="I311" s="396"/>
      <c r="J311" s="396"/>
      <c r="K311" s="396"/>
      <c r="L311" s="396"/>
      <c r="M311" s="396"/>
      <c r="N311" s="396"/>
      <c r="O311" s="396"/>
      <c r="P311" s="396"/>
      <c r="Q311" s="396"/>
      <c r="R311" s="396"/>
      <c r="S311" s="396"/>
      <c r="T311" s="396"/>
      <c r="U311" s="396"/>
      <c r="V311" s="396"/>
      <c r="W311" s="396"/>
      <c r="X311" s="378"/>
      <c r="Y311" s="378"/>
      <c r="Z311" s="378"/>
      <c r="AA311" s="378"/>
      <c r="AB311" s="378"/>
      <c r="AC311" s="396"/>
      <c r="AD311" s="396"/>
      <c r="AE311" s="396"/>
      <c r="AF311" s="396"/>
      <c r="AG311" s="396"/>
      <c r="AH311" s="396"/>
      <c r="AI311" s="396"/>
      <c r="AJ311" s="396"/>
      <c r="AK311" s="396"/>
      <c r="AL311" s="396"/>
      <c r="AM311" s="396"/>
      <c r="AN311" s="396"/>
      <c r="AO311" s="396"/>
      <c r="AP311" s="396"/>
      <c r="AQ311" s="396"/>
      <c r="AR311" s="396"/>
      <c r="AS311" s="396"/>
      <c r="AT311" s="396"/>
    </row>
    <row r="312" spans="1:46" x14ac:dyDescent="0.25">
      <c r="A312" s="378"/>
      <c r="B312" s="396"/>
      <c r="C312" s="396"/>
      <c r="D312" s="396"/>
      <c r="E312" s="396"/>
      <c r="F312" s="396"/>
      <c r="G312" s="396"/>
      <c r="H312" s="396"/>
      <c r="I312" s="396"/>
      <c r="J312" s="396"/>
      <c r="K312" s="396"/>
      <c r="L312" s="396"/>
      <c r="M312" s="396"/>
      <c r="N312" s="396"/>
      <c r="O312" s="396"/>
      <c r="P312" s="396"/>
      <c r="Q312" s="396"/>
      <c r="R312" s="396"/>
      <c r="S312" s="396"/>
      <c r="T312" s="396"/>
      <c r="U312" s="396"/>
      <c r="V312" s="396"/>
      <c r="W312" s="396"/>
      <c r="X312" s="378"/>
      <c r="Y312" s="378"/>
      <c r="Z312" s="378"/>
      <c r="AA312" s="378"/>
      <c r="AB312" s="378"/>
      <c r="AC312" s="396"/>
      <c r="AD312" s="396"/>
      <c r="AE312" s="396"/>
      <c r="AF312" s="396"/>
      <c r="AG312" s="396"/>
      <c r="AH312" s="396"/>
      <c r="AI312" s="396"/>
      <c r="AJ312" s="396"/>
      <c r="AK312" s="396"/>
      <c r="AL312" s="396"/>
      <c r="AM312" s="396"/>
      <c r="AN312" s="396"/>
      <c r="AO312" s="396"/>
      <c r="AP312" s="396"/>
      <c r="AQ312" s="396"/>
      <c r="AR312" s="396"/>
      <c r="AS312" s="396"/>
      <c r="AT312" s="396"/>
    </row>
    <row r="313" spans="1:46" x14ac:dyDescent="0.25">
      <c r="A313" s="378"/>
      <c r="B313" s="396"/>
      <c r="C313" s="396"/>
      <c r="D313" s="396"/>
      <c r="E313" s="396"/>
      <c r="F313" s="396"/>
      <c r="G313" s="396"/>
      <c r="H313" s="396"/>
      <c r="I313" s="396"/>
      <c r="J313" s="396"/>
      <c r="K313" s="396"/>
      <c r="L313" s="396"/>
      <c r="M313" s="396"/>
      <c r="N313" s="396"/>
      <c r="O313" s="396"/>
      <c r="P313" s="396"/>
      <c r="Q313" s="396"/>
      <c r="R313" s="396"/>
      <c r="S313" s="396"/>
      <c r="T313" s="396"/>
      <c r="U313" s="396"/>
      <c r="V313" s="396"/>
      <c r="W313" s="396"/>
      <c r="X313" s="378"/>
      <c r="Y313" s="378"/>
      <c r="Z313" s="378"/>
      <c r="AA313" s="378"/>
      <c r="AB313" s="378"/>
      <c r="AC313" s="396"/>
      <c r="AD313" s="396"/>
      <c r="AE313" s="396"/>
      <c r="AF313" s="396"/>
      <c r="AG313" s="396"/>
      <c r="AH313" s="396"/>
      <c r="AI313" s="396"/>
      <c r="AJ313" s="396"/>
      <c r="AK313" s="396"/>
      <c r="AL313" s="396"/>
      <c r="AM313" s="396"/>
      <c r="AN313" s="396"/>
      <c r="AO313" s="396"/>
      <c r="AP313" s="396"/>
      <c r="AQ313" s="396"/>
      <c r="AR313" s="396"/>
      <c r="AS313" s="396"/>
      <c r="AT313" s="396"/>
    </row>
    <row r="314" spans="1:46" x14ac:dyDescent="0.25">
      <c r="A314" s="378"/>
      <c r="B314" s="396"/>
      <c r="C314" s="396"/>
      <c r="D314" s="396"/>
      <c r="E314" s="396"/>
      <c r="F314" s="396"/>
      <c r="G314" s="396"/>
      <c r="H314" s="396"/>
      <c r="I314" s="396"/>
      <c r="J314" s="396"/>
      <c r="K314" s="396"/>
      <c r="L314" s="396"/>
      <c r="M314" s="396"/>
      <c r="N314" s="396"/>
      <c r="O314" s="396"/>
      <c r="P314" s="396"/>
      <c r="Q314" s="396"/>
      <c r="R314" s="396"/>
      <c r="S314" s="396"/>
      <c r="T314" s="396"/>
      <c r="U314" s="396"/>
      <c r="V314" s="396"/>
      <c r="W314" s="396"/>
      <c r="X314" s="378"/>
      <c r="Y314" s="378"/>
      <c r="Z314" s="378"/>
      <c r="AA314" s="378"/>
      <c r="AB314" s="378"/>
      <c r="AC314" s="396"/>
      <c r="AD314" s="396"/>
      <c r="AE314" s="396"/>
      <c r="AF314" s="396"/>
      <c r="AG314" s="396"/>
      <c r="AH314" s="396"/>
      <c r="AI314" s="396"/>
      <c r="AJ314" s="396"/>
      <c r="AK314" s="396"/>
      <c r="AL314" s="396"/>
      <c r="AM314" s="396"/>
      <c r="AN314" s="396"/>
      <c r="AO314" s="396"/>
      <c r="AP314" s="396"/>
      <c r="AQ314" s="396"/>
      <c r="AR314" s="396"/>
      <c r="AS314" s="396"/>
      <c r="AT314" s="396"/>
    </row>
    <row r="315" spans="1:46" x14ac:dyDescent="0.25">
      <c r="A315" s="378"/>
      <c r="B315" s="396"/>
      <c r="C315" s="396"/>
      <c r="D315" s="396"/>
      <c r="E315" s="396"/>
      <c r="F315" s="396"/>
      <c r="G315" s="396"/>
      <c r="H315" s="396"/>
      <c r="I315" s="396"/>
      <c r="J315" s="396"/>
      <c r="K315" s="396"/>
      <c r="L315" s="396"/>
      <c r="M315" s="396"/>
      <c r="N315" s="396"/>
      <c r="O315" s="396"/>
      <c r="P315" s="396"/>
      <c r="Q315" s="396"/>
      <c r="R315" s="396"/>
      <c r="S315" s="396"/>
      <c r="T315" s="396"/>
      <c r="U315" s="396"/>
      <c r="V315" s="396"/>
      <c r="W315" s="396"/>
      <c r="X315" s="378"/>
      <c r="Y315" s="378"/>
      <c r="Z315" s="378"/>
      <c r="AA315" s="378"/>
      <c r="AB315" s="378"/>
      <c r="AC315" s="396"/>
      <c r="AD315" s="396"/>
      <c r="AE315" s="396"/>
      <c r="AF315" s="396"/>
      <c r="AG315" s="396"/>
      <c r="AH315" s="396"/>
      <c r="AI315" s="396"/>
      <c r="AJ315" s="396"/>
      <c r="AK315" s="396"/>
      <c r="AL315" s="396"/>
      <c r="AM315" s="396"/>
      <c r="AN315" s="396"/>
      <c r="AO315" s="396"/>
      <c r="AP315" s="396"/>
      <c r="AQ315" s="396"/>
      <c r="AR315" s="396"/>
      <c r="AS315" s="396"/>
      <c r="AT315" s="396"/>
    </row>
    <row r="316" spans="1:46" x14ac:dyDescent="0.25">
      <c r="A316" s="378"/>
      <c r="B316" s="396"/>
      <c r="C316" s="396"/>
      <c r="D316" s="396"/>
      <c r="E316" s="396"/>
      <c r="F316" s="396"/>
      <c r="G316" s="396"/>
      <c r="H316" s="396"/>
      <c r="I316" s="396"/>
      <c r="J316" s="396"/>
      <c r="K316" s="396"/>
      <c r="L316" s="396"/>
      <c r="M316" s="396"/>
      <c r="N316" s="396"/>
      <c r="O316" s="396"/>
      <c r="P316" s="396"/>
      <c r="Q316" s="396"/>
      <c r="R316" s="396"/>
      <c r="S316" s="396"/>
      <c r="T316" s="396"/>
      <c r="U316" s="396"/>
      <c r="V316" s="396"/>
      <c r="W316" s="396"/>
      <c r="X316" s="378"/>
      <c r="Y316" s="378"/>
      <c r="Z316" s="378"/>
      <c r="AA316" s="378"/>
      <c r="AB316" s="378"/>
      <c r="AC316" s="396"/>
      <c r="AD316" s="396"/>
      <c r="AE316" s="396"/>
      <c r="AF316" s="396"/>
      <c r="AG316" s="396"/>
      <c r="AH316" s="396"/>
      <c r="AI316" s="396"/>
      <c r="AJ316" s="396"/>
      <c r="AK316" s="396"/>
      <c r="AL316" s="396"/>
      <c r="AM316" s="396"/>
      <c r="AN316" s="396"/>
      <c r="AO316" s="396"/>
      <c r="AP316" s="396"/>
      <c r="AQ316" s="396"/>
      <c r="AR316" s="396"/>
      <c r="AS316" s="396"/>
      <c r="AT316" s="396"/>
    </row>
    <row r="317" spans="1:46" x14ac:dyDescent="0.25">
      <c r="A317" s="378"/>
      <c r="B317" s="396"/>
      <c r="C317" s="396"/>
      <c r="D317" s="396"/>
      <c r="E317" s="396"/>
      <c r="F317" s="396"/>
      <c r="G317" s="396"/>
      <c r="H317" s="396"/>
      <c r="I317" s="396"/>
      <c r="J317" s="396"/>
      <c r="K317" s="396"/>
      <c r="L317" s="396"/>
      <c r="M317" s="396"/>
      <c r="N317" s="396"/>
      <c r="O317" s="396"/>
      <c r="P317" s="396"/>
      <c r="Q317" s="396"/>
      <c r="R317" s="396"/>
      <c r="S317" s="396"/>
      <c r="T317" s="396"/>
      <c r="U317" s="396"/>
      <c r="V317" s="396"/>
      <c r="W317" s="396"/>
      <c r="X317" s="378"/>
      <c r="Y317" s="378"/>
      <c r="Z317" s="378"/>
      <c r="AA317" s="378"/>
      <c r="AB317" s="378"/>
      <c r="AC317" s="396"/>
      <c r="AD317" s="396"/>
      <c r="AE317" s="396"/>
      <c r="AF317" s="396"/>
      <c r="AG317" s="396"/>
      <c r="AH317" s="396"/>
      <c r="AI317" s="396"/>
      <c r="AJ317" s="396"/>
      <c r="AK317" s="396"/>
      <c r="AL317" s="396"/>
      <c r="AM317" s="396"/>
      <c r="AN317" s="396"/>
      <c r="AO317" s="396"/>
      <c r="AP317" s="396"/>
      <c r="AQ317" s="396"/>
      <c r="AR317" s="396"/>
      <c r="AS317" s="396"/>
      <c r="AT317" s="396"/>
    </row>
    <row r="318" spans="1:46" x14ac:dyDescent="0.25">
      <c r="A318" s="378"/>
      <c r="B318" s="396"/>
      <c r="C318" s="396"/>
      <c r="D318" s="396"/>
      <c r="E318" s="396"/>
      <c r="F318" s="396"/>
      <c r="G318" s="396"/>
      <c r="H318" s="396"/>
      <c r="I318" s="396"/>
      <c r="J318" s="396"/>
      <c r="K318" s="396"/>
      <c r="L318" s="396"/>
      <c r="M318" s="396"/>
      <c r="N318" s="396"/>
      <c r="O318" s="396"/>
      <c r="P318" s="396"/>
      <c r="Q318" s="396"/>
      <c r="R318" s="396"/>
      <c r="S318" s="396"/>
      <c r="T318" s="396"/>
      <c r="U318" s="396"/>
      <c r="V318" s="396"/>
      <c r="W318" s="396"/>
      <c r="X318" s="378"/>
      <c r="Y318" s="378"/>
      <c r="Z318" s="378"/>
      <c r="AA318" s="378"/>
      <c r="AB318" s="378"/>
      <c r="AC318" s="396"/>
      <c r="AD318" s="396"/>
      <c r="AE318" s="396"/>
      <c r="AF318" s="396"/>
      <c r="AG318" s="396"/>
      <c r="AH318" s="396"/>
      <c r="AI318" s="396"/>
      <c r="AJ318" s="396"/>
      <c r="AK318" s="396"/>
      <c r="AL318" s="396"/>
      <c r="AM318" s="396"/>
      <c r="AN318" s="396"/>
      <c r="AO318" s="396"/>
      <c r="AP318" s="396"/>
      <c r="AQ318" s="396"/>
      <c r="AR318" s="396"/>
      <c r="AS318" s="396"/>
      <c r="AT318" s="396"/>
    </row>
    <row r="319" spans="1:46" x14ac:dyDescent="0.25">
      <c r="A319" s="378"/>
      <c r="B319" s="396"/>
      <c r="C319" s="396"/>
      <c r="D319" s="396"/>
      <c r="E319" s="396"/>
      <c r="F319" s="396"/>
      <c r="G319" s="396"/>
      <c r="H319" s="396"/>
      <c r="I319" s="396"/>
      <c r="J319" s="396"/>
      <c r="K319" s="396"/>
      <c r="L319" s="396"/>
      <c r="M319" s="396"/>
      <c r="N319" s="396"/>
      <c r="O319" s="396"/>
      <c r="P319" s="396"/>
      <c r="Q319" s="396"/>
      <c r="R319" s="396"/>
      <c r="S319" s="396"/>
      <c r="T319" s="396"/>
      <c r="U319" s="396"/>
      <c r="V319" s="396"/>
      <c r="W319" s="396"/>
      <c r="X319" s="378"/>
      <c r="Y319" s="378"/>
      <c r="Z319" s="378"/>
      <c r="AA319" s="378"/>
      <c r="AB319" s="378"/>
      <c r="AC319" s="396"/>
      <c r="AD319" s="396"/>
      <c r="AE319" s="396"/>
      <c r="AF319" s="396"/>
      <c r="AG319" s="396"/>
      <c r="AH319" s="396"/>
      <c r="AI319" s="396"/>
      <c r="AJ319" s="396"/>
      <c r="AK319" s="396"/>
      <c r="AL319" s="396"/>
      <c r="AM319" s="396"/>
      <c r="AN319" s="396"/>
      <c r="AO319" s="396"/>
      <c r="AP319" s="396"/>
      <c r="AQ319" s="396"/>
      <c r="AR319" s="396"/>
      <c r="AS319" s="396"/>
      <c r="AT319" s="396"/>
    </row>
    <row r="320" spans="1:46" x14ac:dyDescent="0.25">
      <c r="A320" s="378"/>
      <c r="B320" s="396"/>
      <c r="C320" s="396"/>
      <c r="D320" s="396"/>
      <c r="E320" s="396"/>
      <c r="F320" s="396"/>
      <c r="G320" s="396"/>
      <c r="H320" s="396"/>
      <c r="I320" s="396"/>
      <c r="J320" s="396"/>
      <c r="K320" s="396"/>
      <c r="L320" s="396"/>
      <c r="M320" s="396"/>
      <c r="N320" s="396"/>
      <c r="O320" s="396"/>
      <c r="P320" s="396"/>
      <c r="Q320" s="396"/>
      <c r="R320" s="396"/>
      <c r="S320" s="396"/>
      <c r="T320" s="396"/>
      <c r="U320" s="396"/>
      <c r="V320" s="396"/>
      <c r="W320" s="396"/>
      <c r="X320" s="378"/>
      <c r="Y320" s="378"/>
      <c r="Z320" s="378"/>
      <c r="AA320" s="378"/>
      <c r="AB320" s="378"/>
      <c r="AC320" s="396"/>
      <c r="AD320" s="396"/>
      <c r="AE320" s="396"/>
      <c r="AF320" s="396"/>
      <c r="AG320" s="396"/>
      <c r="AH320" s="396"/>
      <c r="AI320" s="396"/>
      <c r="AJ320" s="396"/>
      <c r="AK320" s="396"/>
      <c r="AL320" s="396"/>
      <c r="AM320" s="396"/>
      <c r="AN320" s="396"/>
      <c r="AO320" s="396"/>
      <c r="AP320" s="396"/>
      <c r="AQ320" s="396"/>
      <c r="AR320" s="396"/>
      <c r="AS320" s="396"/>
      <c r="AT320" s="396"/>
    </row>
    <row r="321" spans="1:46" x14ac:dyDescent="0.25">
      <c r="A321" s="378"/>
      <c r="B321" s="396"/>
      <c r="C321" s="396"/>
      <c r="D321" s="396"/>
      <c r="E321" s="396"/>
      <c r="F321" s="396"/>
      <c r="G321" s="396"/>
      <c r="H321" s="396"/>
      <c r="I321" s="396"/>
      <c r="J321" s="396"/>
      <c r="K321" s="396"/>
      <c r="L321" s="396"/>
      <c r="M321" s="396"/>
      <c r="N321" s="396"/>
      <c r="O321" s="396"/>
      <c r="P321" s="396"/>
      <c r="Q321" s="396"/>
      <c r="R321" s="396"/>
      <c r="S321" s="396"/>
      <c r="T321" s="396"/>
      <c r="U321" s="396"/>
      <c r="V321" s="396"/>
      <c r="W321" s="396"/>
      <c r="X321" s="378"/>
      <c r="Y321" s="378"/>
      <c r="Z321" s="378"/>
      <c r="AA321" s="378"/>
      <c r="AB321" s="378"/>
      <c r="AC321" s="396"/>
      <c r="AD321" s="396"/>
      <c r="AE321" s="396"/>
      <c r="AF321" s="396"/>
      <c r="AG321" s="396"/>
      <c r="AH321" s="396"/>
      <c r="AI321" s="396"/>
      <c r="AJ321" s="396"/>
      <c r="AK321" s="396"/>
      <c r="AL321" s="396"/>
      <c r="AM321" s="396"/>
      <c r="AN321" s="396"/>
      <c r="AO321" s="396"/>
      <c r="AP321" s="396"/>
      <c r="AQ321" s="396"/>
      <c r="AR321" s="396"/>
      <c r="AS321" s="396"/>
      <c r="AT321" s="396"/>
    </row>
    <row r="322" spans="1:46" x14ac:dyDescent="0.25">
      <c r="A322" s="378"/>
      <c r="B322" s="396"/>
      <c r="C322" s="396"/>
      <c r="D322" s="396"/>
      <c r="E322" s="396"/>
      <c r="F322" s="396"/>
      <c r="G322" s="396"/>
      <c r="H322" s="396"/>
      <c r="I322" s="396"/>
      <c r="J322" s="396"/>
      <c r="K322" s="396"/>
      <c r="L322" s="396"/>
      <c r="M322" s="396"/>
      <c r="N322" s="396"/>
      <c r="O322" s="396"/>
      <c r="P322" s="396"/>
      <c r="Q322" s="396"/>
      <c r="R322" s="396"/>
      <c r="S322" s="396"/>
      <c r="T322" s="396"/>
      <c r="U322" s="396"/>
      <c r="V322" s="396"/>
      <c r="W322" s="396"/>
      <c r="X322" s="378"/>
      <c r="Y322" s="378"/>
      <c r="Z322" s="378"/>
      <c r="AA322" s="378"/>
      <c r="AB322" s="378"/>
      <c r="AC322" s="396"/>
      <c r="AD322" s="396"/>
      <c r="AE322" s="396"/>
      <c r="AF322" s="396"/>
      <c r="AG322" s="396"/>
      <c r="AH322" s="396"/>
      <c r="AI322" s="396"/>
      <c r="AJ322" s="396"/>
      <c r="AK322" s="396"/>
      <c r="AL322" s="396"/>
      <c r="AM322" s="396"/>
      <c r="AN322" s="396"/>
      <c r="AO322" s="396"/>
      <c r="AP322" s="396"/>
      <c r="AQ322" s="396"/>
      <c r="AR322" s="396"/>
      <c r="AS322" s="396"/>
      <c r="AT322" s="396"/>
    </row>
    <row r="323" spans="1:46" x14ac:dyDescent="0.25">
      <c r="A323" s="378"/>
      <c r="B323" s="396"/>
      <c r="C323" s="396"/>
      <c r="D323" s="396"/>
      <c r="E323" s="396"/>
      <c r="F323" s="396"/>
      <c r="G323" s="396"/>
      <c r="H323" s="396"/>
      <c r="I323" s="396"/>
      <c r="J323" s="396"/>
      <c r="K323" s="396"/>
      <c r="L323" s="396"/>
      <c r="M323" s="396"/>
      <c r="N323" s="396"/>
      <c r="O323" s="396"/>
      <c r="P323" s="396"/>
      <c r="Q323" s="396"/>
      <c r="R323" s="396"/>
      <c r="S323" s="396"/>
      <c r="T323" s="396"/>
      <c r="U323" s="396"/>
      <c r="V323" s="396"/>
      <c r="W323" s="396"/>
      <c r="X323" s="378"/>
      <c r="Y323" s="378"/>
      <c r="Z323" s="378"/>
      <c r="AA323" s="378"/>
      <c r="AB323" s="378"/>
      <c r="AC323" s="396"/>
      <c r="AD323" s="396"/>
      <c r="AE323" s="396"/>
      <c r="AF323" s="396"/>
      <c r="AG323" s="396"/>
      <c r="AH323" s="396"/>
      <c r="AI323" s="396"/>
      <c r="AJ323" s="396"/>
      <c r="AK323" s="396"/>
      <c r="AL323" s="396"/>
      <c r="AM323" s="396"/>
      <c r="AN323" s="396"/>
      <c r="AO323" s="396"/>
      <c r="AP323" s="396"/>
      <c r="AQ323" s="396"/>
      <c r="AR323" s="396"/>
      <c r="AS323" s="396"/>
      <c r="AT323" s="396"/>
    </row>
    <row r="324" spans="1:46" x14ac:dyDescent="0.25">
      <c r="A324" s="378"/>
      <c r="B324" s="396"/>
      <c r="C324" s="396"/>
      <c r="D324" s="396"/>
      <c r="E324" s="396"/>
      <c r="F324" s="396"/>
      <c r="G324" s="396"/>
      <c r="H324" s="396"/>
      <c r="I324" s="396"/>
      <c r="J324" s="396"/>
      <c r="K324" s="396"/>
      <c r="L324" s="396"/>
      <c r="M324" s="396"/>
      <c r="N324" s="396"/>
      <c r="O324" s="396"/>
      <c r="P324" s="396"/>
      <c r="Q324" s="396"/>
      <c r="R324" s="396"/>
      <c r="S324" s="396"/>
      <c r="T324" s="396"/>
      <c r="U324" s="396"/>
      <c r="V324" s="396"/>
      <c r="W324" s="396"/>
      <c r="X324" s="378"/>
      <c r="Y324" s="378"/>
      <c r="Z324" s="378"/>
      <c r="AA324" s="378"/>
      <c r="AB324" s="378"/>
      <c r="AC324" s="396"/>
      <c r="AD324" s="396"/>
      <c r="AE324" s="396"/>
      <c r="AF324" s="396"/>
      <c r="AG324" s="396"/>
      <c r="AH324" s="396"/>
      <c r="AI324" s="396"/>
      <c r="AJ324" s="396"/>
      <c r="AK324" s="396"/>
      <c r="AL324" s="396"/>
      <c r="AM324" s="396"/>
      <c r="AN324" s="396"/>
      <c r="AO324" s="396"/>
      <c r="AP324" s="396"/>
      <c r="AQ324" s="396"/>
      <c r="AR324" s="396"/>
      <c r="AS324" s="396"/>
      <c r="AT324" s="396"/>
    </row>
    <row r="325" spans="1:46" x14ac:dyDescent="0.25">
      <c r="A325" s="378"/>
      <c r="B325" s="396"/>
      <c r="C325" s="396"/>
      <c r="D325" s="396"/>
      <c r="E325" s="396"/>
      <c r="F325" s="396"/>
      <c r="G325" s="396"/>
      <c r="H325" s="396"/>
      <c r="I325" s="396"/>
      <c r="J325" s="396"/>
      <c r="K325" s="396"/>
      <c r="L325" s="396"/>
      <c r="M325" s="396"/>
      <c r="N325" s="396"/>
      <c r="O325" s="396"/>
      <c r="P325" s="396"/>
      <c r="Q325" s="396"/>
      <c r="R325" s="396"/>
      <c r="S325" s="396"/>
      <c r="T325" s="396"/>
      <c r="U325" s="396"/>
      <c r="V325" s="396"/>
      <c r="W325" s="396"/>
      <c r="X325" s="378"/>
      <c r="Y325" s="378"/>
      <c r="Z325" s="378"/>
      <c r="AA325" s="378"/>
      <c r="AB325" s="378"/>
      <c r="AC325" s="396"/>
      <c r="AD325" s="396"/>
      <c r="AE325" s="396"/>
      <c r="AF325" s="396"/>
      <c r="AG325" s="396"/>
      <c r="AH325" s="396"/>
      <c r="AI325" s="396"/>
      <c r="AJ325" s="396"/>
      <c r="AK325" s="396"/>
      <c r="AL325" s="396"/>
      <c r="AM325" s="396"/>
      <c r="AN325" s="396"/>
      <c r="AO325" s="396"/>
      <c r="AP325" s="396"/>
      <c r="AQ325" s="396"/>
      <c r="AR325" s="396"/>
      <c r="AS325" s="396"/>
      <c r="AT325" s="396"/>
    </row>
    <row r="326" spans="1:46" x14ac:dyDescent="0.25">
      <c r="A326" s="378"/>
      <c r="B326" s="396"/>
      <c r="C326" s="396"/>
      <c r="D326" s="396"/>
      <c r="E326" s="396"/>
      <c r="F326" s="396"/>
      <c r="G326" s="396"/>
      <c r="H326" s="396"/>
      <c r="I326" s="396"/>
      <c r="J326" s="396"/>
      <c r="K326" s="396"/>
      <c r="L326" s="396"/>
      <c r="M326" s="396"/>
      <c r="N326" s="396"/>
      <c r="O326" s="396"/>
      <c r="P326" s="396"/>
      <c r="Q326" s="396"/>
      <c r="R326" s="396"/>
      <c r="S326" s="396"/>
      <c r="T326" s="396"/>
      <c r="U326" s="396"/>
      <c r="V326" s="396"/>
      <c r="W326" s="396"/>
      <c r="X326" s="378"/>
      <c r="Y326" s="378"/>
      <c r="Z326" s="378"/>
      <c r="AA326" s="378"/>
      <c r="AB326" s="378"/>
      <c r="AC326" s="396"/>
      <c r="AD326" s="396"/>
      <c r="AE326" s="396"/>
      <c r="AF326" s="396"/>
      <c r="AG326" s="396"/>
      <c r="AH326" s="396"/>
      <c r="AI326" s="396"/>
      <c r="AJ326" s="396"/>
      <c r="AK326" s="396"/>
      <c r="AL326" s="396"/>
      <c r="AM326" s="396"/>
      <c r="AN326" s="396"/>
      <c r="AO326" s="396"/>
      <c r="AP326" s="396"/>
      <c r="AQ326" s="396"/>
      <c r="AR326" s="396"/>
      <c r="AS326" s="396"/>
      <c r="AT326" s="396"/>
    </row>
    <row r="327" spans="1:46" x14ac:dyDescent="0.25">
      <c r="A327" s="378"/>
      <c r="B327" s="396"/>
      <c r="C327" s="396"/>
      <c r="D327" s="396"/>
      <c r="E327" s="396"/>
      <c r="F327" s="396"/>
      <c r="G327" s="396"/>
      <c r="H327" s="396"/>
      <c r="I327" s="396"/>
      <c r="J327" s="396"/>
      <c r="K327" s="396"/>
      <c r="L327" s="396"/>
      <c r="M327" s="396"/>
      <c r="N327" s="396"/>
      <c r="O327" s="396"/>
      <c r="P327" s="396"/>
      <c r="Q327" s="396"/>
      <c r="R327" s="396"/>
      <c r="S327" s="396"/>
      <c r="T327" s="396"/>
      <c r="U327" s="396"/>
      <c r="V327" s="396"/>
      <c r="W327" s="396"/>
      <c r="X327" s="378"/>
      <c r="Y327" s="378"/>
      <c r="Z327" s="378"/>
      <c r="AA327" s="378"/>
      <c r="AB327" s="378"/>
      <c r="AC327" s="396"/>
      <c r="AD327" s="396"/>
      <c r="AE327" s="396"/>
      <c r="AF327" s="396"/>
      <c r="AG327" s="396"/>
      <c r="AH327" s="396"/>
      <c r="AI327" s="396"/>
      <c r="AJ327" s="396"/>
      <c r="AK327" s="396"/>
      <c r="AL327" s="396"/>
      <c r="AM327" s="396"/>
      <c r="AN327" s="396"/>
      <c r="AO327" s="396"/>
      <c r="AP327" s="396"/>
      <c r="AQ327" s="396"/>
      <c r="AR327" s="396"/>
      <c r="AS327" s="396"/>
      <c r="AT327" s="396"/>
    </row>
    <row r="328" spans="1:46" x14ac:dyDescent="0.25">
      <c r="A328" s="378"/>
      <c r="B328" s="396"/>
      <c r="C328" s="396"/>
      <c r="D328" s="396"/>
      <c r="E328" s="396"/>
      <c r="F328" s="396"/>
      <c r="G328" s="396"/>
      <c r="H328" s="396"/>
      <c r="I328" s="396"/>
      <c r="J328" s="396"/>
      <c r="K328" s="396"/>
      <c r="L328" s="396"/>
      <c r="M328" s="396"/>
      <c r="N328" s="396"/>
      <c r="O328" s="396"/>
      <c r="P328" s="396"/>
      <c r="Q328" s="396"/>
      <c r="R328" s="396"/>
      <c r="S328" s="396"/>
      <c r="T328" s="396"/>
      <c r="U328" s="396"/>
      <c r="V328" s="396"/>
      <c r="W328" s="396"/>
      <c r="X328" s="378"/>
      <c r="Y328" s="378"/>
      <c r="Z328" s="378"/>
      <c r="AA328" s="378"/>
      <c r="AB328" s="378"/>
      <c r="AC328" s="396"/>
      <c r="AD328" s="396"/>
      <c r="AE328" s="396"/>
      <c r="AF328" s="396"/>
      <c r="AG328" s="396"/>
      <c r="AH328" s="396"/>
      <c r="AI328" s="396"/>
      <c r="AJ328" s="396"/>
      <c r="AK328" s="396"/>
      <c r="AL328" s="396"/>
      <c r="AM328" s="396"/>
      <c r="AN328" s="396"/>
      <c r="AO328" s="396"/>
      <c r="AP328" s="396"/>
      <c r="AQ328" s="396"/>
      <c r="AR328" s="396"/>
      <c r="AS328" s="396"/>
      <c r="AT328" s="396"/>
    </row>
    <row r="329" spans="1:46" x14ac:dyDescent="0.25">
      <c r="A329" s="396"/>
      <c r="B329" s="396"/>
      <c r="C329" s="396"/>
      <c r="D329" s="396"/>
      <c r="E329" s="396"/>
      <c r="F329" s="396"/>
      <c r="G329" s="396"/>
      <c r="H329" s="396"/>
      <c r="I329" s="396"/>
      <c r="J329" s="396"/>
      <c r="K329" s="396"/>
      <c r="L329" s="396"/>
      <c r="M329" s="396"/>
      <c r="N329" s="396"/>
      <c r="O329" s="396"/>
      <c r="P329" s="396"/>
      <c r="Q329" s="396"/>
      <c r="R329" s="396"/>
      <c r="S329" s="396"/>
      <c r="T329" s="396"/>
      <c r="U329" s="396"/>
      <c r="V329" s="396"/>
      <c r="W329" s="396"/>
      <c r="X329" s="1614"/>
      <c r="Y329" s="1614"/>
      <c r="Z329" s="1614"/>
      <c r="AA329" s="1614"/>
      <c r="AB329" s="1614"/>
      <c r="AC329" s="396"/>
      <c r="AD329" s="396"/>
      <c r="AE329" s="396"/>
      <c r="AF329" s="396"/>
      <c r="AG329" s="396"/>
      <c r="AH329" s="396"/>
      <c r="AI329" s="396"/>
      <c r="AJ329" s="396"/>
      <c r="AK329" s="396"/>
      <c r="AL329" s="396"/>
      <c r="AM329" s="396"/>
      <c r="AN329" s="396"/>
      <c r="AO329" s="396"/>
      <c r="AP329" s="396"/>
      <c r="AQ329" s="396"/>
      <c r="AR329" s="396"/>
      <c r="AS329" s="396"/>
      <c r="AT329" s="396"/>
    </row>
    <row r="330" spans="1:46" x14ac:dyDescent="0.25">
      <c r="A330" s="396"/>
      <c r="B330" s="396"/>
      <c r="C330" s="396"/>
      <c r="D330" s="396"/>
      <c r="E330" s="396"/>
      <c r="F330" s="396"/>
      <c r="G330" s="396"/>
      <c r="H330" s="396"/>
      <c r="I330" s="396"/>
      <c r="J330" s="396"/>
      <c r="K330" s="396"/>
      <c r="L330" s="396"/>
      <c r="M330" s="396"/>
      <c r="N330" s="396"/>
      <c r="O330" s="396"/>
      <c r="P330" s="396"/>
      <c r="Q330" s="396"/>
      <c r="R330" s="396"/>
      <c r="S330" s="396"/>
      <c r="T330" s="396"/>
      <c r="U330" s="396"/>
      <c r="V330" s="396"/>
      <c r="W330" s="396"/>
      <c r="X330" s="1614"/>
      <c r="Y330" s="1614"/>
      <c r="Z330" s="1614"/>
      <c r="AA330" s="1614"/>
      <c r="AB330" s="1614"/>
      <c r="AC330" s="396"/>
      <c r="AD330" s="396"/>
      <c r="AE330" s="396"/>
      <c r="AF330" s="396"/>
      <c r="AG330" s="396"/>
      <c r="AH330" s="396"/>
      <c r="AI330" s="396"/>
      <c r="AJ330" s="396"/>
      <c r="AK330" s="396"/>
      <c r="AL330" s="396"/>
      <c r="AM330" s="396"/>
      <c r="AN330" s="396"/>
      <c r="AO330" s="396"/>
      <c r="AP330" s="396"/>
      <c r="AQ330" s="396"/>
      <c r="AR330" s="396"/>
      <c r="AS330" s="396"/>
      <c r="AT330" s="396"/>
    </row>
    <row r="331" spans="1:46" x14ac:dyDescent="0.25">
      <c r="A331" s="396"/>
      <c r="B331" s="396"/>
      <c r="C331" s="396"/>
      <c r="D331" s="396"/>
      <c r="E331" s="396"/>
      <c r="F331" s="396"/>
      <c r="G331" s="396"/>
      <c r="H331" s="396"/>
      <c r="I331" s="396"/>
      <c r="J331" s="396"/>
      <c r="K331" s="396"/>
      <c r="L331" s="396"/>
      <c r="M331" s="396"/>
      <c r="N331" s="396"/>
      <c r="O331" s="396"/>
      <c r="P331" s="396"/>
      <c r="Q331" s="396"/>
      <c r="R331" s="396"/>
      <c r="S331" s="396"/>
      <c r="T331" s="396"/>
      <c r="U331" s="396"/>
      <c r="V331" s="396"/>
      <c r="W331" s="396"/>
      <c r="X331" s="1614"/>
      <c r="Y331" s="1614"/>
      <c r="Z331" s="1614"/>
      <c r="AA331" s="1614"/>
      <c r="AB331" s="1614"/>
      <c r="AC331" s="396"/>
      <c r="AD331" s="396"/>
      <c r="AE331" s="396"/>
      <c r="AF331" s="396"/>
      <c r="AG331" s="396"/>
      <c r="AH331" s="396"/>
      <c r="AI331" s="396"/>
      <c r="AJ331" s="396"/>
      <c r="AK331" s="396"/>
      <c r="AL331" s="396"/>
      <c r="AM331" s="396"/>
      <c r="AN331" s="396"/>
      <c r="AO331" s="396"/>
      <c r="AP331" s="396"/>
      <c r="AQ331" s="396"/>
      <c r="AR331" s="396"/>
      <c r="AS331" s="396"/>
      <c r="AT331" s="396"/>
    </row>
    <row r="332" spans="1:46" x14ac:dyDescent="0.25">
      <c r="A332" s="396"/>
      <c r="B332" s="396"/>
      <c r="C332" s="396"/>
      <c r="D332" s="396"/>
      <c r="E332" s="396"/>
      <c r="F332" s="396"/>
      <c r="G332" s="396"/>
      <c r="H332" s="396"/>
      <c r="I332" s="396"/>
      <c r="J332" s="396"/>
      <c r="K332" s="396"/>
      <c r="L332" s="396"/>
      <c r="M332" s="396"/>
      <c r="N332" s="396"/>
      <c r="O332" s="396"/>
      <c r="P332" s="396"/>
      <c r="Q332" s="396"/>
      <c r="R332" s="396"/>
      <c r="S332" s="396"/>
      <c r="T332" s="396"/>
      <c r="U332" s="396"/>
      <c r="V332" s="396"/>
      <c r="W332" s="396"/>
      <c r="X332" s="1614"/>
      <c r="Y332" s="1614"/>
      <c r="Z332" s="1614"/>
      <c r="AA332" s="1614"/>
      <c r="AB332" s="1614"/>
      <c r="AC332" s="396"/>
      <c r="AD332" s="396"/>
      <c r="AE332" s="396"/>
      <c r="AF332" s="396"/>
      <c r="AG332" s="396"/>
      <c r="AH332" s="396"/>
      <c r="AI332" s="396"/>
      <c r="AJ332" s="396"/>
      <c r="AK332" s="396"/>
      <c r="AL332" s="396"/>
      <c r="AM332" s="396"/>
      <c r="AN332" s="396"/>
      <c r="AO332" s="396"/>
      <c r="AP332" s="396"/>
      <c r="AQ332" s="396"/>
      <c r="AR332" s="396"/>
      <c r="AS332" s="396"/>
      <c r="AT332" s="396"/>
    </row>
    <row r="333" spans="1:46" x14ac:dyDescent="0.25">
      <c r="A333" s="396"/>
      <c r="B333" s="396"/>
      <c r="C333" s="396"/>
      <c r="D333" s="396"/>
      <c r="E333" s="396"/>
      <c r="F333" s="396"/>
      <c r="G333" s="396"/>
      <c r="H333" s="396"/>
      <c r="I333" s="396"/>
      <c r="J333" s="396"/>
      <c r="K333" s="396"/>
      <c r="L333" s="396"/>
      <c r="M333" s="396"/>
      <c r="N333" s="396"/>
      <c r="O333" s="396"/>
      <c r="P333" s="396"/>
      <c r="Q333" s="396"/>
      <c r="R333" s="396"/>
      <c r="S333" s="396"/>
      <c r="T333" s="396"/>
      <c r="U333" s="396"/>
      <c r="V333" s="396"/>
      <c r="W333" s="396"/>
      <c r="X333" s="1614"/>
      <c r="Y333" s="1614"/>
      <c r="Z333" s="1614"/>
      <c r="AA333" s="1614"/>
      <c r="AB333" s="1614"/>
      <c r="AC333" s="396"/>
      <c r="AD333" s="396"/>
      <c r="AE333" s="396"/>
      <c r="AF333" s="396"/>
      <c r="AG333" s="396"/>
      <c r="AH333" s="396"/>
      <c r="AI333" s="396"/>
      <c r="AJ333" s="396"/>
      <c r="AK333" s="396"/>
      <c r="AL333" s="396"/>
      <c r="AM333" s="396"/>
      <c r="AN333" s="396"/>
      <c r="AO333" s="396"/>
      <c r="AP333" s="396"/>
      <c r="AQ333" s="396"/>
      <c r="AR333" s="396"/>
      <c r="AS333" s="396"/>
      <c r="AT333" s="396"/>
    </row>
    <row r="334" spans="1:46" x14ac:dyDescent="0.25">
      <c r="A334" s="396"/>
      <c r="B334" s="396"/>
      <c r="C334" s="396"/>
      <c r="D334" s="396"/>
      <c r="E334" s="396"/>
      <c r="F334" s="396"/>
      <c r="G334" s="396"/>
      <c r="H334" s="396"/>
      <c r="I334" s="396"/>
      <c r="J334" s="396"/>
      <c r="K334" s="396"/>
      <c r="L334" s="396"/>
      <c r="M334" s="396"/>
      <c r="N334" s="396"/>
      <c r="O334" s="396"/>
      <c r="P334" s="396"/>
      <c r="Q334" s="396"/>
      <c r="R334" s="396"/>
      <c r="S334" s="396"/>
      <c r="T334" s="396"/>
      <c r="U334" s="396"/>
      <c r="V334" s="396"/>
      <c r="W334" s="396"/>
      <c r="X334" s="1614"/>
      <c r="Y334" s="1614"/>
      <c r="Z334" s="1614"/>
      <c r="AA334" s="1614"/>
      <c r="AB334" s="1614"/>
      <c r="AC334" s="396"/>
      <c r="AD334" s="396"/>
      <c r="AE334" s="396"/>
      <c r="AF334" s="396"/>
      <c r="AG334" s="396"/>
      <c r="AH334" s="396"/>
      <c r="AI334" s="396"/>
      <c r="AJ334" s="396"/>
      <c r="AK334" s="396"/>
      <c r="AL334" s="396"/>
      <c r="AM334" s="396"/>
      <c r="AN334" s="396"/>
      <c r="AO334" s="396"/>
      <c r="AP334" s="396"/>
      <c r="AQ334" s="396"/>
      <c r="AR334" s="396"/>
      <c r="AS334" s="396"/>
      <c r="AT334" s="396"/>
    </row>
    <row r="335" spans="1:46" x14ac:dyDescent="0.25">
      <c r="A335" s="396"/>
      <c r="B335" s="396"/>
      <c r="C335" s="396"/>
      <c r="D335" s="396"/>
      <c r="E335" s="396"/>
      <c r="F335" s="396"/>
      <c r="G335" s="396"/>
      <c r="H335" s="396"/>
      <c r="I335" s="396"/>
      <c r="J335" s="396"/>
      <c r="K335" s="396"/>
      <c r="L335" s="396"/>
      <c r="M335" s="396"/>
      <c r="N335" s="396"/>
      <c r="O335" s="396"/>
      <c r="P335" s="396"/>
      <c r="Q335" s="396"/>
      <c r="R335" s="396"/>
      <c r="S335" s="396"/>
      <c r="T335" s="396"/>
      <c r="U335" s="396"/>
      <c r="V335" s="396"/>
      <c r="W335" s="396"/>
      <c r="X335" s="1614"/>
      <c r="Y335" s="1614"/>
      <c r="Z335" s="1614"/>
      <c r="AA335" s="1614"/>
      <c r="AB335" s="1614"/>
      <c r="AC335" s="396"/>
      <c r="AD335" s="396"/>
      <c r="AE335" s="396"/>
      <c r="AF335" s="396"/>
      <c r="AG335" s="396"/>
      <c r="AH335" s="396"/>
      <c r="AI335" s="396"/>
      <c r="AJ335" s="396"/>
      <c r="AK335" s="396"/>
      <c r="AL335" s="396"/>
      <c r="AM335" s="396"/>
      <c r="AN335" s="396"/>
      <c r="AO335" s="396"/>
      <c r="AP335" s="396"/>
      <c r="AQ335" s="396"/>
      <c r="AR335" s="396"/>
      <c r="AS335" s="396"/>
      <c r="AT335" s="396"/>
    </row>
    <row r="336" spans="1:46" x14ac:dyDescent="0.25">
      <c r="A336" s="396"/>
      <c r="B336" s="396"/>
      <c r="C336" s="396"/>
      <c r="D336" s="396"/>
      <c r="E336" s="396"/>
      <c r="F336" s="396"/>
      <c r="G336" s="396"/>
      <c r="H336" s="396"/>
      <c r="I336" s="396"/>
      <c r="J336" s="396"/>
      <c r="K336" s="396"/>
      <c r="L336" s="396"/>
      <c r="M336" s="396"/>
      <c r="N336" s="396"/>
      <c r="O336" s="396"/>
      <c r="P336" s="396"/>
      <c r="Q336" s="396"/>
      <c r="R336" s="396"/>
      <c r="S336" s="396"/>
      <c r="T336" s="396"/>
      <c r="U336" s="396"/>
      <c r="V336" s="396"/>
      <c r="W336" s="396"/>
      <c r="X336" s="1614"/>
      <c r="Y336" s="1614"/>
      <c r="Z336" s="1614"/>
      <c r="AA336" s="1614"/>
      <c r="AB336" s="1614"/>
      <c r="AC336" s="396"/>
      <c r="AD336" s="396"/>
      <c r="AE336" s="396"/>
      <c r="AF336" s="396"/>
      <c r="AG336" s="396"/>
      <c r="AH336" s="396"/>
      <c r="AI336" s="396"/>
      <c r="AJ336" s="396"/>
      <c r="AK336" s="396"/>
      <c r="AL336" s="396"/>
      <c r="AM336" s="396"/>
      <c r="AN336" s="396"/>
      <c r="AO336" s="396"/>
      <c r="AP336" s="396"/>
      <c r="AQ336" s="396"/>
      <c r="AR336" s="396"/>
      <c r="AS336" s="396"/>
      <c r="AT336" s="396"/>
    </row>
    <row r="337" spans="1:46" x14ac:dyDescent="0.25">
      <c r="A337" s="396"/>
      <c r="B337" s="396"/>
      <c r="C337" s="396"/>
      <c r="D337" s="396"/>
      <c r="E337" s="396"/>
      <c r="F337" s="396"/>
      <c r="G337" s="396"/>
      <c r="H337" s="396"/>
      <c r="I337" s="396"/>
      <c r="J337" s="396"/>
      <c r="K337" s="396"/>
      <c r="L337" s="396"/>
      <c r="M337" s="396"/>
      <c r="N337" s="396"/>
      <c r="O337" s="396"/>
      <c r="P337" s="396"/>
      <c r="Q337" s="396"/>
      <c r="R337" s="396"/>
      <c r="S337" s="396"/>
      <c r="T337" s="396"/>
      <c r="U337" s="396"/>
      <c r="V337" s="396"/>
      <c r="W337" s="396"/>
      <c r="X337" s="1614"/>
      <c r="Y337" s="1614"/>
      <c r="Z337" s="1614"/>
      <c r="AA337" s="1614"/>
      <c r="AB337" s="1614"/>
      <c r="AC337" s="396"/>
      <c r="AD337" s="396"/>
      <c r="AE337" s="396"/>
      <c r="AF337" s="396"/>
      <c r="AG337" s="396"/>
      <c r="AH337" s="396"/>
      <c r="AI337" s="396"/>
      <c r="AJ337" s="396"/>
      <c r="AK337" s="396"/>
      <c r="AL337" s="396"/>
      <c r="AM337" s="396"/>
      <c r="AN337" s="396"/>
      <c r="AO337" s="396"/>
      <c r="AP337" s="396"/>
      <c r="AQ337" s="396"/>
      <c r="AR337" s="396"/>
      <c r="AS337" s="396"/>
      <c r="AT337" s="396"/>
    </row>
    <row r="338" spans="1:46" x14ac:dyDescent="0.25">
      <c r="A338" s="396"/>
      <c r="B338" s="396"/>
      <c r="C338" s="396"/>
      <c r="D338" s="396"/>
      <c r="E338" s="396"/>
      <c r="F338" s="396"/>
      <c r="G338" s="396"/>
      <c r="H338" s="396"/>
      <c r="I338" s="396"/>
      <c r="J338" s="396"/>
      <c r="K338" s="396"/>
      <c r="L338" s="396"/>
      <c r="M338" s="396"/>
      <c r="N338" s="396"/>
      <c r="O338" s="396"/>
      <c r="P338" s="396"/>
      <c r="Q338" s="396"/>
      <c r="R338" s="396"/>
      <c r="S338" s="396"/>
      <c r="T338" s="396"/>
      <c r="U338" s="396"/>
      <c r="V338" s="396"/>
      <c r="W338" s="396"/>
      <c r="X338" s="1614"/>
      <c r="Y338" s="1614"/>
      <c r="Z338" s="1614"/>
      <c r="AA338" s="1614"/>
      <c r="AB338" s="1614"/>
      <c r="AC338" s="396"/>
      <c r="AD338" s="396"/>
      <c r="AE338" s="396"/>
      <c r="AF338" s="396"/>
      <c r="AG338" s="396"/>
      <c r="AH338" s="396"/>
      <c r="AI338" s="396"/>
      <c r="AJ338" s="396"/>
      <c r="AK338" s="396"/>
      <c r="AL338" s="396"/>
      <c r="AM338" s="396"/>
      <c r="AN338" s="396"/>
      <c r="AO338" s="396"/>
      <c r="AP338" s="396"/>
      <c r="AQ338" s="396"/>
      <c r="AR338" s="396"/>
      <c r="AS338" s="396"/>
      <c r="AT338" s="396"/>
    </row>
    <row r="339" spans="1:46" x14ac:dyDescent="0.25">
      <c r="A339" s="396"/>
      <c r="B339" s="396"/>
      <c r="C339" s="396"/>
      <c r="D339" s="396"/>
      <c r="E339" s="396"/>
      <c r="F339" s="396"/>
      <c r="G339" s="396"/>
      <c r="H339" s="396"/>
      <c r="I339" s="396"/>
      <c r="J339" s="396"/>
      <c r="K339" s="396"/>
      <c r="L339" s="396"/>
      <c r="M339" s="396"/>
      <c r="N339" s="396"/>
      <c r="O339" s="396"/>
      <c r="P339" s="396"/>
      <c r="Q339" s="396"/>
      <c r="R339" s="396"/>
      <c r="S339" s="396"/>
      <c r="T339" s="396"/>
      <c r="U339" s="396"/>
      <c r="V339" s="396"/>
      <c r="W339" s="396"/>
      <c r="X339" s="1614"/>
      <c r="Y339" s="1614"/>
      <c r="Z339" s="1614"/>
      <c r="AA339" s="1614"/>
      <c r="AB339" s="1614"/>
      <c r="AC339" s="396"/>
      <c r="AD339" s="396"/>
      <c r="AE339" s="396"/>
      <c r="AF339" s="396"/>
      <c r="AG339" s="396"/>
      <c r="AH339" s="396"/>
      <c r="AI339" s="396"/>
      <c r="AJ339" s="396"/>
      <c r="AK339" s="396"/>
      <c r="AL339" s="396"/>
      <c r="AM339" s="396"/>
      <c r="AN339" s="396"/>
      <c r="AO339" s="396"/>
      <c r="AP339" s="396"/>
      <c r="AQ339" s="396"/>
      <c r="AR339" s="396"/>
      <c r="AS339" s="396"/>
      <c r="AT339" s="396"/>
    </row>
    <row r="340" spans="1:46" x14ac:dyDescent="0.25">
      <c r="A340" s="396"/>
      <c r="B340" s="396"/>
      <c r="C340" s="396"/>
      <c r="D340" s="396"/>
      <c r="E340" s="396"/>
      <c r="F340" s="396"/>
      <c r="G340" s="396"/>
      <c r="H340" s="396"/>
      <c r="I340" s="396"/>
      <c r="J340" s="396"/>
      <c r="K340" s="396"/>
      <c r="L340" s="396"/>
      <c r="M340" s="396"/>
      <c r="N340" s="396"/>
      <c r="O340" s="396"/>
      <c r="P340" s="396"/>
      <c r="Q340" s="396"/>
      <c r="R340" s="396"/>
      <c r="S340" s="396"/>
      <c r="T340" s="396"/>
      <c r="U340" s="396"/>
      <c r="V340" s="396"/>
      <c r="W340" s="396"/>
      <c r="X340" s="1614"/>
      <c r="Y340" s="1614"/>
      <c r="Z340" s="1614"/>
      <c r="AA340" s="1614"/>
      <c r="AB340" s="1614"/>
      <c r="AC340" s="396"/>
      <c r="AD340" s="396"/>
      <c r="AE340" s="396"/>
      <c r="AF340" s="396"/>
      <c r="AG340" s="396"/>
      <c r="AH340" s="396"/>
      <c r="AI340" s="396"/>
      <c r="AJ340" s="396"/>
      <c r="AK340" s="396"/>
      <c r="AL340" s="396"/>
      <c r="AM340" s="396"/>
      <c r="AN340" s="396"/>
      <c r="AO340" s="396"/>
      <c r="AP340" s="396"/>
      <c r="AQ340" s="396"/>
      <c r="AR340" s="396"/>
      <c r="AS340" s="396"/>
      <c r="AT340" s="396"/>
    </row>
    <row r="341" spans="1:46" x14ac:dyDescent="0.25">
      <c r="A341" s="396"/>
      <c r="B341" s="396"/>
      <c r="C341" s="396"/>
      <c r="D341" s="396"/>
      <c r="E341" s="396"/>
      <c r="F341" s="396"/>
      <c r="G341" s="396"/>
      <c r="H341" s="396"/>
      <c r="I341" s="396"/>
      <c r="J341" s="396"/>
      <c r="K341" s="396"/>
      <c r="L341" s="396"/>
      <c r="M341" s="396"/>
      <c r="N341" s="396"/>
      <c r="O341" s="396"/>
      <c r="P341" s="396"/>
      <c r="Q341" s="396"/>
      <c r="R341" s="396"/>
      <c r="S341" s="396"/>
      <c r="T341" s="396"/>
      <c r="U341" s="396"/>
      <c r="V341" s="396"/>
      <c r="W341" s="396"/>
      <c r="X341" s="1614"/>
      <c r="Y341" s="1614"/>
      <c r="Z341" s="1614"/>
      <c r="AA341" s="1614"/>
      <c r="AB341" s="1614"/>
      <c r="AC341" s="396"/>
      <c r="AD341" s="396"/>
      <c r="AE341" s="396"/>
      <c r="AF341" s="396"/>
      <c r="AG341" s="396"/>
      <c r="AH341" s="396"/>
      <c r="AI341" s="396"/>
      <c r="AJ341" s="396"/>
      <c r="AK341" s="396"/>
      <c r="AL341" s="396"/>
      <c r="AM341" s="396"/>
      <c r="AN341" s="396"/>
      <c r="AO341" s="396"/>
      <c r="AP341" s="396"/>
      <c r="AQ341" s="396"/>
      <c r="AR341" s="396"/>
      <c r="AS341" s="396"/>
      <c r="AT341" s="396"/>
    </row>
    <row r="342" spans="1:46" x14ac:dyDescent="0.25">
      <c r="A342" s="396"/>
      <c r="B342" s="396"/>
      <c r="C342" s="396"/>
      <c r="D342" s="396"/>
      <c r="E342" s="396"/>
      <c r="F342" s="396"/>
      <c r="G342" s="396"/>
      <c r="H342" s="396"/>
      <c r="I342" s="396"/>
      <c r="J342" s="396"/>
      <c r="K342" s="396"/>
      <c r="L342" s="396"/>
      <c r="M342" s="396"/>
      <c r="N342" s="396"/>
      <c r="O342" s="396"/>
      <c r="P342" s="396"/>
      <c r="Q342" s="396"/>
      <c r="R342" s="396"/>
      <c r="S342" s="396"/>
      <c r="T342" s="396"/>
      <c r="U342" s="396"/>
      <c r="V342" s="396"/>
      <c r="W342" s="396"/>
      <c r="X342" s="1614"/>
      <c r="Y342" s="1614"/>
      <c r="Z342" s="1614"/>
      <c r="AA342" s="1614"/>
      <c r="AB342" s="1614"/>
      <c r="AC342" s="396"/>
      <c r="AD342" s="396"/>
      <c r="AE342" s="396"/>
      <c r="AF342" s="396"/>
      <c r="AG342" s="396"/>
      <c r="AH342" s="396"/>
      <c r="AI342" s="396"/>
      <c r="AJ342" s="396"/>
      <c r="AK342" s="396"/>
      <c r="AL342" s="396"/>
      <c r="AM342" s="396"/>
      <c r="AN342" s="396"/>
      <c r="AO342" s="396"/>
      <c r="AP342" s="396"/>
      <c r="AQ342" s="396"/>
      <c r="AR342" s="396"/>
      <c r="AS342" s="396"/>
      <c r="AT342" s="396"/>
    </row>
    <row r="343" spans="1:46" x14ac:dyDescent="0.25">
      <c r="A343" s="396"/>
      <c r="B343" s="396"/>
      <c r="C343" s="396"/>
      <c r="D343" s="396"/>
      <c r="E343" s="396"/>
      <c r="F343" s="396"/>
      <c r="G343" s="396"/>
      <c r="H343" s="396"/>
      <c r="I343" s="396"/>
      <c r="J343" s="396"/>
      <c r="K343" s="396"/>
      <c r="L343" s="396"/>
      <c r="M343" s="396"/>
      <c r="N343" s="396"/>
      <c r="O343" s="396"/>
      <c r="P343" s="396"/>
      <c r="Q343" s="396"/>
      <c r="R343" s="396"/>
      <c r="S343" s="396"/>
      <c r="T343" s="396"/>
      <c r="U343" s="396"/>
      <c r="V343" s="396"/>
      <c r="W343" s="396"/>
      <c r="X343" s="1614"/>
      <c r="Y343" s="1614"/>
      <c r="Z343" s="1614"/>
      <c r="AA343" s="1614"/>
      <c r="AB343" s="1614"/>
      <c r="AC343" s="396"/>
      <c r="AD343" s="396"/>
      <c r="AE343" s="396"/>
      <c r="AF343" s="396"/>
      <c r="AG343" s="396"/>
      <c r="AH343" s="396"/>
      <c r="AI343" s="396"/>
      <c r="AJ343" s="396"/>
      <c r="AK343" s="396"/>
      <c r="AL343" s="396"/>
      <c r="AM343" s="396"/>
      <c r="AN343" s="396"/>
      <c r="AO343" s="396"/>
      <c r="AP343" s="396"/>
      <c r="AQ343" s="396"/>
      <c r="AR343" s="396"/>
      <c r="AS343" s="396"/>
      <c r="AT343" s="396"/>
    </row>
    <row r="344" spans="1:46" x14ac:dyDescent="0.25">
      <c r="A344" s="396"/>
      <c r="B344" s="396"/>
      <c r="C344" s="396"/>
      <c r="D344" s="396"/>
      <c r="E344" s="396"/>
      <c r="F344" s="396"/>
      <c r="G344" s="396"/>
      <c r="H344" s="396"/>
      <c r="I344" s="396"/>
      <c r="J344" s="396"/>
      <c r="K344" s="396"/>
      <c r="L344" s="396"/>
      <c r="M344" s="396"/>
      <c r="N344" s="396"/>
      <c r="O344" s="396"/>
      <c r="P344" s="396"/>
      <c r="Q344" s="396"/>
      <c r="R344" s="396"/>
      <c r="S344" s="396"/>
      <c r="T344" s="396"/>
      <c r="U344" s="396"/>
      <c r="V344" s="396"/>
      <c r="W344" s="396"/>
      <c r="X344" s="1614"/>
      <c r="Y344" s="1614"/>
      <c r="Z344" s="1614"/>
      <c r="AA344" s="1614"/>
      <c r="AB344" s="1614"/>
      <c r="AC344" s="396"/>
      <c r="AD344" s="396"/>
      <c r="AE344" s="396"/>
      <c r="AF344" s="396"/>
      <c r="AG344" s="396"/>
      <c r="AH344" s="396"/>
      <c r="AI344" s="396"/>
      <c r="AJ344" s="396"/>
      <c r="AK344" s="396"/>
      <c r="AL344" s="396"/>
      <c r="AM344" s="396"/>
      <c r="AN344" s="396"/>
      <c r="AO344" s="396"/>
      <c r="AP344" s="396"/>
      <c r="AQ344" s="396"/>
      <c r="AR344" s="396"/>
      <c r="AS344" s="396"/>
      <c r="AT344" s="396"/>
    </row>
    <row r="345" spans="1:46" x14ac:dyDescent="0.25">
      <c r="A345" s="396"/>
      <c r="B345" s="396"/>
      <c r="C345" s="396"/>
      <c r="D345" s="396"/>
      <c r="E345" s="396"/>
      <c r="F345" s="396"/>
      <c r="G345" s="396"/>
      <c r="H345" s="396"/>
      <c r="I345" s="396"/>
      <c r="J345" s="396"/>
      <c r="K345" s="396"/>
      <c r="L345" s="396"/>
      <c r="M345" s="396"/>
      <c r="N345" s="396"/>
      <c r="O345" s="396"/>
      <c r="P345" s="396"/>
      <c r="Q345" s="396"/>
      <c r="R345" s="396"/>
      <c r="S345" s="396"/>
      <c r="T345" s="396"/>
      <c r="U345" s="396"/>
      <c r="V345" s="396"/>
      <c r="W345" s="396"/>
      <c r="X345" s="1614"/>
      <c r="Y345" s="1614"/>
      <c r="Z345" s="1614"/>
      <c r="AA345" s="1614"/>
      <c r="AB345" s="1614"/>
      <c r="AC345" s="396"/>
      <c r="AD345" s="396"/>
      <c r="AE345" s="396"/>
      <c r="AF345" s="396"/>
      <c r="AG345" s="396"/>
      <c r="AH345" s="396"/>
      <c r="AI345" s="396"/>
      <c r="AJ345" s="396"/>
      <c r="AK345" s="396"/>
      <c r="AL345" s="396"/>
      <c r="AM345" s="396"/>
      <c r="AN345" s="396"/>
      <c r="AO345" s="396"/>
      <c r="AP345" s="396"/>
      <c r="AQ345" s="396"/>
      <c r="AR345" s="396"/>
      <c r="AS345" s="396"/>
      <c r="AT345" s="396"/>
    </row>
    <row r="346" spans="1:46" x14ac:dyDescent="0.25">
      <c r="A346" s="396"/>
      <c r="B346" s="396"/>
      <c r="C346" s="396"/>
      <c r="D346" s="396"/>
      <c r="E346" s="396"/>
      <c r="F346" s="396"/>
      <c r="G346" s="396"/>
      <c r="H346" s="396"/>
      <c r="I346" s="396"/>
      <c r="J346" s="396"/>
      <c r="K346" s="396"/>
      <c r="L346" s="396"/>
      <c r="M346" s="396"/>
      <c r="N346" s="396"/>
      <c r="O346" s="396"/>
      <c r="P346" s="396"/>
      <c r="Q346" s="396"/>
      <c r="R346" s="396"/>
      <c r="S346" s="396"/>
      <c r="T346" s="396"/>
      <c r="U346" s="396"/>
      <c r="V346" s="396"/>
      <c r="W346" s="396"/>
      <c r="X346" s="1614"/>
      <c r="Y346" s="1614"/>
      <c r="Z346" s="1614"/>
      <c r="AA346" s="1614"/>
      <c r="AB346" s="1614"/>
      <c r="AC346" s="396"/>
      <c r="AD346" s="396"/>
      <c r="AE346" s="396"/>
      <c r="AF346" s="396"/>
      <c r="AG346" s="396"/>
      <c r="AH346" s="396"/>
      <c r="AI346" s="396"/>
      <c r="AJ346" s="396"/>
      <c r="AK346" s="396"/>
      <c r="AL346" s="396"/>
      <c r="AM346" s="396"/>
      <c r="AN346" s="396"/>
      <c r="AO346" s="396"/>
      <c r="AP346" s="396"/>
      <c r="AQ346" s="396"/>
      <c r="AR346" s="396"/>
      <c r="AS346" s="396"/>
      <c r="AT346" s="396"/>
    </row>
    <row r="347" spans="1:46" x14ac:dyDescent="0.25">
      <c r="A347" s="396"/>
      <c r="B347" s="396"/>
      <c r="C347" s="396"/>
      <c r="D347" s="396"/>
      <c r="E347" s="396"/>
      <c r="F347" s="396"/>
      <c r="G347" s="396"/>
      <c r="H347" s="396"/>
      <c r="I347" s="396"/>
      <c r="J347" s="396"/>
      <c r="K347" s="396"/>
      <c r="L347" s="396"/>
      <c r="M347" s="396"/>
      <c r="N347" s="396"/>
      <c r="O347" s="396"/>
      <c r="P347" s="396"/>
      <c r="Q347" s="396"/>
      <c r="R347" s="396"/>
      <c r="S347" s="396"/>
      <c r="T347" s="396"/>
      <c r="U347" s="396"/>
      <c r="V347" s="396"/>
      <c r="W347" s="396"/>
      <c r="X347" s="1614"/>
      <c r="Y347" s="1614"/>
      <c r="Z347" s="1614"/>
      <c r="AA347" s="1614"/>
      <c r="AB347" s="1614"/>
      <c r="AC347" s="396"/>
      <c r="AD347" s="396"/>
      <c r="AE347" s="396"/>
      <c r="AF347" s="396"/>
      <c r="AG347" s="396"/>
      <c r="AH347" s="396"/>
      <c r="AI347" s="396"/>
      <c r="AJ347" s="396"/>
      <c r="AK347" s="396"/>
      <c r="AL347" s="396"/>
      <c r="AM347" s="396"/>
      <c r="AN347" s="396"/>
      <c r="AO347" s="396"/>
      <c r="AP347" s="396"/>
      <c r="AQ347" s="396"/>
      <c r="AR347" s="396"/>
      <c r="AS347" s="396"/>
      <c r="AT347" s="396"/>
    </row>
    <row r="348" spans="1:46" x14ac:dyDescent="0.25">
      <c r="A348" s="396"/>
      <c r="B348" s="396"/>
      <c r="C348" s="396"/>
      <c r="D348" s="396"/>
      <c r="E348" s="396"/>
      <c r="F348" s="396"/>
      <c r="G348" s="396"/>
      <c r="H348" s="396"/>
      <c r="I348" s="396"/>
      <c r="J348" s="396"/>
      <c r="K348" s="396"/>
      <c r="L348" s="396"/>
      <c r="M348" s="396"/>
      <c r="N348" s="396"/>
      <c r="O348" s="396"/>
      <c r="P348" s="396"/>
      <c r="Q348" s="396"/>
      <c r="R348" s="396"/>
      <c r="S348" s="396"/>
      <c r="T348" s="396"/>
      <c r="U348" s="396"/>
      <c r="V348" s="396"/>
      <c r="W348" s="396"/>
      <c r="X348" s="1614"/>
      <c r="Y348" s="1614"/>
      <c r="Z348" s="1614"/>
      <c r="AA348" s="1614"/>
      <c r="AB348" s="1614"/>
      <c r="AC348" s="396"/>
      <c r="AD348" s="396"/>
      <c r="AE348" s="396"/>
      <c r="AF348" s="396"/>
      <c r="AG348" s="396"/>
      <c r="AH348" s="396"/>
      <c r="AI348" s="396"/>
      <c r="AJ348" s="396"/>
      <c r="AK348" s="396"/>
      <c r="AL348" s="396"/>
      <c r="AM348" s="396"/>
      <c r="AN348" s="396"/>
      <c r="AO348" s="396"/>
      <c r="AP348" s="396"/>
      <c r="AQ348" s="396"/>
      <c r="AR348" s="396"/>
      <c r="AS348" s="396"/>
      <c r="AT348" s="396"/>
    </row>
    <row r="349" spans="1:46" x14ac:dyDescent="0.25">
      <c r="A349" s="396"/>
      <c r="B349" s="396"/>
      <c r="C349" s="396"/>
      <c r="D349" s="396"/>
      <c r="E349" s="396"/>
      <c r="F349" s="396"/>
      <c r="G349" s="396"/>
      <c r="H349" s="396"/>
      <c r="I349" s="396"/>
      <c r="J349" s="396"/>
      <c r="K349" s="396"/>
      <c r="L349" s="396"/>
      <c r="M349" s="396"/>
      <c r="N349" s="396"/>
      <c r="O349" s="396"/>
      <c r="P349" s="396"/>
      <c r="Q349" s="396"/>
      <c r="R349" s="396"/>
      <c r="S349" s="396"/>
      <c r="T349" s="396"/>
      <c r="U349" s="396"/>
      <c r="V349" s="396"/>
      <c r="W349" s="396"/>
      <c r="X349" s="1614"/>
      <c r="Y349" s="1614"/>
      <c r="Z349" s="1614"/>
      <c r="AA349" s="1614"/>
      <c r="AB349" s="1614"/>
      <c r="AC349" s="396"/>
      <c r="AD349" s="396"/>
      <c r="AE349" s="396"/>
      <c r="AF349" s="396"/>
      <c r="AG349" s="396"/>
      <c r="AH349" s="396"/>
      <c r="AI349" s="396"/>
      <c r="AJ349" s="396"/>
      <c r="AK349" s="396"/>
      <c r="AL349" s="396"/>
      <c r="AM349" s="396"/>
      <c r="AN349" s="396"/>
      <c r="AO349" s="396"/>
      <c r="AP349" s="396"/>
      <c r="AQ349" s="396"/>
      <c r="AR349" s="396"/>
      <c r="AS349" s="396"/>
      <c r="AT349" s="396"/>
    </row>
    <row r="350" spans="1:46" x14ac:dyDescent="0.25">
      <c r="A350" s="396"/>
      <c r="B350" s="396"/>
      <c r="C350" s="396"/>
      <c r="D350" s="396"/>
      <c r="E350" s="396"/>
      <c r="F350" s="396"/>
      <c r="G350" s="396"/>
      <c r="H350" s="396"/>
      <c r="I350" s="396"/>
      <c r="J350" s="396"/>
      <c r="K350" s="396"/>
      <c r="L350" s="396"/>
      <c r="M350" s="396"/>
      <c r="N350" s="396"/>
      <c r="O350" s="396"/>
      <c r="P350" s="396"/>
      <c r="Q350" s="396"/>
      <c r="R350" s="396"/>
      <c r="S350" s="396"/>
      <c r="T350" s="396"/>
      <c r="U350" s="396"/>
      <c r="V350" s="396"/>
      <c r="W350" s="396"/>
      <c r="X350" s="1614"/>
      <c r="Y350" s="1614"/>
      <c r="Z350" s="1614"/>
      <c r="AA350" s="1614"/>
      <c r="AB350" s="1614"/>
      <c r="AC350" s="396"/>
      <c r="AD350" s="396"/>
      <c r="AE350" s="396"/>
      <c r="AF350" s="396"/>
      <c r="AG350" s="396"/>
      <c r="AH350" s="396"/>
      <c r="AI350" s="396"/>
      <c r="AJ350" s="396"/>
      <c r="AK350" s="396"/>
      <c r="AL350" s="396"/>
      <c r="AM350" s="396"/>
      <c r="AN350" s="396"/>
      <c r="AO350" s="396"/>
      <c r="AP350" s="396"/>
      <c r="AQ350" s="396"/>
      <c r="AR350" s="396"/>
      <c r="AS350" s="396"/>
      <c r="AT350" s="396"/>
    </row>
    <row r="351" spans="1:46" x14ac:dyDescent="0.25">
      <c r="A351" s="396"/>
      <c r="B351" s="396"/>
      <c r="C351" s="396"/>
      <c r="D351" s="396"/>
      <c r="E351" s="396"/>
      <c r="F351" s="396"/>
      <c r="G351" s="396"/>
      <c r="H351" s="396"/>
      <c r="I351" s="396"/>
      <c r="J351" s="396"/>
      <c r="K351" s="396"/>
      <c r="L351" s="396"/>
      <c r="M351" s="396"/>
      <c r="N351" s="396"/>
      <c r="O351" s="396"/>
      <c r="P351" s="396"/>
      <c r="Q351" s="396"/>
      <c r="R351" s="396"/>
      <c r="S351" s="396"/>
      <c r="T351" s="396"/>
      <c r="U351" s="396"/>
      <c r="V351" s="396"/>
      <c r="W351" s="396"/>
      <c r="X351" s="1614"/>
      <c r="Y351" s="1614"/>
      <c r="Z351" s="1614"/>
      <c r="AA351" s="1614"/>
      <c r="AB351" s="1614"/>
      <c r="AC351" s="396"/>
      <c r="AD351" s="396"/>
      <c r="AE351" s="396"/>
      <c r="AF351" s="396"/>
      <c r="AG351" s="396"/>
      <c r="AH351" s="396"/>
      <c r="AI351" s="396"/>
      <c r="AJ351" s="396"/>
      <c r="AK351" s="396"/>
      <c r="AL351" s="396"/>
      <c r="AM351" s="396"/>
      <c r="AN351" s="396"/>
      <c r="AO351" s="396"/>
      <c r="AP351" s="396"/>
      <c r="AQ351" s="396"/>
      <c r="AR351" s="396"/>
      <c r="AS351" s="396"/>
      <c r="AT351" s="396"/>
    </row>
    <row r="352" spans="1:46" x14ac:dyDescent="0.25">
      <c r="A352" s="396"/>
      <c r="B352" s="396"/>
      <c r="C352" s="396"/>
      <c r="D352" s="396"/>
      <c r="E352" s="396"/>
      <c r="F352" s="396"/>
      <c r="G352" s="396"/>
      <c r="H352" s="396"/>
      <c r="I352" s="396"/>
      <c r="J352" s="396"/>
      <c r="K352" s="396"/>
      <c r="L352" s="396"/>
      <c r="M352" s="396"/>
      <c r="N352" s="396"/>
      <c r="O352" s="396"/>
      <c r="P352" s="396"/>
      <c r="Q352" s="396"/>
      <c r="R352" s="396"/>
      <c r="S352" s="396"/>
      <c r="T352" s="396"/>
      <c r="U352" s="396"/>
      <c r="V352" s="396"/>
      <c r="W352" s="396"/>
      <c r="X352" s="1614"/>
      <c r="Y352" s="1614"/>
      <c r="Z352" s="1614"/>
      <c r="AA352" s="1614"/>
      <c r="AB352" s="1614"/>
      <c r="AC352" s="396"/>
      <c r="AD352" s="396"/>
      <c r="AE352" s="396"/>
      <c r="AF352" s="396"/>
      <c r="AG352" s="396"/>
      <c r="AH352" s="396"/>
      <c r="AI352" s="396"/>
      <c r="AJ352" s="396"/>
      <c r="AK352" s="396"/>
      <c r="AL352" s="396"/>
      <c r="AM352" s="396"/>
      <c r="AN352" s="396"/>
      <c r="AO352" s="396"/>
      <c r="AP352" s="396"/>
      <c r="AQ352" s="396"/>
      <c r="AR352" s="396"/>
      <c r="AS352" s="396"/>
      <c r="AT352" s="396"/>
    </row>
    <row r="353" spans="1:46" x14ac:dyDescent="0.25">
      <c r="A353" s="396"/>
      <c r="B353" s="396"/>
      <c r="C353" s="396"/>
      <c r="D353" s="396"/>
      <c r="E353" s="396"/>
      <c r="F353" s="396"/>
      <c r="G353" s="396"/>
      <c r="H353" s="396"/>
      <c r="I353" s="396"/>
      <c r="J353" s="396"/>
      <c r="K353" s="396"/>
      <c r="L353" s="396"/>
      <c r="M353" s="396"/>
      <c r="N353" s="396"/>
      <c r="O353" s="396"/>
      <c r="P353" s="396"/>
      <c r="Q353" s="396"/>
      <c r="R353" s="396"/>
      <c r="S353" s="396"/>
      <c r="T353" s="396"/>
      <c r="U353" s="396"/>
      <c r="V353" s="396"/>
      <c r="W353" s="396"/>
      <c r="X353" s="1614"/>
      <c r="Y353" s="1614"/>
      <c r="Z353" s="1614"/>
      <c r="AA353" s="1614"/>
      <c r="AB353" s="1614"/>
      <c r="AC353" s="396"/>
      <c r="AD353" s="396"/>
      <c r="AE353" s="396"/>
      <c r="AF353" s="396"/>
      <c r="AG353" s="396"/>
      <c r="AH353" s="396"/>
      <c r="AI353" s="396"/>
      <c r="AJ353" s="396"/>
      <c r="AK353" s="396"/>
      <c r="AL353" s="396"/>
      <c r="AM353" s="396"/>
      <c r="AN353" s="396"/>
      <c r="AO353" s="396"/>
      <c r="AP353" s="396"/>
      <c r="AQ353" s="396"/>
      <c r="AR353" s="396"/>
      <c r="AS353" s="396"/>
      <c r="AT353" s="396"/>
    </row>
    <row r="354" spans="1:46" x14ac:dyDescent="0.25">
      <c r="A354" s="396"/>
      <c r="B354" s="396"/>
      <c r="C354" s="396"/>
      <c r="D354" s="396"/>
      <c r="E354" s="396"/>
      <c r="F354" s="396"/>
      <c r="G354" s="396"/>
      <c r="H354" s="396"/>
      <c r="I354" s="396"/>
      <c r="J354" s="396"/>
      <c r="K354" s="396"/>
      <c r="L354" s="396"/>
      <c r="M354" s="396"/>
      <c r="N354" s="396"/>
      <c r="O354" s="396"/>
      <c r="P354" s="396"/>
      <c r="Q354" s="396"/>
      <c r="R354" s="396"/>
      <c r="S354" s="396"/>
      <c r="T354" s="396"/>
      <c r="U354" s="396"/>
      <c r="V354" s="396"/>
      <c r="W354" s="396"/>
      <c r="X354" s="1614"/>
      <c r="Y354" s="1614"/>
      <c r="Z354" s="1614"/>
      <c r="AA354" s="1614"/>
      <c r="AB354" s="1614"/>
      <c r="AC354" s="396"/>
      <c r="AD354" s="396"/>
      <c r="AE354" s="396"/>
      <c r="AF354" s="396"/>
      <c r="AG354" s="396"/>
      <c r="AH354" s="396"/>
      <c r="AI354" s="396"/>
      <c r="AJ354" s="396"/>
      <c r="AK354" s="396"/>
      <c r="AL354" s="396"/>
      <c r="AM354" s="396"/>
      <c r="AN354" s="396"/>
      <c r="AO354" s="396"/>
      <c r="AP354" s="396"/>
      <c r="AQ354" s="396"/>
      <c r="AR354" s="396"/>
      <c r="AS354" s="396"/>
      <c r="AT354" s="396"/>
    </row>
    <row r="355" spans="1:46" x14ac:dyDescent="0.25">
      <c r="A355" s="396"/>
      <c r="B355" s="396"/>
      <c r="C355" s="396"/>
      <c r="D355" s="396"/>
      <c r="E355" s="396"/>
      <c r="F355" s="396"/>
      <c r="G355" s="396"/>
      <c r="H355" s="396"/>
      <c r="I355" s="396"/>
      <c r="J355" s="396"/>
      <c r="K355" s="396"/>
      <c r="L355" s="396"/>
      <c r="M355" s="396"/>
      <c r="N355" s="396"/>
      <c r="O355" s="396"/>
      <c r="P355" s="396"/>
      <c r="Q355" s="396"/>
      <c r="R355" s="396"/>
      <c r="S355" s="396"/>
      <c r="T355" s="396"/>
      <c r="U355" s="396"/>
      <c r="V355" s="396"/>
      <c r="W355" s="396"/>
      <c r="X355" s="1614"/>
      <c r="Y355" s="1614"/>
      <c r="Z355" s="1614"/>
      <c r="AA355" s="1614"/>
      <c r="AB355" s="1614"/>
      <c r="AC355" s="396"/>
      <c r="AD355" s="396"/>
      <c r="AE355" s="396"/>
      <c r="AF355" s="396"/>
      <c r="AG355" s="396"/>
      <c r="AH355" s="396"/>
      <c r="AI355" s="396"/>
      <c r="AJ355" s="396"/>
      <c r="AK355" s="396"/>
      <c r="AL355" s="396"/>
      <c r="AM355" s="396"/>
      <c r="AN355" s="396"/>
      <c r="AO355" s="396"/>
      <c r="AP355" s="396"/>
      <c r="AQ355" s="396"/>
      <c r="AR355" s="396"/>
      <c r="AS355" s="396"/>
      <c r="AT355" s="396"/>
    </row>
    <row r="356" spans="1:46" x14ac:dyDescent="0.25">
      <c r="A356" s="396"/>
      <c r="B356" s="396"/>
      <c r="C356" s="396"/>
      <c r="D356" s="396"/>
      <c r="E356" s="396"/>
      <c r="F356" s="396"/>
      <c r="G356" s="396"/>
      <c r="H356" s="396"/>
      <c r="I356" s="396"/>
      <c r="J356" s="396"/>
      <c r="K356" s="396"/>
      <c r="L356" s="396"/>
      <c r="M356" s="396"/>
      <c r="N356" s="396"/>
      <c r="O356" s="396"/>
      <c r="P356" s="396"/>
      <c r="Q356" s="396"/>
      <c r="R356" s="396"/>
      <c r="S356" s="396"/>
      <c r="T356" s="396"/>
      <c r="U356" s="396"/>
      <c r="V356" s="396"/>
      <c r="W356" s="396"/>
      <c r="X356" s="1614"/>
      <c r="Y356" s="1614"/>
      <c r="Z356" s="1614"/>
      <c r="AA356" s="1614"/>
      <c r="AB356" s="1614"/>
      <c r="AC356" s="396"/>
      <c r="AD356" s="396"/>
      <c r="AE356" s="396"/>
      <c r="AF356" s="396"/>
      <c r="AG356" s="396"/>
      <c r="AH356" s="396"/>
      <c r="AI356" s="396"/>
      <c r="AJ356" s="396"/>
      <c r="AK356" s="396"/>
      <c r="AL356" s="396"/>
      <c r="AM356" s="396"/>
      <c r="AN356" s="396"/>
      <c r="AO356" s="396"/>
      <c r="AP356" s="396"/>
      <c r="AQ356" s="396"/>
      <c r="AR356" s="396"/>
      <c r="AS356" s="396"/>
      <c r="AT356" s="396"/>
    </row>
    <row r="357" spans="1:46" x14ac:dyDescent="0.25">
      <c r="A357" s="396"/>
      <c r="B357" s="396"/>
      <c r="C357" s="396"/>
      <c r="D357" s="396"/>
      <c r="E357" s="396"/>
      <c r="F357" s="396"/>
      <c r="G357" s="396"/>
      <c r="H357" s="396"/>
      <c r="I357" s="396"/>
      <c r="J357" s="396"/>
      <c r="K357" s="396"/>
      <c r="L357" s="396"/>
      <c r="M357" s="396"/>
      <c r="N357" s="396"/>
      <c r="O357" s="396"/>
      <c r="P357" s="396"/>
      <c r="Q357" s="396"/>
      <c r="R357" s="396"/>
      <c r="S357" s="396"/>
      <c r="T357" s="396"/>
      <c r="U357" s="396"/>
      <c r="V357" s="396"/>
      <c r="W357" s="396"/>
      <c r="X357" s="1614"/>
      <c r="Y357" s="1614"/>
      <c r="Z357" s="1614"/>
      <c r="AA357" s="1614"/>
      <c r="AB357" s="1614"/>
      <c r="AC357" s="396"/>
      <c r="AD357" s="396"/>
      <c r="AE357" s="396"/>
      <c r="AF357" s="396"/>
      <c r="AG357" s="396"/>
      <c r="AH357" s="396"/>
      <c r="AI357" s="396"/>
      <c r="AJ357" s="396"/>
      <c r="AK357" s="396"/>
      <c r="AL357" s="396"/>
      <c r="AM357" s="396"/>
      <c r="AN357" s="396"/>
      <c r="AO357" s="396"/>
      <c r="AP357" s="396"/>
      <c r="AQ357" s="396"/>
      <c r="AR357" s="396"/>
      <c r="AS357" s="396"/>
      <c r="AT357" s="396"/>
    </row>
    <row r="358" spans="1:46" x14ac:dyDescent="0.25">
      <c r="A358" s="396"/>
      <c r="B358" s="396"/>
      <c r="C358" s="396"/>
      <c r="D358" s="396"/>
      <c r="E358" s="396"/>
      <c r="F358" s="396"/>
      <c r="G358" s="396"/>
      <c r="H358" s="396"/>
      <c r="I358" s="396"/>
      <c r="J358" s="396"/>
      <c r="K358" s="396"/>
      <c r="L358" s="396"/>
      <c r="M358" s="396"/>
      <c r="N358" s="396"/>
      <c r="O358" s="396"/>
      <c r="P358" s="396"/>
      <c r="Q358" s="396"/>
      <c r="R358" s="396"/>
      <c r="S358" s="396"/>
      <c r="T358" s="396"/>
      <c r="U358" s="396"/>
      <c r="V358" s="396"/>
      <c r="W358" s="396"/>
      <c r="X358" s="1614"/>
      <c r="Y358" s="1614"/>
      <c r="Z358" s="1614"/>
      <c r="AA358" s="1614"/>
      <c r="AB358" s="1614"/>
      <c r="AC358" s="396"/>
      <c r="AD358" s="396"/>
      <c r="AE358" s="396"/>
      <c r="AF358" s="396"/>
      <c r="AG358" s="396"/>
      <c r="AH358" s="396"/>
      <c r="AI358" s="396"/>
      <c r="AJ358" s="396"/>
      <c r="AK358" s="396"/>
      <c r="AL358" s="396"/>
      <c r="AM358" s="396"/>
      <c r="AN358" s="396"/>
      <c r="AO358" s="396"/>
      <c r="AP358" s="396"/>
      <c r="AQ358" s="396"/>
      <c r="AR358" s="396"/>
      <c r="AS358" s="396"/>
      <c r="AT358" s="396"/>
    </row>
    <row r="359" spans="1:46" x14ac:dyDescent="0.25">
      <c r="A359" s="396"/>
      <c r="B359" s="396"/>
      <c r="C359" s="396"/>
      <c r="D359" s="396"/>
      <c r="E359" s="396"/>
      <c r="F359" s="396"/>
      <c r="G359" s="396"/>
      <c r="H359" s="396"/>
      <c r="I359" s="396"/>
      <c r="J359" s="396"/>
      <c r="K359" s="396"/>
      <c r="L359" s="396"/>
      <c r="M359" s="396"/>
      <c r="N359" s="396"/>
      <c r="O359" s="396"/>
      <c r="P359" s="396"/>
      <c r="Q359" s="396"/>
      <c r="R359" s="396"/>
      <c r="S359" s="396"/>
      <c r="T359" s="396"/>
      <c r="U359" s="396"/>
      <c r="V359" s="396"/>
      <c r="W359" s="396"/>
      <c r="X359" s="1614"/>
      <c r="Y359" s="1614"/>
      <c r="Z359" s="1614"/>
      <c r="AA359" s="1614"/>
      <c r="AB359" s="1614"/>
      <c r="AC359" s="396"/>
      <c r="AD359" s="396"/>
      <c r="AE359" s="396"/>
      <c r="AF359" s="396"/>
      <c r="AG359" s="396"/>
      <c r="AH359" s="396"/>
      <c r="AI359" s="396"/>
      <c r="AJ359" s="396"/>
      <c r="AK359" s="396"/>
      <c r="AL359" s="396"/>
      <c r="AM359" s="396"/>
      <c r="AN359" s="396"/>
      <c r="AO359" s="396"/>
      <c r="AP359" s="396"/>
      <c r="AQ359" s="396"/>
      <c r="AR359" s="396"/>
      <c r="AS359" s="396"/>
      <c r="AT359" s="396"/>
    </row>
    <row r="360" spans="1:46" x14ac:dyDescent="0.25">
      <c r="A360" s="396"/>
      <c r="B360" s="396"/>
      <c r="C360" s="396"/>
      <c r="D360" s="396"/>
      <c r="E360" s="396"/>
      <c r="F360" s="396"/>
      <c r="G360" s="396"/>
      <c r="H360" s="396"/>
      <c r="I360" s="396"/>
      <c r="J360" s="396"/>
      <c r="K360" s="396"/>
      <c r="L360" s="396"/>
      <c r="M360" s="396"/>
      <c r="N360" s="396"/>
      <c r="O360" s="396"/>
      <c r="P360" s="396"/>
      <c r="Q360" s="396"/>
      <c r="R360" s="396"/>
      <c r="S360" s="396"/>
      <c r="T360" s="396"/>
      <c r="U360" s="396"/>
      <c r="V360" s="396"/>
      <c r="W360" s="396"/>
      <c r="X360" s="1614"/>
      <c r="Y360" s="1614"/>
      <c r="Z360" s="1614"/>
      <c r="AA360" s="1614"/>
      <c r="AB360" s="1614"/>
      <c r="AC360" s="396"/>
      <c r="AD360" s="396"/>
      <c r="AE360" s="396"/>
      <c r="AF360" s="396"/>
      <c r="AG360" s="396"/>
      <c r="AH360" s="396"/>
      <c r="AI360" s="396"/>
      <c r="AJ360" s="396"/>
      <c r="AK360" s="396"/>
      <c r="AL360" s="396"/>
      <c r="AM360" s="396"/>
      <c r="AN360" s="396"/>
      <c r="AO360" s="396"/>
      <c r="AP360" s="396"/>
      <c r="AQ360" s="396"/>
      <c r="AR360" s="396"/>
      <c r="AS360" s="396"/>
      <c r="AT360" s="396"/>
    </row>
    <row r="361" spans="1:46" x14ac:dyDescent="0.25">
      <c r="A361" s="396"/>
      <c r="B361" s="396"/>
      <c r="C361" s="396"/>
      <c r="D361" s="396"/>
      <c r="E361" s="396"/>
      <c r="F361" s="396"/>
      <c r="G361" s="396"/>
      <c r="H361" s="396"/>
      <c r="I361" s="396"/>
      <c r="J361" s="396"/>
      <c r="K361" s="396"/>
      <c r="L361" s="396"/>
      <c r="M361" s="396"/>
      <c r="N361" s="396"/>
      <c r="O361" s="396"/>
      <c r="P361" s="396"/>
      <c r="Q361" s="396"/>
      <c r="R361" s="396"/>
      <c r="S361" s="396"/>
      <c r="T361" s="396"/>
      <c r="U361" s="396"/>
      <c r="V361" s="396"/>
      <c r="W361" s="396"/>
      <c r="X361" s="1614"/>
      <c r="Y361" s="1614"/>
      <c r="Z361" s="1614"/>
      <c r="AA361" s="1614"/>
      <c r="AB361" s="1614"/>
      <c r="AC361" s="396"/>
      <c r="AD361" s="396"/>
      <c r="AE361" s="396"/>
      <c r="AF361" s="396"/>
      <c r="AG361" s="396"/>
      <c r="AH361" s="396"/>
      <c r="AI361" s="396"/>
      <c r="AJ361" s="396"/>
      <c r="AK361" s="396"/>
      <c r="AL361" s="396"/>
      <c r="AM361" s="396"/>
      <c r="AN361" s="396"/>
      <c r="AO361" s="396"/>
      <c r="AP361" s="396"/>
      <c r="AQ361" s="396"/>
      <c r="AR361" s="396"/>
      <c r="AS361" s="396"/>
      <c r="AT361" s="396"/>
    </row>
    <row r="362" spans="1:46" x14ac:dyDescent="0.25">
      <c r="A362" s="396"/>
      <c r="B362" s="396"/>
      <c r="C362" s="396"/>
      <c r="D362" s="396"/>
      <c r="E362" s="396"/>
      <c r="F362" s="396"/>
      <c r="G362" s="396"/>
      <c r="H362" s="396"/>
      <c r="I362" s="396"/>
      <c r="J362" s="396"/>
      <c r="K362" s="396"/>
      <c r="L362" s="396"/>
      <c r="M362" s="396"/>
      <c r="N362" s="396"/>
      <c r="O362" s="396"/>
      <c r="P362" s="396"/>
      <c r="Q362" s="396"/>
      <c r="R362" s="396"/>
      <c r="S362" s="396"/>
      <c r="T362" s="396"/>
      <c r="U362" s="396"/>
      <c r="V362" s="396"/>
      <c r="W362" s="396"/>
      <c r="X362" s="1614"/>
      <c r="Y362" s="1614"/>
      <c r="Z362" s="1614"/>
      <c r="AA362" s="1614"/>
      <c r="AB362" s="1614"/>
      <c r="AC362" s="396"/>
      <c r="AD362" s="396"/>
      <c r="AE362" s="396"/>
      <c r="AF362" s="396"/>
      <c r="AG362" s="396"/>
      <c r="AH362" s="396"/>
      <c r="AI362" s="396"/>
      <c r="AJ362" s="396"/>
      <c r="AK362" s="396"/>
      <c r="AL362" s="396"/>
      <c r="AM362" s="396"/>
      <c r="AN362" s="396"/>
      <c r="AO362" s="396"/>
      <c r="AP362" s="396"/>
      <c r="AQ362" s="396"/>
      <c r="AR362" s="396"/>
      <c r="AS362" s="396"/>
      <c r="AT362" s="396"/>
    </row>
    <row r="363" spans="1:46" x14ac:dyDescent="0.25">
      <c r="A363" s="396"/>
      <c r="B363" s="396"/>
      <c r="C363" s="396"/>
      <c r="D363" s="396"/>
      <c r="E363" s="396"/>
      <c r="F363" s="396"/>
      <c r="G363" s="396"/>
      <c r="H363" s="396"/>
      <c r="I363" s="396"/>
      <c r="J363" s="396"/>
      <c r="K363" s="396"/>
      <c r="L363" s="396"/>
      <c r="M363" s="396"/>
      <c r="N363" s="396"/>
      <c r="O363" s="396"/>
      <c r="P363" s="396"/>
      <c r="Q363" s="396"/>
      <c r="R363" s="396"/>
      <c r="S363" s="396"/>
      <c r="T363" s="396"/>
      <c r="U363" s="396"/>
      <c r="V363" s="396"/>
      <c r="W363" s="396"/>
      <c r="X363" s="1614"/>
      <c r="Y363" s="1614"/>
      <c r="Z363" s="1614"/>
      <c r="AA363" s="1614"/>
      <c r="AB363" s="1614"/>
      <c r="AC363" s="396"/>
      <c r="AD363" s="396"/>
      <c r="AE363" s="396"/>
      <c r="AF363" s="396"/>
      <c r="AG363" s="396"/>
      <c r="AH363" s="396"/>
      <c r="AI363" s="396"/>
      <c r="AJ363" s="396"/>
      <c r="AK363" s="396"/>
      <c r="AL363" s="396"/>
      <c r="AM363" s="396"/>
      <c r="AN363" s="396"/>
      <c r="AO363" s="396"/>
      <c r="AP363" s="396"/>
      <c r="AQ363" s="396"/>
      <c r="AR363" s="396"/>
      <c r="AS363" s="396"/>
      <c r="AT363" s="396"/>
    </row>
    <row r="364" spans="1:46" x14ac:dyDescent="0.25">
      <c r="A364" s="396"/>
      <c r="B364" s="396"/>
      <c r="C364" s="396"/>
      <c r="D364" s="396"/>
      <c r="E364" s="396"/>
      <c r="F364" s="396"/>
      <c r="G364" s="396"/>
      <c r="H364" s="396"/>
      <c r="I364" s="396"/>
      <c r="J364" s="396"/>
      <c r="K364" s="396"/>
      <c r="L364" s="396"/>
      <c r="M364" s="396"/>
      <c r="N364" s="396"/>
      <c r="O364" s="396"/>
      <c r="P364" s="396"/>
      <c r="Q364" s="396"/>
      <c r="R364" s="396"/>
      <c r="S364" s="396"/>
      <c r="T364" s="396"/>
      <c r="U364" s="396"/>
      <c r="V364" s="396"/>
      <c r="W364" s="396"/>
      <c r="X364" s="1614"/>
      <c r="Y364" s="1614"/>
      <c r="Z364" s="1614"/>
      <c r="AA364" s="1614"/>
      <c r="AB364" s="1614"/>
      <c r="AC364" s="396"/>
      <c r="AD364" s="396"/>
      <c r="AE364" s="396"/>
      <c r="AF364" s="396"/>
      <c r="AG364" s="396"/>
      <c r="AH364" s="396"/>
      <c r="AI364" s="396"/>
      <c r="AJ364" s="396"/>
      <c r="AK364" s="396"/>
      <c r="AL364" s="396"/>
      <c r="AM364" s="396"/>
      <c r="AN364" s="396"/>
      <c r="AO364" s="396"/>
      <c r="AP364" s="396"/>
      <c r="AQ364" s="396"/>
      <c r="AR364" s="396"/>
      <c r="AS364" s="396"/>
      <c r="AT364" s="396"/>
    </row>
    <row r="365" spans="1:46" x14ac:dyDescent="0.25">
      <c r="A365" s="396"/>
      <c r="B365" s="396"/>
      <c r="C365" s="396"/>
      <c r="D365" s="396"/>
      <c r="E365" s="396"/>
      <c r="F365" s="396"/>
      <c r="G365" s="396"/>
      <c r="H365" s="396"/>
      <c r="I365" s="396"/>
      <c r="J365" s="396"/>
      <c r="K365" s="396"/>
      <c r="L365" s="396"/>
      <c r="M365" s="396"/>
      <c r="N365" s="396"/>
      <c r="O365" s="396"/>
      <c r="P365" s="396"/>
      <c r="Q365" s="396"/>
      <c r="R365" s="396"/>
      <c r="S365" s="396"/>
      <c r="T365" s="396"/>
      <c r="U365" s="396"/>
      <c r="V365" s="396"/>
      <c r="W365" s="396"/>
      <c r="X365" s="1614"/>
      <c r="Y365" s="1614"/>
      <c r="Z365" s="1614"/>
      <c r="AA365" s="1614"/>
      <c r="AB365" s="1614"/>
      <c r="AC365" s="396"/>
      <c r="AD365" s="396"/>
      <c r="AE365" s="396"/>
      <c r="AF365" s="396"/>
      <c r="AG365" s="396"/>
      <c r="AH365" s="396"/>
      <c r="AI365" s="396"/>
      <c r="AJ365" s="396"/>
      <c r="AK365" s="396"/>
      <c r="AL365" s="396"/>
      <c r="AM365" s="396"/>
      <c r="AN365" s="396"/>
      <c r="AO365" s="396"/>
      <c r="AP365" s="396"/>
      <c r="AQ365" s="396"/>
      <c r="AR365" s="396"/>
      <c r="AS365" s="396"/>
      <c r="AT365" s="396"/>
    </row>
    <row r="366" spans="1:46" x14ac:dyDescent="0.25">
      <c r="A366" s="396"/>
      <c r="B366" s="396"/>
      <c r="C366" s="396"/>
      <c r="D366" s="396"/>
      <c r="E366" s="396"/>
      <c r="F366" s="396"/>
      <c r="G366" s="396"/>
      <c r="H366" s="396"/>
      <c r="I366" s="396"/>
      <c r="J366" s="396"/>
      <c r="K366" s="396"/>
      <c r="L366" s="396"/>
      <c r="M366" s="396"/>
      <c r="N366" s="396"/>
      <c r="O366" s="396"/>
      <c r="P366" s="396"/>
      <c r="Q366" s="396"/>
      <c r="R366" s="396"/>
      <c r="S366" s="396"/>
      <c r="T366" s="396"/>
      <c r="U366" s="396"/>
      <c r="V366" s="396"/>
      <c r="W366" s="396"/>
      <c r="X366" s="1614"/>
      <c r="Y366" s="1614"/>
      <c r="Z366" s="1614"/>
      <c r="AA366" s="1614"/>
      <c r="AB366" s="1614"/>
      <c r="AC366" s="396"/>
      <c r="AD366" s="396"/>
      <c r="AE366" s="396"/>
      <c r="AF366" s="396"/>
      <c r="AG366" s="396"/>
      <c r="AH366" s="396"/>
      <c r="AI366" s="396"/>
      <c r="AJ366" s="396"/>
      <c r="AK366" s="396"/>
      <c r="AL366" s="396"/>
      <c r="AM366" s="396"/>
      <c r="AN366" s="396"/>
      <c r="AO366" s="396"/>
      <c r="AP366" s="396"/>
      <c r="AQ366" s="396"/>
      <c r="AR366" s="396"/>
      <c r="AS366" s="396"/>
      <c r="AT366" s="396"/>
    </row>
    <row r="367" spans="1:46" x14ac:dyDescent="0.25">
      <c r="A367" s="396"/>
      <c r="B367" s="396"/>
      <c r="C367" s="396"/>
      <c r="D367" s="396"/>
      <c r="E367" s="396"/>
      <c r="F367" s="396"/>
      <c r="G367" s="396"/>
      <c r="H367" s="396"/>
      <c r="I367" s="396"/>
      <c r="J367" s="396"/>
      <c r="K367" s="396"/>
      <c r="L367" s="396"/>
      <c r="M367" s="396"/>
      <c r="N367" s="396"/>
      <c r="O367" s="396"/>
      <c r="P367" s="396"/>
      <c r="Q367" s="396"/>
      <c r="R367" s="396"/>
      <c r="S367" s="396"/>
      <c r="T367" s="396"/>
      <c r="U367" s="396"/>
      <c r="V367" s="396"/>
      <c r="W367" s="396"/>
      <c r="X367" s="1614"/>
      <c r="Y367" s="1614"/>
      <c r="Z367" s="1614"/>
      <c r="AA367" s="1614"/>
      <c r="AB367" s="1614"/>
      <c r="AC367" s="396"/>
      <c r="AD367" s="396"/>
      <c r="AE367" s="396"/>
      <c r="AF367" s="396"/>
      <c r="AG367" s="396"/>
      <c r="AH367" s="396"/>
      <c r="AI367" s="396"/>
      <c r="AJ367" s="396"/>
      <c r="AK367" s="396"/>
      <c r="AL367" s="396"/>
      <c r="AM367" s="396"/>
      <c r="AN367" s="396"/>
      <c r="AO367" s="396"/>
      <c r="AP367" s="396"/>
      <c r="AQ367" s="396"/>
      <c r="AR367" s="396"/>
      <c r="AS367" s="396"/>
      <c r="AT367" s="396"/>
    </row>
    <row r="368" spans="1:46" x14ac:dyDescent="0.25">
      <c r="A368" s="396"/>
      <c r="B368" s="396"/>
      <c r="C368" s="396"/>
      <c r="D368" s="396"/>
      <c r="E368" s="396"/>
      <c r="F368" s="396"/>
      <c r="G368" s="396"/>
      <c r="H368" s="396"/>
      <c r="I368" s="396"/>
      <c r="J368" s="396"/>
      <c r="K368" s="396"/>
      <c r="L368" s="396"/>
      <c r="M368" s="396"/>
      <c r="N368" s="396"/>
      <c r="O368" s="396"/>
      <c r="P368" s="396"/>
      <c r="Q368" s="396"/>
      <c r="R368" s="396"/>
      <c r="S368" s="396"/>
      <c r="T368" s="396"/>
      <c r="U368" s="396"/>
      <c r="V368" s="396"/>
      <c r="W368" s="396"/>
      <c r="X368" s="1614"/>
      <c r="Y368" s="1614"/>
      <c r="Z368" s="1614"/>
      <c r="AA368" s="1614"/>
      <c r="AB368" s="1614"/>
      <c r="AC368" s="396"/>
      <c r="AD368" s="396"/>
      <c r="AE368" s="396"/>
      <c r="AF368" s="396"/>
      <c r="AG368" s="396"/>
      <c r="AH368" s="396"/>
      <c r="AI368" s="396"/>
      <c r="AJ368" s="396"/>
      <c r="AK368" s="396"/>
      <c r="AL368" s="396"/>
      <c r="AM368" s="396"/>
      <c r="AN368" s="396"/>
      <c r="AO368" s="396"/>
      <c r="AP368" s="396"/>
      <c r="AQ368" s="396"/>
      <c r="AR368" s="396"/>
      <c r="AS368" s="396"/>
      <c r="AT368" s="396"/>
    </row>
    <row r="369" spans="1:46" x14ac:dyDescent="0.25">
      <c r="A369" s="396"/>
      <c r="B369" s="396"/>
      <c r="C369" s="396"/>
      <c r="D369" s="396"/>
      <c r="E369" s="396"/>
      <c r="F369" s="396"/>
      <c r="G369" s="396"/>
      <c r="H369" s="396"/>
      <c r="I369" s="396"/>
      <c r="J369" s="396"/>
      <c r="K369" s="396"/>
      <c r="L369" s="396"/>
      <c r="M369" s="396"/>
      <c r="N369" s="396"/>
      <c r="O369" s="396"/>
      <c r="P369" s="396"/>
      <c r="Q369" s="396"/>
      <c r="R369" s="396"/>
      <c r="S369" s="396"/>
      <c r="T369" s="396"/>
      <c r="U369" s="396"/>
      <c r="V369" s="396"/>
      <c r="W369" s="396"/>
      <c r="X369" s="1614"/>
      <c r="Y369" s="1614"/>
      <c r="Z369" s="1614"/>
      <c r="AA369" s="1614"/>
      <c r="AB369" s="1614"/>
      <c r="AC369" s="396"/>
      <c r="AD369" s="396"/>
      <c r="AE369" s="396"/>
      <c r="AF369" s="396"/>
      <c r="AG369" s="396"/>
      <c r="AH369" s="396"/>
      <c r="AI369" s="396"/>
      <c r="AJ369" s="396"/>
      <c r="AK369" s="396"/>
      <c r="AL369" s="396"/>
      <c r="AM369" s="396"/>
      <c r="AN369" s="396"/>
      <c r="AO369" s="396"/>
      <c r="AP369" s="396"/>
      <c r="AQ369" s="396"/>
      <c r="AR369" s="396"/>
      <c r="AS369" s="396"/>
      <c r="AT369" s="396"/>
    </row>
    <row r="370" spans="1:46" x14ac:dyDescent="0.25">
      <c r="A370" s="396"/>
      <c r="B370" s="396"/>
      <c r="C370" s="396"/>
      <c r="D370" s="396"/>
      <c r="E370" s="396"/>
      <c r="F370" s="396"/>
      <c r="G370" s="396"/>
      <c r="H370" s="396"/>
      <c r="I370" s="396"/>
      <c r="J370" s="396"/>
      <c r="K370" s="396"/>
      <c r="L370" s="396"/>
      <c r="M370" s="396"/>
      <c r="N370" s="396"/>
      <c r="O370" s="396"/>
      <c r="P370" s="396"/>
      <c r="Q370" s="396"/>
      <c r="R370" s="396"/>
      <c r="S370" s="396"/>
      <c r="T370" s="396"/>
      <c r="U370" s="396"/>
      <c r="V370" s="396"/>
      <c r="W370" s="396"/>
      <c r="X370" s="1614"/>
      <c r="Y370" s="1614"/>
      <c r="Z370" s="1614"/>
      <c r="AA370" s="1614"/>
      <c r="AB370" s="1614"/>
      <c r="AC370" s="396"/>
      <c r="AD370" s="396"/>
      <c r="AE370" s="396"/>
      <c r="AF370" s="396"/>
      <c r="AG370" s="396"/>
      <c r="AH370" s="396"/>
      <c r="AI370" s="396"/>
      <c r="AJ370" s="396"/>
      <c r="AK370" s="396"/>
      <c r="AL370" s="396"/>
      <c r="AM370" s="396"/>
      <c r="AN370" s="396"/>
      <c r="AO370" s="396"/>
      <c r="AP370" s="396"/>
      <c r="AQ370" s="396"/>
      <c r="AR370" s="396"/>
      <c r="AS370" s="396"/>
      <c r="AT370" s="396"/>
    </row>
    <row r="371" spans="1:46" x14ac:dyDescent="0.25">
      <c r="A371" s="396"/>
      <c r="B371" s="396"/>
      <c r="C371" s="396"/>
      <c r="D371" s="396"/>
      <c r="E371" s="396"/>
      <c r="F371" s="396"/>
      <c r="G371" s="396"/>
      <c r="H371" s="396"/>
      <c r="I371" s="396"/>
      <c r="J371" s="396"/>
      <c r="K371" s="396"/>
      <c r="L371" s="396"/>
      <c r="M371" s="396"/>
      <c r="N371" s="396"/>
      <c r="O371" s="396"/>
      <c r="P371" s="396"/>
      <c r="Q371" s="396"/>
      <c r="R371" s="396"/>
      <c r="S371" s="396"/>
      <c r="T371" s="396"/>
      <c r="U371" s="396"/>
      <c r="V371" s="396"/>
      <c r="W371" s="396"/>
      <c r="X371" s="1614"/>
      <c r="Y371" s="1614"/>
      <c r="Z371" s="1614"/>
      <c r="AA371" s="1614"/>
      <c r="AB371" s="1614"/>
      <c r="AC371" s="396"/>
      <c r="AD371" s="396"/>
      <c r="AE371" s="396"/>
      <c r="AF371" s="396"/>
      <c r="AG371" s="396"/>
      <c r="AH371" s="396"/>
      <c r="AI371" s="396"/>
      <c r="AJ371" s="396"/>
      <c r="AK371" s="396"/>
      <c r="AL371" s="396"/>
      <c r="AM371" s="396"/>
      <c r="AN371" s="396"/>
      <c r="AO371" s="396"/>
      <c r="AP371" s="396"/>
      <c r="AQ371" s="396"/>
      <c r="AR371" s="396"/>
      <c r="AS371" s="396"/>
      <c r="AT371" s="396"/>
    </row>
    <row r="372" spans="1:46" x14ac:dyDescent="0.25">
      <c r="A372" s="396"/>
      <c r="B372" s="396"/>
      <c r="C372" s="396"/>
      <c r="D372" s="396"/>
      <c r="E372" s="396"/>
      <c r="F372" s="396"/>
      <c r="G372" s="396"/>
      <c r="H372" s="396"/>
      <c r="I372" s="396"/>
      <c r="J372" s="396"/>
      <c r="K372" s="396"/>
      <c r="L372" s="396"/>
      <c r="M372" s="396"/>
      <c r="N372" s="396"/>
      <c r="O372" s="396"/>
      <c r="P372" s="396"/>
      <c r="Q372" s="396"/>
      <c r="R372" s="396"/>
      <c r="S372" s="396"/>
      <c r="T372" s="396"/>
      <c r="U372" s="396"/>
      <c r="V372" s="396"/>
      <c r="W372" s="396"/>
      <c r="X372" s="1614"/>
      <c r="Y372" s="1614"/>
      <c r="Z372" s="1614"/>
      <c r="AA372" s="1614"/>
      <c r="AB372" s="1614"/>
      <c r="AC372" s="396"/>
      <c r="AD372" s="396"/>
      <c r="AE372" s="396"/>
      <c r="AF372" s="396"/>
      <c r="AG372" s="396"/>
      <c r="AH372" s="396"/>
      <c r="AI372" s="396"/>
      <c r="AJ372" s="396"/>
      <c r="AK372" s="396"/>
      <c r="AL372" s="396"/>
      <c r="AM372" s="396"/>
      <c r="AN372" s="396"/>
      <c r="AO372" s="396"/>
      <c r="AP372" s="396"/>
      <c r="AQ372" s="396"/>
      <c r="AR372" s="396"/>
      <c r="AS372" s="396"/>
      <c r="AT372" s="396"/>
    </row>
    <row r="373" spans="1:46" x14ac:dyDescent="0.25">
      <c r="A373" s="396"/>
      <c r="B373" s="396"/>
      <c r="C373" s="396"/>
      <c r="D373" s="396"/>
      <c r="E373" s="396"/>
      <c r="F373" s="396"/>
      <c r="G373" s="396"/>
      <c r="H373" s="396"/>
      <c r="I373" s="396"/>
      <c r="J373" s="396"/>
      <c r="K373" s="396"/>
      <c r="L373" s="396"/>
      <c r="M373" s="396"/>
      <c r="N373" s="396"/>
      <c r="O373" s="396"/>
      <c r="P373" s="396"/>
      <c r="Q373" s="396"/>
      <c r="R373" s="396"/>
      <c r="S373" s="396"/>
      <c r="T373" s="396"/>
      <c r="U373" s="396"/>
      <c r="V373" s="396"/>
      <c r="W373" s="396"/>
      <c r="X373" s="1614"/>
      <c r="Y373" s="1614"/>
      <c r="Z373" s="1614"/>
      <c r="AA373" s="1614"/>
      <c r="AB373" s="1614"/>
      <c r="AC373" s="396"/>
      <c r="AD373" s="396"/>
      <c r="AE373" s="396"/>
      <c r="AF373" s="396"/>
      <c r="AG373" s="396"/>
      <c r="AH373" s="396"/>
      <c r="AI373" s="396"/>
      <c r="AJ373" s="396"/>
      <c r="AK373" s="396"/>
      <c r="AL373" s="396"/>
      <c r="AM373" s="396"/>
      <c r="AN373" s="396"/>
      <c r="AO373" s="396"/>
      <c r="AP373" s="396"/>
      <c r="AQ373" s="396"/>
      <c r="AR373" s="396"/>
      <c r="AS373" s="396"/>
      <c r="AT373" s="396"/>
    </row>
    <row r="374" spans="1:46" x14ac:dyDescent="0.25">
      <c r="A374" s="396"/>
      <c r="B374" s="396"/>
      <c r="C374" s="396"/>
      <c r="D374" s="396"/>
      <c r="E374" s="396"/>
      <c r="F374" s="396"/>
      <c r="G374" s="396"/>
      <c r="H374" s="396"/>
      <c r="I374" s="396"/>
      <c r="J374" s="396"/>
      <c r="K374" s="396"/>
      <c r="L374" s="396"/>
      <c r="M374" s="396"/>
      <c r="N374" s="396"/>
      <c r="O374" s="396"/>
      <c r="P374" s="396"/>
      <c r="Q374" s="396"/>
      <c r="R374" s="396"/>
      <c r="S374" s="396"/>
      <c r="T374" s="396"/>
      <c r="U374" s="396"/>
      <c r="V374" s="396"/>
      <c r="W374" s="396"/>
      <c r="X374" s="1614"/>
      <c r="Y374" s="1614"/>
      <c r="Z374" s="1614"/>
      <c r="AA374" s="1614"/>
      <c r="AB374" s="1614"/>
      <c r="AC374" s="1614"/>
      <c r="AD374" s="1614"/>
      <c r="AE374" s="1614"/>
      <c r="AF374" s="1614"/>
      <c r="AG374" s="1614"/>
      <c r="AH374" s="1614"/>
      <c r="AI374" s="1614"/>
      <c r="AJ374" s="296"/>
      <c r="AK374" s="296"/>
      <c r="AL374" s="296"/>
      <c r="AM374" s="296"/>
      <c r="AN374" s="296"/>
      <c r="AO374" s="296"/>
      <c r="AP374" s="296"/>
      <c r="AQ374" s="296"/>
      <c r="AR374" s="296"/>
    </row>
    <row r="375" spans="1:46" x14ac:dyDescent="0.25">
      <c r="A375" s="396"/>
      <c r="B375" s="396"/>
      <c r="C375" s="396"/>
      <c r="D375" s="396"/>
      <c r="E375" s="396"/>
      <c r="F375" s="396"/>
      <c r="G375" s="396"/>
      <c r="H375" s="396"/>
      <c r="I375" s="396"/>
      <c r="J375" s="396"/>
      <c r="K375" s="396"/>
      <c r="L375" s="396"/>
      <c r="M375" s="396"/>
      <c r="N375" s="396"/>
      <c r="O375" s="396"/>
      <c r="P375" s="396"/>
      <c r="Q375" s="396"/>
      <c r="R375" s="396"/>
      <c r="S375" s="396"/>
      <c r="T375" s="396"/>
      <c r="U375" s="396"/>
      <c r="V375" s="396"/>
      <c r="W375" s="396"/>
      <c r="X375" s="1614"/>
      <c r="Y375" s="1614"/>
      <c r="Z375" s="1614"/>
      <c r="AA375" s="1614"/>
      <c r="AB375" s="1614"/>
      <c r="AC375" s="1614"/>
      <c r="AD375" s="1614"/>
      <c r="AE375" s="1614"/>
      <c r="AF375" s="1614"/>
      <c r="AG375" s="1614"/>
      <c r="AH375" s="1614"/>
      <c r="AI375" s="1614"/>
      <c r="AJ375" s="296"/>
      <c r="AK375" s="296"/>
      <c r="AL375" s="296"/>
      <c r="AM375" s="296"/>
      <c r="AN375" s="296"/>
      <c r="AO375" s="296"/>
      <c r="AP375" s="296"/>
      <c r="AQ375" s="296"/>
      <c r="AR375" s="296"/>
    </row>
    <row r="376" spans="1:46" x14ac:dyDescent="0.25">
      <c r="A376" s="658"/>
      <c r="B376" s="658"/>
      <c r="C376" s="658"/>
      <c r="D376" s="658"/>
      <c r="E376" s="658"/>
      <c r="F376" s="658"/>
      <c r="G376" s="658"/>
      <c r="H376" s="658"/>
      <c r="I376" s="658"/>
      <c r="J376" s="658"/>
      <c r="K376" s="658"/>
      <c r="L376" s="658"/>
      <c r="M376" s="658"/>
      <c r="N376" s="658"/>
      <c r="O376" s="658"/>
      <c r="P376" s="1614"/>
      <c r="Q376" s="1614"/>
      <c r="R376" s="1614"/>
      <c r="S376" s="1614"/>
      <c r="T376" s="1614"/>
      <c r="U376" s="1614"/>
      <c r="V376" s="1614"/>
      <c r="W376" s="1614"/>
      <c r="X376" s="1614"/>
      <c r="Y376" s="1614"/>
      <c r="Z376" s="1614"/>
      <c r="AA376" s="1614"/>
      <c r="AB376" s="1614"/>
      <c r="AC376" s="1614"/>
      <c r="AD376" s="1614"/>
      <c r="AE376" s="1614"/>
      <c r="AF376" s="1614"/>
      <c r="AG376" s="1614"/>
      <c r="AH376" s="1614"/>
      <c r="AI376" s="1614"/>
      <c r="AJ376" s="296"/>
      <c r="AK376" s="296"/>
      <c r="AL376" s="296"/>
      <c r="AM376" s="296"/>
      <c r="AN376" s="296"/>
      <c r="AO376" s="296"/>
      <c r="AP376" s="296"/>
      <c r="AQ376" s="296"/>
      <c r="AR376" s="296"/>
    </row>
    <row r="377" spans="1:46" x14ac:dyDescent="0.25">
      <c r="A377" s="658"/>
      <c r="B377" s="658"/>
      <c r="C377" s="658"/>
      <c r="D377" s="658"/>
      <c r="E377" s="658"/>
      <c r="F377" s="658"/>
      <c r="G377" s="658"/>
      <c r="H377" s="658"/>
      <c r="I377" s="658"/>
      <c r="J377" s="658"/>
      <c r="K377" s="658"/>
      <c r="L377" s="658"/>
      <c r="M377" s="658"/>
      <c r="N377" s="658"/>
      <c r="O377" s="658"/>
      <c r="P377" s="396"/>
      <c r="Q377" s="396"/>
      <c r="R377" s="396"/>
      <c r="S377" s="396"/>
      <c r="T377" s="396"/>
      <c r="U377" s="396"/>
      <c r="V377" s="396"/>
      <c r="W377" s="396"/>
      <c r="X377" s="396"/>
      <c r="Y377" s="396"/>
      <c r="Z377" s="396"/>
      <c r="AA377" s="396"/>
      <c r="AB377" s="658"/>
      <c r="AC377" s="658"/>
      <c r="AD377" s="658"/>
      <c r="AE377" s="658"/>
      <c r="AF377" s="658"/>
      <c r="AG377" s="658"/>
      <c r="AH377" s="658"/>
      <c r="AI377" s="658"/>
    </row>
  </sheetData>
  <dataConsolidate/>
  <mergeCells count="14">
    <mergeCell ref="B21:F21"/>
    <mergeCell ref="I25:I37"/>
    <mergeCell ref="C59:D59"/>
    <mergeCell ref="E59:F59"/>
    <mergeCell ref="G59:H59"/>
    <mergeCell ref="I59:J59"/>
    <mergeCell ref="C73:D73"/>
    <mergeCell ref="E73:F73"/>
    <mergeCell ref="G73:H73"/>
    <mergeCell ref="I73:J73"/>
    <mergeCell ref="C87:D87"/>
    <mergeCell ref="E87:F87"/>
    <mergeCell ref="G87:H87"/>
    <mergeCell ref="I87:J87"/>
  </mergeCells>
  <conditionalFormatting sqref="D22:D42 D12:D20">
    <cfRule type="iconSet" priority="1">
      <iconSet iconSet="3Arrows" showValue="0">
        <cfvo type="percent" val="0"/>
        <cfvo type="num" val="0"/>
        <cfvo type="num" val="0" gte="0"/>
      </iconSet>
    </cfRule>
  </conditionalFormatting>
  <dataValidations xWindow="143" yWindow="443" count="4">
    <dataValidation allowBlank="1" showErrorMessage="1" promptTitle="QtPt" prompt="Total cost=quantity multiplied by unit cost" sqref="D22:F42 G22:G37 H38:H42 D20:F20 D13:D19"/>
    <dataValidation allowBlank="1" showInputMessage="1" showErrorMessage="1" promptTitle="QtPt" prompt="Total cost=quantity multiplied by unit cost" sqref="D12"/>
    <dataValidation allowBlank="1" showErrorMessage="1" promptTitle="Qt" prompt="Quantity_x000a_" sqref="C12:C13"/>
    <dataValidation allowBlank="1" showErrorMessage="1" prompt="Mental health was not included in 2011/12 due to re-classification of activities. Value is for 2010/11._x000a__x000a_" sqref="B14"/>
  </dataValidations>
  <pageMargins left="0.7" right="0.7" top="0.75" bottom="0.75" header="0.3" footer="0.3"/>
  <pageSetup paperSize="9" orientation="portrait" r:id="rId1"/>
  <ignoredErrors>
    <ignoredError sqref="E17 C17 G14"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42337" r:id="rId4" name="Check Box 1">
              <controlPr defaultSize="0" autoFill="0" autoLine="0" autoPict="0">
                <anchor moveWithCells="1">
                  <from>
                    <xdr:col>1</xdr:col>
                    <xdr:colOff>0</xdr:colOff>
                    <xdr:row>43</xdr:row>
                    <xdr:rowOff>0</xdr:rowOff>
                  </from>
                  <to>
                    <xdr:col>1</xdr:col>
                    <xdr:colOff>1333500</xdr:colOff>
                    <xdr:row>44</xdr:row>
                    <xdr:rowOff>28575</xdr:rowOff>
                  </to>
                </anchor>
              </controlPr>
            </control>
          </mc:Choice>
        </mc:AlternateContent>
        <mc:AlternateContent xmlns:mc="http://schemas.openxmlformats.org/markup-compatibility/2006">
          <mc:Choice Requires="x14">
            <control shapeId="142339" r:id="rId5" name="Check Box 3">
              <controlPr defaultSize="0" autoFill="0" autoLine="0" autoPict="0">
                <anchor moveWithCells="1">
                  <from>
                    <xdr:col>7</xdr:col>
                    <xdr:colOff>1047750</xdr:colOff>
                    <xdr:row>24</xdr:row>
                    <xdr:rowOff>171450</xdr:rowOff>
                  </from>
                  <to>
                    <xdr:col>8</xdr:col>
                    <xdr:colOff>781050</xdr:colOff>
                    <xdr:row>26</xdr:row>
                    <xdr:rowOff>9525</xdr:rowOff>
                  </to>
                </anchor>
              </controlPr>
            </control>
          </mc:Choice>
        </mc:AlternateContent>
        <mc:AlternateContent xmlns:mc="http://schemas.openxmlformats.org/markup-compatibility/2006">
          <mc:Choice Requires="x14">
            <control shapeId="142340" r:id="rId6" name="Check Box 4">
              <controlPr defaultSize="0" autoFill="0" autoLine="0" autoPict="0">
                <anchor moveWithCells="1">
                  <from>
                    <xdr:col>7</xdr:col>
                    <xdr:colOff>1038225</xdr:colOff>
                    <xdr:row>28</xdr:row>
                    <xdr:rowOff>38100</xdr:rowOff>
                  </from>
                  <to>
                    <xdr:col>8</xdr:col>
                    <xdr:colOff>771525</xdr:colOff>
                    <xdr:row>29</xdr:row>
                    <xdr:rowOff>66675</xdr:rowOff>
                  </to>
                </anchor>
              </controlPr>
            </control>
          </mc:Choice>
        </mc:AlternateContent>
        <mc:AlternateContent xmlns:mc="http://schemas.openxmlformats.org/markup-compatibility/2006">
          <mc:Choice Requires="x14">
            <control shapeId="142341" r:id="rId7" name="Check Box 5">
              <controlPr defaultSize="0" autoFill="0" autoLine="0" autoPict="0">
                <anchor moveWithCells="1">
                  <from>
                    <xdr:col>7</xdr:col>
                    <xdr:colOff>1057275</xdr:colOff>
                    <xdr:row>30</xdr:row>
                    <xdr:rowOff>104775</xdr:rowOff>
                  </from>
                  <to>
                    <xdr:col>8</xdr:col>
                    <xdr:colOff>790575</xdr:colOff>
                    <xdr:row>31</xdr:row>
                    <xdr:rowOff>133350</xdr:rowOff>
                  </to>
                </anchor>
              </controlPr>
            </control>
          </mc:Choice>
        </mc:AlternateContent>
        <mc:AlternateContent xmlns:mc="http://schemas.openxmlformats.org/markup-compatibility/2006">
          <mc:Choice Requires="x14">
            <control shapeId="142342" r:id="rId8" name="Check Box 6">
              <controlPr defaultSize="0" autoFill="0" autoLine="0" autoPict="0">
                <anchor moveWithCells="1">
                  <from>
                    <xdr:col>7</xdr:col>
                    <xdr:colOff>1038225</xdr:colOff>
                    <xdr:row>29</xdr:row>
                    <xdr:rowOff>66675</xdr:rowOff>
                  </from>
                  <to>
                    <xdr:col>8</xdr:col>
                    <xdr:colOff>771525</xdr:colOff>
                    <xdr:row>30</xdr:row>
                    <xdr:rowOff>95250</xdr:rowOff>
                  </to>
                </anchor>
              </controlPr>
            </control>
          </mc:Choice>
        </mc:AlternateContent>
        <mc:AlternateContent xmlns:mc="http://schemas.openxmlformats.org/markup-compatibility/2006">
          <mc:Choice Requires="x14">
            <control shapeId="142343" r:id="rId9" name="Check Box 7">
              <controlPr defaultSize="0" autoFill="0" autoLine="0" autoPict="0">
                <anchor moveWithCells="1">
                  <from>
                    <xdr:col>7</xdr:col>
                    <xdr:colOff>1047750</xdr:colOff>
                    <xdr:row>27</xdr:row>
                    <xdr:rowOff>0</xdr:rowOff>
                  </from>
                  <to>
                    <xdr:col>8</xdr:col>
                    <xdr:colOff>781050</xdr:colOff>
                    <xdr:row>28</xdr:row>
                    <xdr:rowOff>28575</xdr:rowOff>
                  </to>
                </anchor>
              </controlPr>
            </control>
          </mc:Choice>
        </mc:AlternateContent>
        <mc:AlternateContent xmlns:mc="http://schemas.openxmlformats.org/markup-compatibility/2006">
          <mc:Choice Requires="x14">
            <control shapeId="142344" r:id="rId10" name="Check Box 8">
              <controlPr defaultSize="0" autoFill="0" autoLine="0" autoPict="0">
                <anchor moveWithCells="1">
                  <from>
                    <xdr:col>7</xdr:col>
                    <xdr:colOff>1047750</xdr:colOff>
                    <xdr:row>31</xdr:row>
                    <xdr:rowOff>152400</xdr:rowOff>
                  </from>
                  <to>
                    <xdr:col>8</xdr:col>
                    <xdr:colOff>781050</xdr:colOff>
                    <xdr:row>32</xdr:row>
                    <xdr:rowOff>180975</xdr:rowOff>
                  </to>
                </anchor>
              </controlPr>
            </control>
          </mc:Choice>
        </mc:AlternateContent>
        <mc:AlternateContent xmlns:mc="http://schemas.openxmlformats.org/markup-compatibility/2006">
          <mc:Choice Requires="x14">
            <control shapeId="142345" r:id="rId11" name="Check Box 9">
              <controlPr defaultSize="0" autoFill="0" autoLine="0" autoPict="0">
                <anchor moveWithCells="1">
                  <from>
                    <xdr:col>7</xdr:col>
                    <xdr:colOff>1047750</xdr:colOff>
                    <xdr:row>33</xdr:row>
                    <xdr:rowOff>0</xdr:rowOff>
                  </from>
                  <to>
                    <xdr:col>8</xdr:col>
                    <xdr:colOff>781050</xdr:colOff>
                    <xdr:row>34</xdr:row>
                    <xdr:rowOff>28575</xdr:rowOff>
                  </to>
                </anchor>
              </controlPr>
            </control>
          </mc:Choice>
        </mc:AlternateContent>
        <mc:AlternateContent xmlns:mc="http://schemas.openxmlformats.org/markup-compatibility/2006">
          <mc:Choice Requires="x14">
            <control shapeId="142346" r:id="rId12" name="Check Box 10">
              <controlPr defaultSize="0" autoFill="0" autoLine="0" autoPict="0">
                <anchor moveWithCells="1">
                  <from>
                    <xdr:col>7</xdr:col>
                    <xdr:colOff>1047750</xdr:colOff>
                    <xdr:row>26</xdr:row>
                    <xdr:rowOff>9525</xdr:rowOff>
                  </from>
                  <to>
                    <xdr:col>8</xdr:col>
                    <xdr:colOff>781050</xdr:colOff>
                    <xdr:row>27</xdr:row>
                    <xdr:rowOff>38100</xdr:rowOff>
                  </to>
                </anchor>
              </controlPr>
            </control>
          </mc:Choice>
        </mc:AlternateContent>
      </controls>
    </mc:Choice>
  </mc:AlternateContent>
  <extLst>
    <ext xmlns:x14="http://schemas.microsoft.com/office/spreadsheetml/2009/9/main" uri="{05C60535-1F16-4fd2-B633-F4F36F0B64E0}">
      <x14:sparklineGroups xmlns:xm="http://schemas.microsoft.com/office/excel/2006/main">
        <x14:sparklineGroup displayEmptyCellsAs="gap" markers="1" high="1">
          <x14:colorSeries theme="8"/>
          <x14:colorNegative theme="9"/>
          <x14:colorAxis rgb="FF000000"/>
          <x14:colorMarkers theme="8" tint="-0.249977111117893"/>
          <x14:colorFirst theme="8" tint="-0.249977111117893"/>
          <x14:colorLast theme="8" tint="-0.249977111117893"/>
          <x14:colorHigh rgb="FFFF0000"/>
          <x14:colorLow theme="8" tint="-0.249977111117893"/>
          <x14:sparklines>
            <x14:sparkline>
              <xm:f>Output_growth!C101:O101</xm:f>
              <xm:sqref>F12</xm:sqref>
            </x14:sparkline>
          </x14:sparklines>
        </x14:sparklineGroup>
        <x14:sparklineGroup displayEmptyCellsAs="gap" markers="1" high="1">
          <x14:colorSeries theme="8"/>
          <x14:colorNegative theme="9"/>
          <x14:colorAxis rgb="FF000000"/>
          <x14:colorMarkers theme="8" tint="-0.249977111117893"/>
          <x14:colorFirst theme="8" tint="-0.249977111117893"/>
          <x14:colorLast theme="8" tint="-0.249977111117893"/>
          <x14:colorHigh rgb="FFFF0000"/>
          <x14:colorLow theme="8" tint="-0.249977111117893"/>
          <x14:sparklines>
            <x14:sparkline>
              <xm:f>Output_growth!C103:O103</xm:f>
              <xm:sqref>F13</xm:sqref>
            </x14:sparkline>
          </x14:sparklines>
        </x14:sparklineGroup>
        <x14:sparklineGroup displayEmptyCellsAs="gap" markers="1" high="1">
          <x14:colorSeries theme="8"/>
          <x14:colorNegative theme="9"/>
          <x14:colorAxis rgb="FF000000"/>
          <x14:colorMarkers theme="8" tint="-0.249977111117893"/>
          <x14:colorFirst theme="8" tint="-0.249977111117893"/>
          <x14:colorLast theme="8" tint="-0.249977111117893"/>
          <x14:colorHigh rgb="FFFF0000"/>
          <x14:colorLow theme="8" tint="-0.249977111117893"/>
          <x14:sparklines>
            <x14:sparkline>
              <xm:f>Output_growth!C104:O104</xm:f>
              <xm:sqref>F14</xm:sqref>
            </x14:sparkline>
          </x14:sparklines>
        </x14:sparklineGroup>
        <x14:sparklineGroup displayEmptyCellsAs="gap" markers="1" high="1">
          <x14:colorSeries theme="8"/>
          <x14:colorNegative theme="9"/>
          <x14:colorAxis rgb="FF000000"/>
          <x14:colorMarkers theme="8" tint="-0.249977111117893"/>
          <x14:colorFirst theme="8" tint="-0.249977111117893"/>
          <x14:colorLast theme="8" tint="-0.249977111117893"/>
          <x14:colorHigh rgb="FFFF0000"/>
          <x14:colorLow theme="8" tint="-0.249977111117893"/>
          <x14:sparklines>
            <x14:sparkline>
              <xm:f>Output_growth!C105:O105</xm:f>
              <xm:sqref>F15</xm:sqref>
            </x14:sparkline>
          </x14:sparklines>
        </x14:sparklineGroup>
        <x14:sparklineGroup displayEmptyCellsAs="gap" markers="1" high="1">
          <x14:colorSeries theme="8"/>
          <x14:colorNegative theme="9"/>
          <x14:colorAxis rgb="FF000000"/>
          <x14:colorMarkers theme="8" tint="-0.249977111117893"/>
          <x14:colorFirst theme="8" tint="-0.249977111117893"/>
          <x14:colorLast theme="8" tint="-0.249977111117893"/>
          <x14:colorHigh rgb="FFFF0000"/>
          <x14:colorLow theme="8" tint="-0.249977111117893"/>
          <x14:sparklines>
            <x14:sparkline>
              <xm:f>Output_growth!C106:O106</xm:f>
              <xm:sqref>F16</xm:sqref>
            </x14:sparkline>
          </x14:sparklines>
        </x14:sparklineGroup>
        <x14:sparklineGroup displayEmptyCellsAs="gap" markers="1" high="1">
          <x14:colorSeries theme="8"/>
          <x14:colorNegative theme="9"/>
          <x14:colorAxis rgb="FF000000"/>
          <x14:colorMarkers theme="8" tint="-0.249977111117893"/>
          <x14:colorFirst theme="8" tint="-0.249977111117893"/>
          <x14:colorLast theme="8" tint="-0.249977111117893"/>
          <x14:colorHigh rgb="FFFF0000"/>
          <x14:colorLow theme="8" tint="-0.249977111117893"/>
          <x14:sparklines>
            <x14:sparkline>
              <xm:f>Output_growth!C108:O108</xm:f>
              <xm:sqref>F17</xm:sqref>
            </x14:sparkline>
          </x14:sparklines>
        </x14:sparklineGroup>
        <x14:sparklineGroup displayEmptyCellsAs="gap" markers="1" high="1">
          <x14:colorSeries theme="8"/>
          <x14:colorNegative theme="9"/>
          <x14:colorAxis rgb="FF000000"/>
          <x14:colorMarkers theme="8" tint="-0.249977111117893"/>
          <x14:colorFirst theme="8" tint="-0.249977111117893"/>
          <x14:colorLast theme="8" tint="-0.249977111117893"/>
          <x14:colorHigh rgb="FFFF0000"/>
          <x14:colorLow theme="8" tint="-0.249977111117893"/>
          <x14:sparklines>
            <x14:sparkline>
              <xm:f>Output_growth!C109:O109</xm:f>
              <xm:sqref>F18</xm:sqref>
            </x14:sparkline>
          </x14:sparklines>
        </x14:sparklineGroup>
        <x14:sparklineGroup displayEmptyCellsAs="gap" markers="1" high="1">
          <x14:colorSeries theme="8"/>
          <x14:colorNegative theme="9"/>
          <x14:colorAxis rgb="FF000000"/>
          <x14:colorMarkers theme="8" tint="-0.249977111117893"/>
          <x14:colorFirst theme="8" tint="-0.249977111117893"/>
          <x14:colorLast theme="8" tint="-0.249977111117893"/>
          <x14:colorHigh rgb="FFFF0000"/>
          <x14:colorLow theme="8" tint="-0.249977111117893"/>
          <x14:sparklines>
            <x14:sparkline>
              <xm:f>Output_growth!C55:O55</xm:f>
              <xm:sqref>F19</xm:sqref>
            </x14:sparkline>
          </x14:sparklines>
        </x14:sparklineGroup>
      </x14:sparklineGroup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AL377"/>
  <sheetViews>
    <sheetView showGridLines="0" showRowColHeaders="0" zoomScaleNormal="100" workbookViewId="0">
      <selection activeCell="C16" sqref="C16"/>
    </sheetView>
  </sheetViews>
  <sheetFormatPr defaultRowHeight="15" x14ac:dyDescent="0.25"/>
  <cols>
    <col min="1" max="1" width="5.7109375" style="233" customWidth="1"/>
    <col min="2" max="12" width="35.7109375" style="233" customWidth="1"/>
    <col min="13" max="13" width="16.28515625" style="233" customWidth="1"/>
    <col min="14" max="14" width="26.28515625" style="233" bestFit="1" customWidth="1"/>
    <col min="15" max="15" width="16.28515625" style="233" bestFit="1" customWidth="1"/>
    <col min="16" max="16" width="22.5703125" style="233" bestFit="1" customWidth="1"/>
    <col min="17" max="17" width="21.28515625" style="233" bestFit="1" customWidth="1"/>
    <col min="18" max="18" width="22.28515625" style="233" bestFit="1" customWidth="1"/>
    <col min="19" max="16384" width="9.140625" style="233"/>
  </cols>
  <sheetData>
    <row r="1" spans="1:11" x14ac:dyDescent="0.25">
      <c r="B1" s="658"/>
      <c r="C1" s="658"/>
      <c r="D1" s="658"/>
      <c r="E1" s="658"/>
    </row>
    <row r="2" spans="1:11" x14ac:dyDescent="0.25">
      <c r="B2" s="658"/>
      <c r="C2" s="658"/>
      <c r="D2" s="658"/>
      <c r="E2" s="658"/>
    </row>
    <row r="4" spans="1:11" ht="31.5" x14ac:dyDescent="0.5">
      <c r="B4" s="1224" t="s">
        <v>161</v>
      </c>
      <c r="C4" s="658"/>
      <c r="D4" s="658"/>
      <c r="E4" s="658"/>
      <c r="F4" s="1576"/>
    </row>
    <row r="5" spans="1:11" x14ac:dyDescent="0.25">
      <c r="B5" s="276"/>
      <c r="C5" s="276"/>
      <c r="D5" s="276"/>
      <c r="E5" s="276"/>
      <c r="F5" s="276"/>
    </row>
    <row r="6" spans="1:11" ht="23.25" customHeight="1" x14ac:dyDescent="0.25">
      <c r="B6" s="627" t="s">
        <v>658</v>
      </c>
      <c r="C6" s="276"/>
      <c r="D6" s="276"/>
      <c r="E6" s="276"/>
      <c r="F6" s="276"/>
      <c r="H6" s="376"/>
      <c r="I6" s="376"/>
      <c r="J6" s="376"/>
    </row>
    <row r="7" spans="1:11" x14ac:dyDescent="0.25">
      <c r="B7" s="276"/>
      <c r="C7" s="276"/>
      <c r="D7" s="276"/>
      <c r="E7" s="276"/>
      <c r="F7" s="276"/>
      <c r="H7" s="376"/>
      <c r="I7" s="376"/>
      <c r="J7" s="376"/>
    </row>
    <row r="8" spans="1:11" ht="23.25" customHeight="1" x14ac:dyDescent="0.25">
      <c r="B8" s="627"/>
      <c r="C8" s="276"/>
      <c r="D8" s="276"/>
      <c r="E8" s="276"/>
      <c r="F8" s="276"/>
      <c r="G8" s="259"/>
      <c r="H8" s="259"/>
      <c r="I8" s="259"/>
      <c r="J8" s="259"/>
      <c r="K8" s="259"/>
    </row>
    <row r="9" spans="1:11" x14ac:dyDescent="0.25">
      <c r="B9" s="276"/>
      <c r="C9" s="1458"/>
      <c r="D9" s="276"/>
      <c r="E9" s="276"/>
      <c r="F9" s="276"/>
      <c r="G9" s="1304"/>
      <c r="H9" s="259"/>
      <c r="I9" s="259"/>
      <c r="J9" s="259"/>
      <c r="K9" s="259"/>
    </row>
    <row r="10" spans="1:11" x14ac:dyDescent="0.25">
      <c r="B10" s="267"/>
      <c r="C10" s="267"/>
      <c r="D10" s="267"/>
      <c r="E10" s="1257"/>
      <c r="F10" s="1257"/>
      <c r="G10" s="376"/>
      <c r="H10" s="376"/>
      <c r="I10" s="376"/>
      <c r="J10" s="376"/>
      <c r="K10" s="259"/>
    </row>
    <row r="11" spans="1:11" x14ac:dyDescent="0.25">
      <c r="A11" s="279"/>
      <c r="B11" s="1269"/>
      <c r="C11" s="627" t="s">
        <v>595</v>
      </c>
      <c r="D11" s="629" t="s">
        <v>656</v>
      </c>
      <c r="E11" s="627"/>
      <c r="F11" s="627" t="s">
        <v>506</v>
      </c>
      <c r="G11" s="627" t="s">
        <v>507</v>
      </c>
      <c r="H11" s="1356" t="s">
        <v>635</v>
      </c>
      <c r="I11" s="628" t="s">
        <v>503</v>
      </c>
      <c r="J11" s="1279" t="s">
        <v>536</v>
      </c>
      <c r="K11" s="567"/>
    </row>
    <row r="12" spans="1:11" ht="39.950000000000003" customHeight="1" x14ac:dyDescent="0.25">
      <c r="A12" s="279"/>
      <c r="B12" s="1258" t="s">
        <v>709</v>
      </c>
      <c r="C12" s="1263"/>
      <c r="D12" s="1266"/>
      <c r="E12" s="1273"/>
      <c r="F12" s="1273"/>
      <c r="G12" s="1424"/>
      <c r="H12" s="537"/>
      <c r="I12" s="1480"/>
      <c r="J12" s="379"/>
      <c r="K12" s="567"/>
    </row>
    <row r="13" spans="1:11" ht="39.950000000000003" customHeight="1" x14ac:dyDescent="0.25">
      <c r="A13" s="279"/>
      <c r="B13" s="1258" t="s">
        <v>57</v>
      </c>
      <c r="C13" s="1263"/>
      <c r="D13" s="1266"/>
      <c r="E13" s="1273"/>
      <c r="F13" s="1273"/>
      <c r="G13" s="1424"/>
      <c r="H13" s="537"/>
      <c r="I13" s="1480"/>
      <c r="J13" s="379"/>
      <c r="K13" s="567"/>
    </row>
    <row r="14" spans="1:11" ht="39.950000000000003" customHeight="1" x14ac:dyDescent="0.25">
      <c r="A14" s="279"/>
      <c r="B14" s="1258" t="s">
        <v>47</v>
      </c>
      <c r="C14" s="1263"/>
      <c r="D14" s="1266"/>
      <c r="E14" s="1273"/>
      <c r="F14" s="1273"/>
      <c r="G14" s="1424"/>
      <c r="H14" s="537"/>
      <c r="I14" s="1480"/>
      <c r="J14" s="379"/>
      <c r="K14" s="567"/>
    </row>
    <row r="15" spans="1:11" ht="39.950000000000003" customHeight="1" x14ac:dyDescent="0.25">
      <c r="A15" s="279"/>
      <c r="B15" s="1258" t="s">
        <v>136</v>
      </c>
      <c r="C15" s="1264"/>
      <c r="D15" s="1266"/>
      <c r="E15" s="1273"/>
      <c r="F15" s="1273"/>
      <c r="G15" s="1424"/>
      <c r="H15" s="537"/>
      <c r="I15" s="1480"/>
      <c r="J15" s="379"/>
      <c r="K15" s="567"/>
    </row>
    <row r="16" spans="1:11" ht="39.950000000000003" customHeight="1" x14ac:dyDescent="0.25">
      <c r="A16" s="279"/>
      <c r="B16" s="1258" t="s">
        <v>218</v>
      </c>
      <c r="C16" s="1264"/>
      <c r="D16" s="1266"/>
      <c r="E16" s="1273"/>
      <c r="F16" s="1273"/>
      <c r="G16" s="1424"/>
      <c r="H16" s="537"/>
      <c r="I16" s="1480"/>
      <c r="J16" s="379"/>
      <c r="K16" s="567"/>
    </row>
    <row r="17" spans="1:12" ht="39.950000000000003" customHeight="1" x14ac:dyDescent="0.25">
      <c r="A17" s="279"/>
      <c r="B17" s="1517"/>
      <c r="C17" s="1264"/>
      <c r="D17" s="1266"/>
      <c r="E17" s="1273"/>
      <c r="F17" s="1273"/>
      <c r="G17" s="1424"/>
      <c r="H17" s="537"/>
      <c r="I17" s="1480"/>
      <c r="J17" s="379"/>
      <c r="K17" s="567"/>
    </row>
    <row r="18" spans="1:12" ht="39.950000000000003" customHeight="1" x14ac:dyDescent="0.25">
      <c r="A18" s="1319"/>
      <c r="B18" s="1592" t="s">
        <v>57</v>
      </c>
      <c r="C18" s="1593"/>
      <c r="D18" s="1594"/>
      <c r="E18" s="1595" t="s">
        <v>47</v>
      </c>
      <c r="F18" s="1595"/>
      <c r="G18" s="1596"/>
      <c r="H18" s="537"/>
      <c r="I18" s="1480"/>
      <c r="J18" s="379"/>
      <c r="K18" s="567"/>
    </row>
    <row r="19" spans="1:12" x14ac:dyDescent="0.25">
      <c r="A19" s="1597"/>
      <c r="B19" s="1598"/>
      <c r="C19" s="1598" t="s">
        <v>266</v>
      </c>
      <c r="D19" s="1598" t="s">
        <v>48</v>
      </c>
      <c r="E19" s="1610" t="s">
        <v>1</v>
      </c>
      <c r="F19" s="1610" t="s">
        <v>266</v>
      </c>
      <c r="G19" s="1611" t="s">
        <v>48</v>
      </c>
      <c r="H19" s="1583"/>
      <c r="I19" s="1480"/>
      <c r="J19" s="379"/>
      <c r="K19" s="567"/>
    </row>
    <row r="20" spans="1:12" x14ac:dyDescent="0.25">
      <c r="A20" s="1597"/>
      <c r="B20" s="1598" t="s">
        <v>68</v>
      </c>
      <c r="C20" s="1599">
        <v>5077117.7869999995</v>
      </c>
      <c r="D20" s="1599">
        <v>10445008.787</v>
      </c>
      <c r="E20" s="1612" t="s">
        <v>68</v>
      </c>
      <c r="F20" s="1603">
        <v>2010021.848</v>
      </c>
      <c r="G20" s="1606">
        <v>3395021.8480000002</v>
      </c>
      <c r="H20" s="1607"/>
      <c r="I20" s="1480"/>
      <c r="J20" s="379"/>
      <c r="K20" s="567"/>
    </row>
    <row r="21" spans="1:12" x14ac:dyDescent="0.25">
      <c r="A21" s="1597"/>
      <c r="B21" s="1598" t="s">
        <v>69</v>
      </c>
      <c r="C21" s="1599">
        <v>5620251.5159999998</v>
      </c>
      <c r="D21" s="1599">
        <v>11641474.516000001</v>
      </c>
      <c r="E21" s="1612" t="s">
        <v>69</v>
      </c>
      <c r="F21" s="1603">
        <v>2089618.3663333301</v>
      </c>
      <c r="G21" s="1606">
        <v>3544618.3663333301</v>
      </c>
      <c r="H21" s="1607"/>
      <c r="I21" s="1480"/>
      <c r="J21" s="567"/>
      <c r="K21" s="960"/>
    </row>
    <row r="22" spans="1:12" x14ac:dyDescent="0.25">
      <c r="A22" s="1597"/>
      <c r="B22" s="1598" t="s">
        <v>70</v>
      </c>
      <c r="C22" s="1599">
        <v>5303119.1030000001</v>
      </c>
      <c r="D22" s="1599">
        <v>11757118.103</v>
      </c>
      <c r="E22" s="1612" t="s">
        <v>70</v>
      </c>
      <c r="F22" s="1604">
        <v>2197552.8220000002</v>
      </c>
      <c r="G22" s="1604">
        <v>3815552.8220000002</v>
      </c>
      <c r="H22" s="1608"/>
      <c r="I22" s="1276"/>
      <c r="J22" s="567"/>
      <c r="K22" s="960"/>
    </row>
    <row r="23" spans="1:12" x14ac:dyDescent="0.25">
      <c r="A23" s="1597"/>
      <c r="B23" s="1598" t="s">
        <v>494</v>
      </c>
      <c r="C23" s="1599">
        <v>5666475.1449999996</v>
      </c>
      <c r="D23" s="1599">
        <v>13321063.145</v>
      </c>
      <c r="E23" s="1612" t="s">
        <v>494</v>
      </c>
      <c r="F23" s="1609">
        <v>2231590.15366667</v>
      </c>
      <c r="G23" s="1604">
        <v>3626590.15366667</v>
      </c>
      <c r="H23" s="1608"/>
      <c r="I23" s="1276"/>
      <c r="J23" s="567"/>
      <c r="K23" s="960"/>
    </row>
    <row r="24" spans="1:12" x14ac:dyDescent="0.25">
      <c r="A24" s="1597"/>
      <c r="B24" s="1598" t="s">
        <v>493</v>
      </c>
      <c r="C24" s="1599">
        <v>6153081.7249999996</v>
      </c>
      <c r="D24" s="1599">
        <v>14985078.725</v>
      </c>
      <c r="E24" s="1612" t="s">
        <v>493</v>
      </c>
      <c r="F24" s="1604">
        <v>2327972.3616666701</v>
      </c>
      <c r="G24" s="1604">
        <v>3895972.3616666701</v>
      </c>
      <c r="H24" s="1605"/>
      <c r="I24" s="1576"/>
      <c r="J24" s="1276"/>
      <c r="K24" s="567"/>
      <c r="L24" s="960"/>
    </row>
    <row r="25" spans="1:12" x14ac:dyDescent="0.25">
      <c r="A25" s="1597"/>
      <c r="B25" s="1598" t="s">
        <v>492</v>
      </c>
      <c r="C25" s="1599">
        <v>6605831.9550000001</v>
      </c>
      <c r="D25" s="1599">
        <v>17301167.954999998</v>
      </c>
      <c r="E25" s="1612" t="s">
        <v>492</v>
      </c>
      <c r="F25" s="1604">
        <v>2504506.085</v>
      </c>
      <c r="G25" s="1604">
        <v>4134506.085</v>
      </c>
      <c r="H25" s="1605"/>
      <c r="I25" s="1576"/>
      <c r="J25" s="1276"/>
      <c r="K25" s="379"/>
      <c r="L25" s="960"/>
    </row>
    <row r="26" spans="1:12" x14ac:dyDescent="0.25">
      <c r="A26" s="1597"/>
      <c r="B26" s="1598" t="s">
        <v>192</v>
      </c>
      <c r="C26" s="1599">
        <v>6991023</v>
      </c>
      <c r="D26" s="1599">
        <v>11981995</v>
      </c>
      <c r="E26" s="1612" t="s">
        <v>192</v>
      </c>
      <c r="F26" s="1604">
        <v>4421465.1339764148</v>
      </c>
      <c r="G26" s="1604">
        <v>5115514.2809764491</v>
      </c>
      <c r="H26" s="1605"/>
      <c r="I26" s="1576"/>
      <c r="J26" s="1276"/>
      <c r="K26" s="379"/>
      <c r="L26" s="960"/>
    </row>
    <row r="27" spans="1:12" x14ac:dyDescent="0.25">
      <c r="A27" s="1597"/>
      <c r="B27" s="1598" t="s">
        <v>193</v>
      </c>
      <c r="C27" s="1599">
        <v>8214109</v>
      </c>
      <c r="D27" s="1599">
        <v>14214691</v>
      </c>
      <c r="E27" s="1612" t="s">
        <v>193</v>
      </c>
      <c r="F27" s="1604">
        <v>5047095.5</v>
      </c>
      <c r="G27" s="1604">
        <v>5839664.3710000003</v>
      </c>
      <c r="H27" s="1605"/>
      <c r="I27" s="1937"/>
      <c r="J27" s="1277"/>
      <c r="K27" s="379"/>
      <c r="L27" s="960"/>
    </row>
    <row r="28" spans="1:12" x14ac:dyDescent="0.25">
      <c r="A28" s="1597"/>
      <c r="B28" s="1598" t="s">
        <v>194</v>
      </c>
      <c r="C28" s="1599">
        <v>8969197</v>
      </c>
      <c r="D28" s="1599">
        <v>15833718</v>
      </c>
      <c r="E28" s="1612" t="s">
        <v>194</v>
      </c>
      <c r="F28" s="1604">
        <v>5692813.6799999997</v>
      </c>
      <c r="G28" s="1604">
        <v>6568362.6799999997</v>
      </c>
      <c r="H28" s="1605"/>
      <c r="I28" s="1937"/>
      <c r="J28" s="1277"/>
      <c r="K28" s="379"/>
      <c r="L28" s="960"/>
    </row>
    <row r="29" spans="1:12" x14ac:dyDescent="0.25">
      <c r="A29" s="1597"/>
      <c r="B29" s="1598" t="s">
        <v>195</v>
      </c>
      <c r="C29" s="1599">
        <v>10132245</v>
      </c>
      <c r="D29" s="1599">
        <v>18554701</v>
      </c>
      <c r="E29" s="1612" t="s">
        <v>195</v>
      </c>
      <c r="F29" s="1604">
        <v>6597634.0729</v>
      </c>
      <c r="G29" s="1604">
        <v>7784592.0729</v>
      </c>
      <c r="H29" s="1605"/>
      <c r="I29" s="1937"/>
      <c r="J29" s="1277"/>
      <c r="K29" s="379"/>
      <c r="L29" s="960"/>
    </row>
    <row r="30" spans="1:12" x14ac:dyDescent="0.25">
      <c r="A30" s="1597"/>
      <c r="B30" s="1598" t="s">
        <v>196</v>
      </c>
      <c r="C30" s="1599">
        <v>11126240</v>
      </c>
      <c r="D30" s="1599">
        <v>20184853</v>
      </c>
      <c r="E30" s="1612" t="s">
        <v>196</v>
      </c>
      <c r="F30" s="1604">
        <v>6302210.0633199997</v>
      </c>
      <c r="G30" s="1604">
        <v>7426030.9178999998</v>
      </c>
      <c r="H30" s="1605"/>
      <c r="I30" s="1937"/>
      <c r="J30" s="1277"/>
      <c r="K30" s="379"/>
      <c r="L30" s="960"/>
    </row>
    <row r="31" spans="1:12" x14ac:dyDescent="0.25">
      <c r="A31" s="1597"/>
      <c r="B31" s="1598" t="s">
        <v>6</v>
      </c>
      <c r="C31" s="1599">
        <v>11841634</v>
      </c>
      <c r="D31" s="1599">
        <v>22017444</v>
      </c>
      <c r="E31" s="1612" t="s">
        <v>6</v>
      </c>
      <c r="F31" s="1604">
        <v>6516513.7579399999</v>
      </c>
      <c r="G31" s="1604">
        <v>7635390.1285600001</v>
      </c>
      <c r="H31" s="1605"/>
      <c r="I31" s="1937"/>
      <c r="J31" s="1277"/>
      <c r="K31" s="379"/>
      <c r="L31" s="960"/>
    </row>
    <row r="32" spans="1:12" x14ac:dyDescent="0.25">
      <c r="A32" s="1597"/>
      <c r="B32" s="1598" t="s">
        <v>7</v>
      </c>
      <c r="C32" s="1599">
        <v>12961219</v>
      </c>
      <c r="D32" s="1599">
        <v>23931314</v>
      </c>
      <c r="E32" s="1612" t="s">
        <v>7</v>
      </c>
      <c r="F32" s="1604">
        <v>6839898</v>
      </c>
      <c r="G32" s="1604">
        <v>8025361</v>
      </c>
      <c r="H32" s="1605"/>
      <c r="I32" s="1937"/>
      <c r="J32" s="1277"/>
      <c r="K32" s="379"/>
      <c r="L32" s="960"/>
    </row>
    <row r="33" spans="1:17" x14ac:dyDescent="0.25">
      <c r="A33" s="1597"/>
      <c r="B33" s="1598" t="s">
        <v>489</v>
      </c>
      <c r="C33" s="1599">
        <v>14941588</v>
      </c>
      <c r="D33" s="1599">
        <v>25522535.52482</v>
      </c>
      <c r="E33" s="1612" t="s">
        <v>489</v>
      </c>
      <c r="F33" s="1604">
        <v>7363126.411328</v>
      </c>
      <c r="G33" s="1604">
        <v>8265079.0023079999</v>
      </c>
      <c r="H33" s="1605"/>
      <c r="I33" s="1937"/>
      <c r="J33" s="1277"/>
      <c r="K33" s="379"/>
      <c r="L33" s="960"/>
    </row>
    <row r="34" spans="1:17" x14ac:dyDescent="0.25">
      <c r="A34" s="1597"/>
      <c r="B34" s="1601"/>
      <c r="C34" s="1602"/>
      <c r="D34" s="1594"/>
      <c r="E34" s="1600"/>
      <c r="F34" s="1604"/>
      <c r="G34" s="1604"/>
      <c r="H34" s="1605"/>
      <c r="I34" s="1937"/>
      <c r="J34" s="1277"/>
      <c r="K34" s="379"/>
      <c r="L34" s="960"/>
    </row>
    <row r="35" spans="1:17" x14ac:dyDescent="0.25">
      <c r="A35" s="1597"/>
      <c r="B35" s="1601"/>
      <c r="C35" s="1602"/>
      <c r="D35" s="1594"/>
      <c r="E35" s="1600"/>
      <c r="F35" s="1604"/>
      <c r="G35" s="1604"/>
      <c r="H35" s="1605"/>
      <c r="I35" s="1937"/>
      <c r="J35" s="1277"/>
      <c r="K35" s="379"/>
      <c r="L35" s="960"/>
    </row>
    <row r="36" spans="1:17" x14ac:dyDescent="0.25">
      <c r="A36" s="1031"/>
      <c r="B36" s="1517"/>
      <c r="C36" s="1584"/>
      <c r="D36" s="1266"/>
      <c r="E36" s="1274"/>
      <c r="F36" s="1605"/>
      <c r="G36" s="1605"/>
      <c r="H36" s="1605"/>
      <c r="I36" s="1937"/>
      <c r="J36" s="1277"/>
      <c r="K36" s="379"/>
      <c r="L36" s="960"/>
    </row>
    <row r="37" spans="1:17" x14ac:dyDescent="0.25">
      <c r="A37" s="1031"/>
      <c r="B37" s="1517"/>
      <c r="C37" s="1584"/>
      <c r="D37" s="1266"/>
      <c r="E37" s="1274"/>
      <c r="F37" s="1274"/>
      <c r="G37" s="1274"/>
      <c r="H37" s="1585"/>
      <c r="I37" s="1937"/>
      <c r="J37" s="1277"/>
      <c r="K37" s="379"/>
      <c r="L37" s="960"/>
    </row>
    <row r="38" spans="1:17" x14ac:dyDescent="0.25">
      <c r="A38" s="1031"/>
      <c r="B38" s="1517"/>
      <c r="C38" s="1584"/>
      <c r="D38" s="1266"/>
      <c r="E38" s="1274"/>
      <c r="F38" s="1274"/>
      <c r="G38" s="1274"/>
      <c r="H38" s="1585"/>
      <c r="I38" s="1937"/>
      <c r="J38" s="1277"/>
      <c r="K38" s="567"/>
      <c r="L38" s="960"/>
    </row>
    <row r="39" spans="1:17" x14ac:dyDescent="0.25">
      <c r="A39" s="1031"/>
      <c r="B39" s="1517"/>
      <c r="C39" s="1584"/>
      <c r="D39" s="1266"/>
      <c r="E39" s="1274"/>
      <c r="F39" s="1274"/>
      <c r="G39" s="1274"/>
      <c r="H39" s="1585"/>
      <c r="I39" s="1937"/>
      <c r="J39" s="1277"/>
      <c r="K39" s="567"/>
      <c r="L39" s="960"/>
      <c r="M39" s="1278"/>
      <c r="N39" s="1278"/>
      <c r="O39" s="1278"/>
      <c r="P39" s="1278"/>
      <c r="Q39" s="1279"/>
    </row>
    <row r="40" spans="1:17" x14ac:dyDescent="0.25">
      <c r="A40" s="1031"/>
      <c r="B40" s="1517"/>
      <c r="C40" s="1584"/>
      <c r="D40" s="1266"/>
      <c r="E40" s="1274"/>
      <c r="F40" s="1274"/>
      <c r="G40" s="1585"/>
      <c r="H40" s="1274"/>
      <c r="I40" s="1276"/>
      <c r="J40" s="567"/>
      <c r="K40" s="960"/>
      <c r="L40" s="1280"/>
      <c r="M40" s="1280"/>
      <c r="N40" s="1280"/>
      <c r="O40" s="1280"/>
    </row>
    <row r="41" spans="1:17" x14ac:dyDescent="0.25">
      <c r="A41" s="1031"/>
      <c r="B41" s="1517"/>
      <c r="C41" s="1584"/>
      <c r="D41" s="1266"/>
      <c r="E41" s="1274"/>
      <c r="F41" s="1274"/>
      <c r="G41" s="1585"/>
      <c r="H41" s="1274"/>
      <c r="I41" s="1276"/>
      <c r="J41" s="567"/>
      <c r="K41" s="960"/>
      <c r="L41" s="1280"/>
      <c r="M41" s="1280"/>
      <c r="N41" s="1280"/>
      <c r="O41" s="1280"/>
    </row>
    <row r="42" spans="1:17" x14ac:dyDescent="0.25">
      <c r="A42" s="1031"/>
      <c r="B42" s="1517"/>
      <c r="C42" s="1584"/>
      <c r="D42" s="1266"/>
      <c r="E42" s="1274"/>
      <c r="F42" s="1274"/>
      <c r="G42" s="1585"/>
      <c r="H42" s="1274"/>
      <c r="I42" s="1276"/>
      <c r="J42" s="567"/>
      <c r="K42" s="960"/>
      <c r="L42" s="1280"/>
      <c r="M42" s="1280"/>
      <c r="N42" s="1280"/>
      <c r="O42" s="1280"/>
    </row>
    <row r="43" spans="1:17" x14ac:dyDescent="0.25">
      <c r="A43" s="1031"/>
      <c r="B43" s="1517"/>
      <c r="C43" s="1584"/>
      <c r="D43" s="1266"/>
      <c r="E43" s="1274"/>
      <c r="F43" s="1274"/>
      <c r="G43" s="1585"/>
      <c r="H43" s="1274"/>
      <c r="I43" s="1276"/>
      <c r="J43" s="567"/>
      <c r="K43" s="960"/>
      <c r="L43" s="1280"/>
      <c r="M43" s="1280"/>
      <c r="N43" s="1280"/>
      <c r="O43" s="1280"/>
    </row>
    <row r="44" spans="1:17" x14ac:dyDescent="0.25">
      <c r="A44" s="1031"/>
      <c r="B44" s="1517"/>
      <c r="C44" s="1584"/>
      <c r="D44" s="1266"/>
      <c r="E44" s="1274"/>
      <c r="F44" s="1274"/>
      <c r="G44" s="1585"/>
      <c r="H44" s="1274"/>
      <c r="I44" s="1276"/>
      <c r="J44" s="567"/>
      <c r="K44" s="960"/>
      <c r="L44" s="1280"/>
      <c r="M44" s="1280"/>
      <c r="N44" s="1280"/>
      <c r="O44" s="1280"/>
    </row>
    <row r="45" spans="1:17" x14ac:dyDescent="0.25">
      <c r="A45" s="1031"/>
      <c r="B45" s="1582"/>
      <c r="C45" s="1582"/>
      <c r="D45" s="1582"/>
      <c r="E45" s="1582"/>
      <c r="F45" s="1582"/>
      <c r="G45" s="1586"/>
      <c r="H45" s="1582"/>
      <c r="I45" s="1276"/>
      <c r="J45" s="960"/>
      <c r="K45" s="1259"/>
      <c r="L45" s="1280"/>
      <c r="M45" s="1280"/>
      <c r="N45" s="1280"/>
      <c r="O45" s="1280"/>
    </row>
    <row r="46" spans="1:17" x14ac:dyDescent="0.25">
      <c r="A46" s="1587"/>
      <c r="B46" s="1588"/>
      <c r="C46" s="1588"/>
      <c r="D46" s="1588"/>
      <c r="E46" s="1588"/>
      <c r="F46" s="1588"/>
      <c r="G46" s="1587"/>
      <c r="H46" s="1589"/>
      <c r="I46" s="1080"/>
      <c r="J46" s="1080"/>
      <c r="K46" s="1082"/>
      <c r="L46" s="1280"/>
      <c r="M46" s="1280"/>
      <c r="N46" s="1280"/>
      <c r="O46" s="1280"/>
    </row>
    <row r="47" spans="1:17" ht="23.25" x14ac:dyDescent="0.25">
      <c r="A47" s="1590"/>
      <c r="B47" s="1590"/>
      <c r="C47" s="1590"/>
      <c r="D47" s="1590"/>
      <c r="E47" s="1590"/>
      <c r="F47" s="1590"/>
      <c r="G47" s="1590"/>
      <c r="H47" s="1590"/>
      <c r="I47" s="1418"/>
      <c r="J47" s="1419"/>
      <c r="K47" s="1419"/>
      <c r="L47" s="1280"/>
      <c r="M47" s="1280"/>
      <c r="N47" s="1280"/>
      <c r="O47" s="1280"/>
    </row>
    <row r="48" spans="1:17" ht="15.75" thickBot="1" x14ac:dyDescent="0.3">
      <c r="A48" s="1591"/>
      <c r="B48" s="1421"/>
      <c r="C48" s="1422"/>
      <c r="D48" s="1422"/>
      <c r="E48" s="1422"/>
      <c r="F48" s="1422"/>
      <c r="G48" s="1422"/>
      <c r="H48" s="1422"/>
      <c r="I48" s="1422"/>
      <c r="J48" s="1422"/>
      <c r="K48" s="1422"/>
      <c r="L48" s="1278"/>
      <c r="M48" s="1278"/>
      <c r="N48" s="1278"/>
      <c r="O48" s="1278"/>
    </row>
    <row r="49" spans="1:38" x14ac:dyDescent="0.25">
      <c r="A49" s="1591"/>
      <c r="B49" s="1489"/>
      <c r="C49" s="1490"/>
      <c r="D49" s="1490"/>
      <c r="E49" s="1490"/>
      <c r="F49" s="1490"/>
      <c r="G49" s="1490"/>
      <c r="H49" s="1490"/>
      <c r="I49" s="1480"/>
      <c r="J49" s="1480"/>
      <c r="K49" s="1490"/>
      <c r="L49" s="1491"/>
      <c r="M49" s="1491"/>
      <c r="N49" s="1491"/>
      <c r="O49" s="1491"/>
      <c r="P49" s="1492"/>
      <c r="Q49" s="1492"/>
      <c r="R49" s="1492"/>
      <c r="S49" s="1938"/>
      <c r="T49" s="1940"/>
      <c r="U49" s="1940"/>
      <c r="V49" s="1492"/>
      <c r="W49" s="1492"/>
      <c r="X49" s="1492"/>
      <c r="Y49" s="1492"/>
      <c r="Z49" s="1492"/>
      <c r="AA49" s="1492"/>
      <c r="AB49" s="1492"/>
    </row>
    <row r="50" spans="1:38" ht="15.75" thickBot="1" x14ac:dyDescent="0.3">
      <c r="A50" s="1420"/>
      <c r="B50" s="1489"/>
      <c r="C50" s="1480"/>
      <c r="D50" s="1480"/>
      <c r="E50" s="1480"/>
      <c r="F50" s="1480"/>
      <c r="G50" s="1480"/>
      <c r="H50" s="1480"/>
      <c r="I50" s="1480"/>
      <c r="J50" s="1480"/>
      <c r="K50" s="1490"/>
      <c r="L50" s="1491"/>
      <c r="M50" s="1491"/>
      <c r="N50" s="1491"/>
      <c r="O50" s="1491"/>
      <c r="P50" s="1492"/>
      <c r="Q50" s="1492"/>
      <c r="R50" s="1492"/>
      <c r="S50" s="1939"/>
      <c r="T50" s="1514"/>
      <c r="U50" s="1514"/>
      <c r="V50" s="1492"/>
      <c r="W50" s="1492"/>
      <c r="X50" s="1492"/>
      <c r="Y50" s="1492"/>
      <c r="Z50" s="1492"/>
      <c r="AA50" s="1492"/>
      <c r="AB50" s="1492"/>
    </row>
    <row r="51" spans="1:38" ht="30" customHeight="1" x14ac:dyDescent="0.25">
      <c r="A51" s="1349"/>
      <c r="B51" s="1489"/>
      <c r="C51" s="1480"/>
      <c r="D51" s="1480"/>
      <c r="E51" s="1480"/>
      <c r="F51" s="1480"/>
      <c r="G51" s="1480"/>
      <c r="H51" s="1480"/>
      <c r="I51" s="1480"/>
      <c r="J51" s="1480"/>
      <c r="K51" s="1490"/>
      <c r="L51" s="1491"/>
      <c r="M51" s="1491"/>
      <c r="N51" s="1491"/>
      <c r="O51" s="1491"/>
      <c r="P51" s="1492"/>
      <c r="Q51" s="1492"/>
      <c r="R51" s="1492"/>
      <c r="S51" s="843"/>
      <c r="T51" s="1493"/>
      <c r="U51" s="1494"/>
      <c r="V51" s="1492"/>
      <c r="W51" s="1492"/>
      <c r="X51" s="1492"/>
      <c r="Y51" s="1492"/>
      <c r="Z51" s="1492"/>
      <c r="AA51" s="1492"/>
      <c r="AB51" s="1492"/>
    </row>
    <row r="52" spans="1:38" x14ac:dyDescent="0.25">
      <c r="A52" s="1282"/>
      <c r="B52" s="1489"/>
      <c r="C52" s="1480"/>
      <c r="D52" s="1480"/>
      <c r="E52" s="1480"/>
      <c r="F52" s="1480"/>
      <c r="G52" s="1480"/>
      <c r="H52" s="1480"/>
      <c r="I52" s="1480"/>
      <c r="J52" s="1480"/>
      <c r="K52" s="1490"/>
      <c r="L52" s="1491"/>
      <c r="M52" s="1491"/>
      <c r="N52" s="1491"/>
      <c r="O52" s="1491"/>
      <c r="P52" s="1492"/>
      <c r="Q52" s="1492"/>
      <c r="R52" s="1492"/>
      <c r="S52" s="843"/>
      <c r="T52" s="1493"/>
      <c r="U52" s="1494"/>
      <c r="V52" s="1492"/>
      <c r="W52" s="1492"/>
      <c r="X52" s="1492"/>
      <c r="Y52" s="1492"/>
      <c r="Z52" s="1492"/>
      <c r="AA52" s="1492"/>
      <c r="AB52" s="1492"/>
    </row>
    <row r="53" spans="1:38" ht="30" customHeight="1" x14ac:dyDescent="0.25">
      <c r="A53" s="1282"/>
      <c r="B53" s="1489"/>
      <c r="C53" s="1480"/>
      <c r="D53" s="1480"/>
      <c r="E53" s="1480"/>
      <c r="F53" s="1480"/>
      <c r="G53" s="1480"/>
      <c r="H53" s="1480"/>
      <c r="I53" s="1480"/>
      <c r="J53" s="1480"/>
      <c r="K53" s="1490"/>
      <c r="L53" s="1491"/>
      <c r="M53" s="1491"/>
      <c r="N53" s="1491"/>
      <c r="O53" s="1491"/>
      <c r="P53" s="1492"/>
      <c r="Q53" s="1492"/>
      <c r="R53" s="1492"/>
      <c r="S53" s="843"/>
      <c r="T53" s="1493"/>
      <c r="U53" s="1493"/>
      <c r="V53" s="1492"/>
      <c r="W53" s="1492"/>
      <c r="X53" s="1492"/>
      <c r="Y53" s="1492"/>
      <c r="Z53" s="1492"/>
      <c r="AA53" s="1492"/>
      <c r="AB53" s="1492"/>
    </row>
    <row r="54" spans="1:38" ht="30" customHeight="1" x14ac:dyDescent="0.25">
      <c r="A54" s="1282"/>
      <c r="B54" s="1489"/>
      <c r="C54" s="1480"/>
      <c r="D54" s="1480"/>
      <c r="E54" s="1480"/>
      <c r="F54" s="1480"/>
      <c r="G54" s="1480"/>
      <c r="H54" s="1480"/>
      <c r="I54" s="1480"/>
      <c r="J54" s="1480"/>
      <c r="K54" s="1490"/>
      <c r="L54" s="1491"/>
      <c r="M54" s="1491"/>
      <c r="N54" s="1491"/>
      <c r="O54" s="1491"/>
      <c r="P54" s="1492"/>
      <c r="Q54" s="1492"/>
      <c r="R54" s="1492"/>
      <c r="S54" s="843"/>
      <c r="T54" s="1493"/>
      <c r="U54" s="1493"/>
      <c r="V54" s="1492"/>
      <c r="W54" s="1492"/>
      <c r="X54" s="1492"/>
      <c r="Y54" s="1492"/>
      <c r="Z54" s="1492"/>
      <c r="AA54" s="1492"/>
      <c r="AB54" s="1492"/>
    </row>
    <row r="55" spans="1:38" ht="30" customHeight="1" x14ac:dyDescent="0.25">
      <c r="A55" s="1282"/>
      <c r="B55" s="1489"/>
      <c r="C55" s="1480"/>
      <c r="D55" s="1480"/>
      <c r="E55" s="1480"/>
      <c r="F55" s="1480"/>
      <c r="G55" s="1480"/>
      <c r="H55" s="1480"/>
      <c r="I55" s="1480"/>
      <c r="J55" s="1480"/>
      <c r="K55" s="1490"/>
      <c r="L55" s="1491"/>
      <c r="M55" s="1491"/>
      <c r="N55" s="1491"/>
      <c r="O55" s="1491"/>
      <c r="P55" s="1492"/>
      <c r="Q55" s="1492"/>
      <c r="R55" s="1492"/>
      <c r="S55" s="843"/>
      <c r="T55" s="1493"/>
      <c r="U55" s="1493"/>
      <c r="V55" s="1492"/>
      <c r="W55" s="1492"/>
      <c r="X55" s="1492"/>
      <c r="Y55" s="1492"/>
      <c r="Z55" s="1492"/>
      <c r="AA55" s="1492"/>
      <c r="AB55" s="1492"/>
    </row>
    <row r="56" spans="1:38" ht="30" customHeight="1" thickBot="1" x14ac:dyDescent="0.3">
      <c r="A56" s="1282"/>
      <c r="B56" s="1489"/>
      <c r="C56" s="1480"/>
      <c r="D56" s="1480"/>
      <c r="E56" s="1480"/>
      <c r="F56" s="1480"/>
      <c r="G56" s="1480"/>
      <c r="H56" s="1480"/>
      <c r="I56" s="1480"/>
      <c r="J56" s="1480"/>
      <c r="K56" s="1490"/>
      <c r="L56" s="1491"/>
      <c r="M56" s="1491"/>
      <c r="N56" s="1491"/>
      <c r="O56" s="1491"/>
      <c r="P56" s="1492"/>
      <c r="Q56" s="1492"/>
      <c r="R56" s="1492"/>
      <c r="S56" s="1495"/>
      <c r="T56" s="1496"/>
      <c r="U56" s="1496"/>
      <c r="V56" s="1492"/>
      <c r="W56" s="1492"/>
      <c r="X56" s="1492"/>
      <c r="Y56" s="1492"/>
      <c r="Z56" s="1492"/>
      <c r="AA56" s="1492"/>
      <c r="AB56" s="1492"/>
    </row>
    <row r="57" spans="1:38" ht="30" customHeight="1" x14ac:dyDescent="0.25">
      <c r="A57" s="1282"/>
      <c r="B57" s="1489"/>
      <c r="C57" s="1480"/>
      <c r="D57" s="1480"/>
      <c r="E57" s="1480"/>
      <c r="F57" s="1480"/>
      <c r="G57" s="1480"/>
      <c r="H57" s="1480"/>
      <c r="I57" s="1480"/>
      <c r="J57" s="1480"/>
      <c r="K57" s="1490"/>
      <c r="L57" s="1491"/>
      <c r="M57" s="1491"/>
      <c r="N57" s="1491"/>
      <c r="O57" s="1491"/>
      <c r="P57" s="1492"/>
      <c r="Q57" s="1492"/>
      <c r="R57" s="1492"/>
      <c r="S57" s="1492"/>
      <c r="T57" s="1492"/>
      <c r="U57" s="1492"/>
      <c r="V57" s="1492"/>
      <c r="W57" s="1492"/>
      <c r="X57" s="1492"/>
      <c r="Y57" s="1492"/>
      <c r="Z57" s="1492"/>
      <c r="AA57" s="1492"/>
      <c r="AB57" s="1492"/>
    </row>
    <row r="58" spans="1:38" ht="30" customHeight="1" x14ac:dyDescent="0.25">
      <c r="A58" s="1282"/>
      <c r="B58" s="1489"/>
      <c r="C58" s="1480"/>
      <c r="D58" s="1480"/>
      <c r="E58" s="1480"/>
      <c r="F58" s="1480"/>
      <c r="G58" s="1480"/>
      <c r="H58" s="1480"/>
      <c r="I58" s="1480"/>
      <c r="J58" s="1480"/>
      <c r="K58" s="1490"/>
      <c r="L58" s="1490"/>
      <c r="M58" s="1490"/>
      <c r="N58" s="1490"/>
      <c r="O58" s="1490"/>
      <c r="P58" s="1497"/>
      <c r="Q58" s="1497"/>
      <c r="R58" s="1497"/>
      <c r="S58" s="1497"/>
      <c r="T58" s="1497"/>
      <c r="U58" s="1497"/>
      <c r="V58" s="1497"/>
      <c r="W58" s="1497"/>
      <c r="X58" s="1497"/>
      <c r="Y58" s="1497"/>
      <c r="Z58" s="1497"/>
      <c r="AA58" s="1497"/>
      <c r="AB58" s="1497"/>
      <c r="AC58" s="376"/>
      <c r="AD58" s="376"/>
      <c r="AE58" s="376"/>
      <c r="AF58" s="376"/>
      <c r="AG58" s="376"/>
      <c r="AH58" s="376"/>
      <c r="AI58" s="376"/>
      <c r="AJ58" s="376"/>
      <c r="AK58" s="376"/>
      <c r="AL58" s="376"/>
    </row>
    <row r="59" spans="1:38" x14ac:dyDescent="0.25">
      <c r="A59" s="375"/>
      <c r="B59" s="1498"/>
      <c r="C59" s="1498"/>
      <c r="D59" s="1498"/>
      <c r="E59" s="1498"/>
      <c r="F59" s="1498"/>
      <c r="G59" s="1498"/>
      <c r="H59" s="1498"/>
      <c r="I59" s="1498"/>
      <c r="J59" s="1498"/>
      <c r="K59" s="1498"/>
      <c r="L59" s="1283"/>
      <c r="M59" s="1497"/>
      <c r="N59" s="1497"/>
      <c r="O59" s="1497"/>
      <c r="P59" s="1497"/>
      <c r="Q59" s="1497"/>
      <c r="R59" s="1497"/>
      <c r="S59" s="1497"/>
      <c r="T59" s="1497"/>
      <c r="U59" s="1497"/>
      <c r="V59" s="1497"/>
      <c r="W59" s="1497"/>
      <c r="X59" s="1497"/>
      <c r="Y59" s="1497"/>
      <c r="Z59" s="1497"/>
      <c r="AA59" s="1497"/>
      <c r="AB59" s="1497"/>
      <c r="AC59" s="376"/>
      <c r="AD59" s="376"/>
      <c r="AE59" s="376"/>
      <c r="AF59" s="376"/>
      <c r="AG59" s="376"/>
      <c r="AH59" s="376"/>
      <c r="AI59" s="376"/>
      <c r="AJ59" s="376"/>
      <c r="AK59" s="376"/>
      <c r="AL59" s="376"/>
    </row>
    <row r="60" spans="1:38" x14ac:dyDescent="0.25">
      <c r="A60" s="378"/>
      <c r="B60" s="1499"/>
      <c r="C60" s="1498"/>
      <c r="D60" s="1498"/>
      <c r="E60" s="1498"/>
      <c r="F60" s="1498"/>
      <c r="G60" s="1498"/>
      <c r="H60" s="1498"/>
      <c r="I60" s="1498"/>
      <c r="J60" s="1498"/>
      <c r="K60" s="1500"/>
      <c r="L60" s="1397"/>
      <c r="M60" s="1501"/>
      <c r="N60" s="1501"/>
      <c r="O60" s="1501"/>
      <c r="P60" s="1501"/>
      <c r="Q60" s="1501"/>
      <c r="R60" s="1501"/>
      <c r="S60" s="1501"/>
      <c r="T60" s="1501"/>
      <c r="U60" s="1501"/>
      <c r="V60" s="1501"/>
      <c r="W60" s="1501"/>
      <c r="X60" s="1501"/>
      <c r="Y60" s="1501"/>
      <c r="Z60" s="1501"/>
      <c r="AA60" s="1501"/>
      <c r="AB60" s="1498"/>
      <c r="AC60" s="378"/>
      <c r="AD60" s="378"/>
      <c r="AE60" s="378"/>
      <c r="AF60" s="378"/>
      <c r="AG60" s="378"/>
      <c r="AH60" s="376"/>
      <c r="AI60" s="376"/>
      <c r="AJ60" s="376"/>
      <c r="AK60" s="376"/>
      <c r="AL60" s="376"/>
    </row>
    <row r="61" spans="1:38" x14ac:dyDescent="0.25">
      <c r="A61" s="547"/>
      <c r="B61" s="1398"/>
      <c r="C61" s="1399"/>
      <c r="D61" s="1399"/>
      <c r="E61" s="1399"/>
      <c r="F61" s="1399"/>
      <c r="G61" s="1399"/>
      <c r="H61" s="1399"/>
      <c r="I61" s="1399"/>
      <c r="J61" s="1399"/>
      <c r="K61" s="1515"/>
      <c r="L61" s="1399"/>
      <c r="M61" s="547"/>
      <c r="N61" s="547"/>
      <c r="O61" s="547"/>
      <c r="P61" s="547"/>
      <c r="Q61" s="547"/>
      <c r="R61" s="547"/>
      <c r="S61" s="547"/>
      <c r="T61" s="547"/>
      <c r="U61" s="547"/>
      <c r="V61" s="547"/>
      <c r="W61" s="547"/>
      <c r="X61" s="547"/>
      <c r="Y61" s="547"/>
      <c r="Z61" s="396"/>
      <c r="AA61" s="396"/>
      <c r="AB61" s="378"/>
      <c r="AC61" s="378"/>
      <c r="AD61" s="378"/>
      <c r="AE61" s="378"/>
      <c r="AF61" s="378"/>
      <c r="AG61" s="378"/>
      <c r="AH61" s="376"/>
      <c r="AI61" s="376"/>
      <c r="AJ61" s="376"/>
      <c r="AK61" s="376"/>
      <c r="AL61" s="376"/>
    </row>
    <row r="62" spans="1:38" ht="23.25" customHeight="1" x14ac:dyDescent="0.25">
      <c r="A62" s="547"/>
      <c r="B62" s="1400"/>
      <c r="C62" s="1934"/>
      <c r="D62" s="1934"/>
      <c r="E62" s="1934"/>
      <c r="F62" s="1934"/>
      <c r="G62" s="1934"/>
      <c r="H62" s="1934"/>
      <c r="I62" s="1934"/>
      <c r="J62" s="1934"/>
      <c r="K62" s="1515"/>
      <c r="L62" s="1516"/>
      <c r="M62" s="547"/>
      <c r="N62" s="547"/>
      <c r="O62" s="547"/>
      <c r="P62" s="547"/>
      <c r="Q62" s="547"/>
      <c r="R62" s="547"/>
      <c r="S62" s="547"/>
      <c r="T62" s="547"/>
      <c r="U62" s="547"/>
      <c r="V62" s="547"/>
      <c r="W62" s="547"/>
      <c r="X62" s="547"/>
      <c r="Y62" s="547"/>
      <c r="Z62" s="396"/>
      <c r="AA62" s="396"/>
      <c r="AB62" s="378"/>
      <c r="AC62" s="378"/>
      <c r="AD62" s="378"/>
      <c r="AE62" s="378"/>
      <c r="AF62" s="378"/>
      <c r="AG62" s="378"/>
      <c r="AH62" s="376"/>
      <c r="AI62" s="376"/>
      <c r="AJ62" s="376"/>
      <c r="AK62" s="376"/>
      <c r="AL62" s="376"/>
    </row>
    <row r="63" spans="1:38" x14ac:dyDescent="0.25">
      <c r="A63" s="547"/>
      <c r="B63" s="1401"/>
      <c r="C63" s="1402"/>
      <c r="D63" s="1402"/>
      <c r="E63" s="1402"/>
      <c r="F63" s="1402"/>
      <c r="G63" s="1402"/>
      <c r="H63" s="1402"/>
      <c r="I63" s="1402"/>
      <c r="J63" s="1402"/>
      <c r="K63" s="1402"/>
      <c r="L63" s="1402"/>
      <c r="M63" s="547"/>
      <c r="N63" s="547"/>
      <c r="O63" s="547"/>
      <c r="P63" s="547"/>
      <c r="Q63" s="547"/>
      <c r="R63" s="547"/>
      <c r="S63" s="547"/>
      <c r="T63" s="547"/>
      <c r="U63" s="547"/>
      <c r="V63" s="547"/>
      <c r="W63" s="547"/>
      <c r="X63" s="547"/>
      <c r="Y63" s="547"/>
      <c r="Z63" s="396"/>
      <c r="AA63" s="396"/>
      <c r="AB63" s="378"/>
      <c r="AC63" s="378"/>
      <c r="AD63" s="378"/>
      <c r="AE63" s="378"/>
      <c r="AF63" s="378"/>
      <c r="AG63" s="378"/>
      <c r="AH63" s="376"/>
      <c r="AI63" s="376"/>
      <c r="AJ63" s="376"/>
      <c r="AK63" s="376"/>
      <c r="AL63" s="376"/>
    </row>
    <row r="64" spans="1:38" x14ac:dyDescent="0.25">
      <c r="A64" s="547"/>
      <c r="B64" s="1403"/>
      <c r="C64" s="1397"/>
      <c r="D64" s="1397"/>
      <c r="E64" s="1397"/>
      <c r="F64" s="1397"/>
      <c r="G64" s="1397"/>
      <c r="H64" s="1397"/>
      <c r="I64" s="1397"/>
      <c r="J64" s="1397"/>
      <c r="K64" s="1397"/>
      <c r="L64" s="1404"/>
      <c r="M64" s="547"/>
      <c r="N64" s="547"/>
      <c r="O64" s="547"/>
      <c r="P64" s="547"/>
      <c r="Q64" s="547"/>
      <c r="R64" s="547"/>
      <c r="S64" s="547"/>
      <c r="T64" s="547"/>
      <c r="U64" s="547"/>
      <c r="V64" s="547"/>
      <c r="W64" s="547"/>
      <c r="X64" s="547"/>
      <c r="Y64" s="547"/>
      <c r="Z64" s="396"/>
      <c r="AA64" s="396"/>
      <c r="AB64" s="378"/>
      <c r="AC64" s="378"/>
      <c r="AD64" s="378"/>
      <c r="AE64" s="378"/>
      <c r="AF64" s="378"/>
      <c r="AG64" s="378"/>
      <c r="AH64" s="376"/>
      <c r="AI64" s="376"/>
      <c r="AJ64" s="376"/>
      <c r="AK64" s="376"/>
      <c r="AL64" s="376"/>
    </row>
    <row r="65" spans="1:38" x14ac:dyDescent="0.25">
      <c r="A65" s="547"/>
      <c r="B65" s="1398"/>
      <c r="C65" s="1404"/>
      <c r="D65" s="1405"/>
      <c r="E65" s="1404"/>
      <c r="F65" s="1404"/>
      <c r="G65" s="1397"/>
      <c r="H65" s="1404"/>
      <c r="I65" s="1404"/>
      <c r="J65" s="1404"/>
      <c r="K65" s="1404"/>
      <c r="L65" s="1402"/>
      <c r="M65" s="547"/>
      <c r="N65" s="547"/>
      <c r="O65" s="547"/>
      <c r="P65" s="547"/>
      <c r="Q65" s="547"/>
      <c r="R65" s="547"/>
      <c r="S65" s="547"/>
      <c r="T65" s="547"/>
      <c r="U65" s="547"/>
      <c r="V65" s="547"/>
      <c r="W65" s="547"/>
      <c r="X65" s="547"/>
      <c r="Y65" s="547"/>
      <c r="Z65" s="396"/>
      <c r="AA65" s="396"/>
      <c r="AB65" s="378"/>
      <c r="AC65" s="378"/>
      <c r="AD65" s="378"/>
      <c r="AE65" s="378"/>
      <c r="AF65" s="378"/>
      <c r="AG65" s="378"/>
      <c r="AH65" s="376"/>
      <c r="AI65" s="376"/>
      <c r="AJ65" s="376"/>
      <c r="AK65" s="376"/>
      <c r="AL65" s="376"/>
    </row>
    <row r="66" spans="1:38" x14ac:dyDescent="0.25">
      <c r="A66" s="547"/>
      <c r="B66" s="1398"/>
      <c r="C66" s="1404"/>
      <c r="D66" s="1404"/>
      <c r="E66" s="1404"/>
      <c r="F66" s="1404"/>
      <c r="G66" s="1404"/>
      <c r="H66" s="1404"/>
      <c r="I66" s="1404"/>
      <c r="J66" s="1404"/>
      <c r="K66" s="1404"/>
      <c r="L66" s="1404"/>
      <c r="M66" s="547"/>
      <c r="N66" s="547"/>
      <c r="O66" s="547"/>
      <c r="P66" s="547"/>
      <c r="Q66" s="547"/>
      <c r="R66" s="547"/>
      <c r="S66" s="547"/>
      <c r="T66" s="547"/>
      <c r="U66" s="547"/>
      <c r="V66" s="547"/>
      <c r="W66" s="547"/>
      <c r="X66" s="547"/>
      <c r="Y66" s="547"/>
      <c r="Z66" s="396"/>
      <c r="AA66" s="396"/>
      <c r="AB66" s="378"/>
      <c r="AC66" s="378"/>
      <c r="AD66" s="378"/>
      <c r="AE66" s="378"/>
      <c r="AF66" s="378"/>
      <c r="AG66" s="378"/>
      <c r="AH66" s="376"/>
      <c r="AI66" s="376"/>
      <c r="AJ66" s="376"/>
      <c r="AK66" s="376"/>
      <c r="AL66" s="376"/>
    </row>
    <row r="67" spans="1:38" x14ac:dyDescent="0.25">
      <c r="A67" s="547"/>
      <c r="B67" s="1398"/>
      <c r="C67" s="1405"/>
      <c r="D67" s="1405"/>
      <c r="E67" s="1405"/>
      <c r="F67" s="1405"/>
      <c r="G67" s="1404"/>
      <c r="H67" s="1405"/>
      <c r="I67" s="1404"/>
      <c r="J67" s="1405"/>
      <c r="K67" s="1404"/>
      <c r="L67" s="1404"/>
      <c r="M67" s="547"/>
      <c r="N67" s="547"/>
      <c r="O67" s="547"/>
      <c r="P67" s="547"/>
      <c r="Q67" s="547"/>
      <c r="R67" s="547"/>
      <c r="S67" s="547"/>
      <c r="T67" s="547"/>
      <c r="U67" s="547"/>
      <c r="V67" s="547"/>
      <c r="W67" s="547"/>
      <c r="X67" s="547"/>
      <c r="Y67" s="547"/>
      <c r="Z67" s="396"/>
      <c r="AA67" s="396"/>
      <c r="AB67" s="378"/>
      <c r="AC67" s="378"/>
      <c r="AD67" s="378"/>
      <c r="AE67" s="378"/>
      <c r="AF67" s="378"/>
      <c r="AG67" s="378"/>
      <c r="AH67" s="376"/>
      <c r="AI67" s="376"/>
      <c r="AJ67" s="376"/>
      <c r="AK67" s="376"/>
      <c r="AL67" s="376"/>
    </row>
    <row r="68" spans="1:38" x14ac:dyDescent="0.25">
      <c r="A68" s="547"/>
      <c r="B68" s="1398"/>
      <c r="C68" s="1404"/>
      <c r="D68" s="1405"/>
      <c r="E68" s="1404"/>
      <c r="F68" s="1405"/>
      <c r="G68" s="1404"/>
      <c r="H68" s="1405"/>
      <c r="I68" s="1404"/>
      <c r="J68" s="1405"/>
      <c r="K68" s="1404"/>
      <c r="L68" s="1399"/>
      <c r="M68" s="547"/>
      <c r="N68" s="547"/>
      <c r="O68" s="547"/>
      <c r="P68" s="547"/>
      <c r="Q68" s="547"/>
      <c r="R68" s="547"/>
      <c r="S68" s="547"/>
      <c r="T68" s="547"/>
      <c r="U68" s="547"/>
      <c r="V68" s="547"/>
      <c r="W68" s="547"/>
      <c r="X68" s="547"/>
      <c r="Y68" s="547"/>
      <c r="Z68" s="396"/>
      <c r="AA68" s="396"/>
      <c r="AB68" s="378"/>
      <c r="AC68" s="378"/>
      <c r="AD68" s="378"/>
      <c r="AE68" s="378"/>
      <c r="AF68" s="378"/>
      <c r="AG68" s="378"/>
      <c r="AH68" s="376"/>
      <c r="AI68" s="376"/>
      <c r="AJ68" s="376"/>
      <c r="AK68" s="376"/>
      <c r="AL68" s="376"/>
    </row>
    <row r="69" spans="1:38" ht="23.25" customHeight="1" x14ac:dyDescent="0.25">
      <c r="A69" s="547"/>
      <c r="B69" s="1398"/>
      <c r="C69" s="1404"/>
      <c r="D69" s="1405"/>
      <c r="E69" s="1404"/>
      <c r="F69" s="1405"/>
      <c r="G69" s="1404"/>
      <c r="H69" s="1405"/>
      <c r="I69" s="1404"/>
      <c r="J69" s="1405"/>
      <c r="K69" s="1404"/>
      <c r="L69" s="1405"/>
      <c r="M69" s="547"/>
      <c r="N69" s="547"/>
      <c r="O69" s="547"/>
      <c r="P69" s="547"/>
      <c r="Q69" s="547"/>
      <c r="R69" s="547"/>
      <c r="S69" s="547"/>
      <c r="T69" s="547"/>
      <c r="U69" s="547"/>
      <c r="V69" s="547"/>
      <c r="W69" s="547"/>
      <c r="X69" s="547"/>
      <c r="Y69" s="547"/>
      <c r="Z69" s="396"/>
      <c r="AA69" s="396"/>
      <c r="AB69" s="378"/>
      <c r="AC69" s="378"/>
      <c r="AD69" s="378"/>
      <c r="AE69" s="378"/>
      <c r="AF69" s="378"/>
      <c r="AG69" s="378"/>
      <c r="AH69" s="376"/>
      <c r="AI69" s="376"/>
      <c r="AJ69" s="376"/>
      <c r="AK69" s="376"/>
      <c r="AL69" s="376"/>
    </row>
    <row r="70" spans="1:38" x14ac:dyDescent="0.25">
      <c r="A70" s="547"/>
      <c r="B70" s="1398"/>
      <c r="C70" s="1404"/>
      <c r="D70" s="1405"/>
      <c r="E70" s="1404"/>
      <c r="F70" s="1405"/>
      <c r="G70" s="1404"/>
      <c r="H70" s="1405"/>
      <c r="I70" s="1406"/>
      <c r="J70" s="1405"/>
      <c r="K70" s="1406"/>
      <c r="L70" s="1405"/>
      <c r="M70" s="547"/>
      <c r="N70" s="547"/>
      <c r="O70" s="547"/>
      <c r="P70" s="547"/>
      <c r="Q70" s="547"/>
      <c r="R70" s="547"/>
      <c r="S70" s="547"/>
      <c r="T70" s="547"/>
      <c r="U70" s="547"/>
      <c r="V70" s="547"/>
      <c r="W70" s="547"/>
      <c r="X70" s="547"/>
      <c r="Y70" s="547"/>
      <c r="Z70" s="396"/>
      <c r="AA70" s="396"/>
      <c r="AB70" s="378"/>
      <c r="AC70" s="378"/>
      <c r="AD70" s="378"/>
      <c r="AE70" s="378"/>
      <c r="AF70" s="378"/>
      <c r="AG70" s="378"/>
      <c r="AH70" s="376"/>
      <c r="AI70" s="376"/>
      <c r="AJ70" s="376"/>
      <c r="AK70" s="376"/>
      <c r="AL70" s="376"/>
    </row>
    <row r="71" spans="1:38" x14ac:dyDescent="0.25">
      <c r="A71" s="547"/>
      <c r="B71" s="1398"/>
      <c r="C71" s="1401"/>
      <c r="D71" s="1401"/>
      <c r="E71" s="1401"/>
      <c r="F71" s="1401"/>
      <c r="G71" s="1401"/>
      <c r="H71" s="1401"/>
      <c r="I71" s="1401"/>
      <c r="J71" s="1401"/>
      <c r="K71" s="1401"/>
      <c r="L71" s="1404"/>
      <c r="M71" s="547"/>
      <c r="N71" s="547"/>
      <c r="O71" s="547"/>
      <c r="P71" s="547"/>
      <c r="Q71" s="547"/>
      <c r="R71" s="547"/>
      <c r="S71" s="547"/>
      <c r="T71" s="547"/>
      <c r="U71" s="547"/>
      <c r="V71" s="547"/>
      <c r="W71" s="547"/>
      <c r="X71" s="547"/>
      <c r="Y71" s="547"/>
      <c r="Z71" s="396"/>
      <c r="AA71" s="396"/>
      <c r="AB71" s="378"/>
      <c r="AC71" s="378"/>
      <c r="AD71" s="378"/>
      <c r="AE71" s="378"/>
      <c r="AF71" s="378"/>
      <c r="AG71" s="378"/>
      <c r="AH71" s="376"/>
      <c r="AI71" s="376"/>
      <c r="AJ71" s="376"/>
      <c r="AK71" s="376"/>
      <c r="AL71" s="376"/>
    </row>
    <row r="72" spans="1:38" x14ac:dyDescent="0.25">
      <c r="A72" s="547"/>
      <c r="B72" s="1398"/>
      <c r="C72" s="1397"/>
      <c r="D72" s="1397"/>
      <c r="E72" s="1397"/>
      <c r="F72" s="1397"/>
      <c r="G72" s="1404"/>
      <c r="H72" s="1397"/>
      <c r="I72" s="1404"/>
      <c r="J72" s="1397"/>
      <c r="K72" s="1404"/>
      <c r="L72" s="1405"/>
      <c r="M72" s="547"/>
      <c r="N72" s="547"/>
      <c r="O72" s="547"/>
      <c r="P72" s="547"/>
      <c r="Q72" s="547"/>
      <c r="R72" s="547"/>
      <c r="S72" s="547"/>
      <c r="T72" s="547"/>
      <c r="U72" s="547"/>
      <c r="V72" s="547"/>
      <c r="W72" s="547"/>
      <c r="X72" s="547"/>
      <c r="Y72" s="547"/>
      <c r="Z72" s="396"/>
      <c r="AA72" s="396"/>
      <c r="AB72" s="378"/>
      <c r="AC72" s="378"/>
      <c r="AD72" s="378"/>
      <c r="AE72" s="378"/>
      <c r="AF72" s="378"/>
      <c r="AG72" s="378"/>
      <c r="AH72" s="376"/>
      <c r="AI72" s="376"/>
      <c r="AJ72" s="376"/>
      <c r="AK72" s="376"/>
      <c r="AL72" s="376"/>
    </row>
    <row r="73" spans="1:38" x14ac:dyDescent="0.25">
      <c r="A73" s="547"/>
      <c r="B73" s="1398"/>
      <c r="C73" s="1397"/>
      <c r="D73" s="1397"/>
      <c r="E73" s="1397"/>
      <c r="F73" s="1397"/>
      <c r="G73" s="1404"/>
      <c r="H73" s="1397"/>
      <c r="I73" s="1404"/>
      <c r="J73" s="1397"/>
      <c r="K73" s="1404"/>
      <c r="L73" s="1401"/>
      <c r="M73" s="547"/>
      <c r="N73" s="547"/>
      <c r="O73" s="547"/>
      <c r="P73" s="547"/>
      <c r="Q73" s="547"/>
      <c r="R73" s="547"/>
      <c r="S73" s="547"/>
      <c r="T73" s="547"/>
      <c r="U73" s="547"/>
      <c r="V73" s="547"/>
      <c r="W73" s="547"/>
      <c r="X73" s="547"/>
      <c r="Y73" s="547"/>
      <c r="Z73" s="396"/>
      <c r="AA73" s="396"/>
      <c r="AB73" s="378"/>
      <c r="AC73" s="378"/>
      <c r="AD73" s="378"/>
      <c r="AE73" s="378"/>
      <c r="AF73" s="378"/>
      <c r="AG73" s="378"/>
      <c r="AH73" s="376"/>
      <c r="AI73" s="376"/>
      <c r="AJ73" s="376"/>
      <c r="AK73" s="376"/>
      <c r="AL73" s="376"/>
    </row>
    <row r="74" spans="1:38" x14ac:dyDescent="0.25">
      <c r="A74" s="547"/>
      <c r="B74" s="1398"/>
      <c r="C74" s="1397"/>
      <c r="D74" s="1397"/>
      <c r="E74" s="1397"/>
      <c r="F74" s="1397"/>
      <c r="G74" s="1404"/>
      <c r="H74" s="1397"/>
      <c r="I74" s="1404"/>
      <c r="J74" s="1397"/>
      <c r="K74" s="1399"/>
      <c r="L74" s="1404"/>
      <c r="M74" s="547"/>
      <c r="N74" s="547"/>
      <c r="O74" s="547"/>
      <c r="P74" s="547"/>
      <c r="Q74" s="547"/>
      <c r="R74" s="547"/>
      <c r="S74" s="547"/>
      <c r="T74" s="547"/>
      <c r="U74" s="547"/>
      <c r="V74" s="547"/>
      <c r="W74" s="547"/>
      <c r="X74" s="547"/>
      <c r="Y74" s="547"/>
      <c r="Z74" s="396"/>
      <c r="AA74" s="396"/>
      <c r="AB74" s="378"/>
      <c r="AC74" s="378"/>
      <c r="AD74" s="378"/>
      <c r="AE74" s="378"/>
      <c r="AF74" s="378"/>
      <c r="AG74" s="378"/>
      <c r="AH74" s="376"/>
      <c r="AI74" s="376"/>
      <c r="AJ74" s="376"/>
      <c r="AK74" s="376"/>
      <c r="AL74" s="376"/>
    </row>
    <row r="75" spans="1:38" x14ac:dyDescent="0.25">
      <c r="A75" s="547"/>
      <c r="B75" s="1398"/>
      <c r="C75" s="1399"/>
      <c r="D75" s="1399"/>
      <c r="E75" s="1399"/>
      <c r="F75" s="1399"/>
      <c r="G75" s="1399"/>
      <c r="H75" s="1399"/>
      <c r="I75" s="1399"/>
      <c r="J75" s="1399"/>
      <c r="K75" s="1516"/>
      <c r="L75" s="1399"/>
      <c r="M75" s="547"/>
      <c r="N75" s="547"/>
      <c r="O75" s="547"/>
      <c r="P75" s="547"/>
      <c r="Q75" s="547"/>
      <c r="R75" s="547"/>
      <c r="S75" s="547"/>
      <c r="T75" s="547"/>
      <c r="U75" s="547"/>
      <c r="V75" s="547"/>
      <c r="W75" s="547"/>
      <c r="X75" s="547"/>
      <c r="Y75" s="547"/>
      <c r="Z75" s="396"/>
      <c r="AA75" s="396"/>
      <c r="AB75" s="378"/>
      <c r="AC75" s="378"/>
      <c r="AD75" s="378"/>
      <c r="AE75" s="378"/>
      <c r="AF75" s="378"/>
      <c r="AG75" s="378"/>
      <c r="AH75" s="376"/>
      <c r="AI75" s="376"/>
      <c r="AJ75" s="376"/>
      <c r="AK75" s="376"/>
      <c r="AL75" s="376"/>
    </row>
    <row r="76" spans="1:38" ht="23.25" customHeight="1" x14ac:dyDescent="0.25">
      <c r="A76" s="547"/>
      <c r="B76" s="1400"/>
      <c r="C76" s="1934"/>
      <c r="D76" s="1934"/>
      <c r="E76" s="1934"/>
      <c r="F76" s="1934"/>
      <c r="G76" s="1934"/>
      <c r="H76" s="1934"/>
      <c r="I76" s="1934"/>
      <c r="J76" s="1934"/>
      <c r="K76" s="1516"/>
      <c r="L76" s="1399"/>
      <c r="M76" s="547"/>
      <c r="N76" s="1423"/>
      <c r="O76" s="1423"/>
      <c r="P76" s="1423"/>
      <c r="Q76" s="547"/>
      <c r="R76" s="547"/>
      <c r="S76" s="547"/>
      <c r="T76" s="547"/>
      <c r="U76" s="547"/>
      <c r="V76" s="547"/>
      <c r="W76" s="547"/>
      <c r="X76" s="547"/>
      <c r="Y76" s="547"/>
      <c r="Z76" s="396"/>
      <c r="AA76" s="396"/>
      <c r="AB76" s="378"/>
      <c r="AC76" s="378"/>
      <c r="AD76" s="378"/>
      <c r="AE76" s="378"/>
      <c r="AF76" s="378"/>
      <c r="AG76" s="378"/>
      <c r="AH76" s="376"/>
      <c r="AI76" s="376"/>
      <c r="AJ76" s="376"/>
      <c r="AK76" s="376"/>
      <c r="AL76" s="376"/>
    </row>
    <row r="77" spans="1:38" x14ac:dyDescent="0.25">
      <c r="A77" s="547"/>
      <c r="B77" s="1398"/>
      <c r="C77" s="1402"/>
      <c r="D77" s="1402"/>
      <c r="E77" s="1402"/>
      <c r="F77" s="1402"/>
      <c r="G77" s="1402"/>
      <c r="H77" s="1402"/>
      <c r="I77" s="1402"/>
      <c r="J77" s="1402"/>
      <c r="K77" s="1402"/>
      <c r="L77" s="1401"/>
      <c r="M77" s="547"/>
      <c r="N77" s="1423"/>
      <c r="O77" s="1423"/>
      <c r="P77" s="1423"/>
      <c r="Q77" s="547"/>
      <c r="R77" s="547"/>
      <c r="S77" s="547"/>
      <c r="T77" s="547"/>
      <c r="U77" s="547"/>
      <c r="V77" s="547"/>
      <c r="W77" s="547"/>
      <c r="X77" s="547"/>
      <c r="Y77" s="547"/>
      <c r="Z77" s="396"/>
      <c r="AA77" s="396"/>
      <c r="AB77" s="378"/>
      <c r="AC77" s="378"/>
      <c r="AD77" s="378"/>
      <c r="AE77" s="378"/>
      <c r="AF77" s="378"/>
      <c r="AG77" s="378"/>
      <c r="AH77" s="376"/>
      <c r="AI77" s="376"/>
      <c r="AJ77" s="376"/>
      <c r="AK77" s="376"/>
      <c r="AL77" s="376"/>
    </row>
    <row r="78" spans="1:38" x14ac:dyDescent="0.25">
      <c r="A78" s="547"/>
      <c r="B78" s="1398"/>
      <c r="C78" s="1397"/>
      <c r="D78" s="1397"/>
      <c r="E78" s="1397"/>
      <c r="F78" s="1397"/>
      <c r="G78" s="1397"/>
      <c r="H78" s="1397"/>
      <c r="I78" s="1397"/>
      <c r="J78" s="1404"/>
      <c r="K78" s="1404"/>
      <c r="L78" s="1399"/>
      <c r="M78" s="547"/>
      <c r="N78" s="1423"/>
      <c r="O78" s="1423"/>
      <c r="P78" s="1423"/>
      <c r="Q78" s="547"/>
      <c r="R78" s="547"/>
      <c r="S78" s="547"/>
      <c r="T78" s="547"/>
      <c r="U78" s="547"/>
      <c r="V78" s="547"/>
      <c r="W78" s="547"/>
      <c r="X78" s="547"/>
      <c r="Y78" s="547"/>
      <c r="Z78" s="396"/>
      <c r="AA78" s="396"/>
      <c r="AB78" s="378"/>
      <c r="AC78" s="378"/>
      <c r="AD78" s="378"/>
      <c r="AE78" s="378"/>
      <c r="AF78" s="378"/>
      <c r="AG78" s="378"/>
      <c r="AH78" s="376"/>
      <c r="AI78" s="376"/>
      <c r="AJ78" s="376"/>
      <c r="AK78" s="376"/>
      <c r="AL78" s="376"/>
    </row>
    <row r="79" spans="1:38" x14ac:dyDescent="0.25">
      <c r="A79" s="547"/>
      <c r="B79" s="1398"/>
      <c r="C79" s="1397"/>
      <c r="D79" s="1397"/>
      <c r="E79" s="1404"/>
      <c r="F79" s="1397"/>
      <c r="G79" s="1397"/>
      <c r="H79" s="1397"/>
      <c r="I79" s="1404"/>
      <c r="J79" s="1404"/>
      <c r="K79" s="1404"/>
      <c r="L79" s="1399"/>
      <c r="M79" s="547"/>
      <c r="N79" s="1423"/>
      <c r="O79" s="1423"/>
      <c r="P79" s="1423"/>
      <c r="Q79" s="547"/>
      <c r="R79" s="547"/>
      <c r="S79" s="547"/>
      <c r="T79" s="547"/>
      <c r="U79" s="547"/>
      <c r="V79" s="547"/>
      <c r="W79" s="547"/>
      <c r="X79" s="547"/>
      <c r="Y79" s="547"/>
      <c r="Z79" s="396"/>
      <c r="AA79" s="396"/>
      <c r="AB79" s="378"/>
      <c r="AC79" s="378"/>
      <c r="AD79" s="378"/>
      <c r="AE79" s="378"/>
      <c r="AF79" s="378"/>
      <c r="AG79" s="378"/>
      <c r="AH79" s="376"/>
      <c r="AI79" s="376"/>
      <c r="AJ79" s="376"/>
      <c r="AK79" s="376"/>
      <c r="AL79" s="376"/>
    </row>
    <row r="80" spans="1:38" x14ac:dyDescent="0.25">
      <c r="A80" s="547"/>
      <c r="B80" s="1398"/>
      <c r="C80" s="1397"/>
      <c r="D80" s="1397"/>
      <c r="E80" s="1397"/>
      <c r="F80" s="1397"/>
      <c r="G80" s="1397"/>
      <c r="H80" s="1397"/>
      <c r="I80" s="1404"/>
      <c r="J80" s="1397"/>
      <c r="K80" s="1404"/>
      <c r="L80" s="1399"/>
      <c r="M80" s="547"/>
      <c r="N80" s="1423"/>
      <c r="O80" s="1423"/>
      <c r="P80" s="1423"/>
      <c r="Q80" s="547"/>
      <c r="R80" s="547"/>
      <c r="S80" s="547"/>
      <c r="T80" s="547"/>
      <c r="U80" s="547"/>
      <c r="V80" s="547"/>
      <c r="W80" s="547"/>
      <c r="X80" s="547"/>
      <c r="Y80" s="547"/>
      <c r="Z80" s="396"/>
      <c r="AA80" s="396"/>
      <c r="AB80" s="378"/>
      <c r="AC80" s="378"/>
      <c r="AD80" s="378"/>
      <c r="AE80" s="378"/>
      <c r="AF80" s="378"/>
      <c r="AG80" s="378"/>
      <c r="AH80" s="376"/>
      <c r="AI80" s="376"/>
      <c r="AJ80" s="376"/>
      <c r="AK80" s="376"/>
      <c r="AL80" s="376"/>
    </row>
    <row r="81" spans="1:38" x14ac:dyDescent="0.25">
      <c r="A81" s="547"/>
      <c r="B81" s="1398"/>
      <c r="C81" s="1397"/>
      <c r="D81" s="1405"/>
      <c r="E81" s="1397"/>
      <c r="F81" s="1405"/>
      <c r="G81" s="1397"/>
      <c r="H81" s="1405"/>
      <c r="I81" s="1397"/>
      <c r="J81" s="1405"/>
      <c r="K81" s="1404"/>
      <c r="L81" s="1399"/>
      <c r="M81" s="547"/>
      <c r="N81" s="1423"/>
      <c r="O81" s="1423"/>
      <c r="P81" s="1423"/>
      <c r="Q81" s="547"/>
      <c r="R81" s="547"/>
      <c r="S81" s="547"/>
      <c r="T81" s="547"/>
      <c r="U81" s="547"/>
      <c r="V81" s="547"/>
      <c r="W81" s="547"/>
      <c r="X81" s="547"/>
      <c r="Y81" s="547"/>
      <c r="Z81" s="396"/>
      <c r="AA81" s="396"/>
      <c r="AB81" s="378"/>
      <c r="AC81" s="378"/>
      <c r="AD81" s="378"/>
      <c r="AE81" s="378"/>
      <c r="AF81" s="378"/>
      <c r="AG81" s="378"/>
      <c r="AH81" s="376"/>
      <c r="AI81" s="376"/>
      <c r="AJ81" s="376"/>
      <c r="AK81" s="376"/>
      <c r="AL81" s="376"/>
    </row>
    <row r="82" spans="1:38" x14ac:dyDescent="0.25">
      <c r="A82" s="547"/>
      <c r="B82" s="1398"/>
      <c r="C82" s="1397"/>
      <c r="D82" s="1405"/>
      <c r="E82" s="1397"/>
      <c r="F82" s="1405"/>
      <c r="G82" s="1397"/>
      <c r="H82" s="1405"/>
      <c r="I82" s="1397"/>
      <c r="J82" s="1405"/>
      <c r="K82" s="1404"/>
      <c r="L82" s="1399"/>
      <c r="M82" s="547"/>
      <c r="N82" s="1423"/>
      <c r="O82" s="1423"/>
      <c r="P82" s="1423"/>
      <c r="Q82" s="547"/>
      <c r="R82" s="547"/>
      <c r="S82" s="547"/>
      <c r="T82" s="547"/>
      <c r="U82" s="547"/>
      <c r="V82" s="547"/>
      <c r="W82" s="547"/>
      <c r="X82" s="547"/>
      <c r="Y82" s="547"/>
      <c r="Z82" s="396"/>
      <c r="AA82" s="396"/>
      <c r="AB82" s="378"/>
      <c r="AC82" s="378"/>
      <c r="AD82" s="378"/>
      <c r="AE82" s="378"/>
      <c r="AF82" s="378"/>
      <c r="AG82" s="378"/>
      <c r="AH82" s="376"/>
      <c r="AI82" s="376"/>
      <c r="AJ82" s="376"/>
      <c r="AK82" s="376"/>
      <c r="AL82" s="376"/>
    </row>
    <row r="83" spans="1:38" ht="23.25" customHeight="1" x14ac:dyDescent="0.25">
      <c r="A83" s="547"/>
      <c r="B83" s="1398"/>
      <c r="C83" s="1404"/>
      <c r="D83" s="1404"/>
      <c r="E83" s="1404"/>
      <c r="F83" s="1404"/>
      <c r="G83" s="1404"/>
      <c r="H83" s="1404"/>
      <c r="I83" s="1404"/>
      <c r="J83" s="1404"/>
      <c r="K83" s="1404"/>
      <c r="L83" s="1399"/>
      <c r="M83" s="547"/>
      <c r="N83" s="1423"/>
      <c r="O83" s="1423"/>
      <c r="P83" s="1423"/>
      <c r="Q83" s="547"/>
      <c r="R83" s="547"/>
      <c r="S83" s="547"/>
      <c r="T83" s="547"/>
      <c r="U83" s="547"/>
      <c r="V83" s="547"/>
      <c r="W83" s="547"/>
      <c r="X83" s="547"/>
      <c r="Y83" s="547"/>
      <c r="Z83" s="396"/>
      <c r="AA83" s="396"/>
      <c r="AB83" s="378"/>
      <c r="AC83" s="378"/>
      <c r="AD83" s="378"/>
      <c r="AE83" s="378"/>
      <c r="AF83" s="378"/>
      <c r="AG83" s="378"/>
      <c r="AH83" s="376"/>
      <c r="AI83" s="376"/>
      <c r="AJ83" s="376"/>
      <c r="AK83" s="376"/>
      <c r="AL83" s="376"/>
    </row>
    <row r="84" spans="1:38" x14ac:dyDescent="0.25">
      <c r="A84" s="547"/>
      <c r="B84" s="1398"/>
      <c r="C84" s="1397"/>
      <c r="D84" s="1405"/>
      <c r="E84" s="1397"/>
      <c r="F84" s="1405"/>
      <c r="G84" s="1397"/>
      <c r="H84" s="1405"/>
      <c r="I84" s="1404"/>
      <c r="J84" s="1405"/>
      <c r="K84" s="1404"/>
      <c r="L84" s="1407"/>
      <c r="M84" s="547"/>
      <c r="N84" s="1423"/>
      <c r="O84" s="1423"/>
      <c r="P84" s="1423"/>
      <c r="Q84" s="547"/>
      <c r="R84" s="547"/>
      <c r="S84" s="547"/>
      <c r="T84" s="547"/>
      <c r="U84" s="547"/>
      <c r="V84" s="547"/>
      <c r="W84" s="547"/>
      <c r="X84" s="547"/>
      <c r="Y84" s="547"/>
      <c r="Z84" s="396"/>
      <c r="AA84" s="396"/>
      <c r="AB84" s="378"/>
      <c r="AC84" s="378"/>
      <c r="AD84" s="378"/>
      <c r="AE84" s="378"/>
      <c r="AF84" s="378"/>
      <c r="AG84" s="378"/>
      <c r="AH84" s="376"/>
      <c r="AI84" s="376"/>
      <c r="AJ84" s="376"/>
      <c r="AK84" s="376"/>
      <c r="AL84" s="376"/>
    </row>
    <row r="85" spans="1:38" x14ac:dyDescent="0.25">
      <c r="A85" s="547"/>
      <c r="B85" s="1398"/>
      <c r="C85" s="1401"/>
      <c r="D85" s="1401"/>
      <c r="E85" s="1401"/>
      <c r="F85" s="1401"/>
      <c r="G85" s="1401"/>
      <c r="H85" s="1401"/>
      <c r="I85" s="1401"/>
      <c r="J85" s="1401"/>
      <c r="K85" s="1401"/>
      <c r="L85" s="1399"/>
      <c r="M85" s="547"/>
      <c r="N85" s="1423"/>
      <c r="O85" s="1423"/>
      <c r="P85" s="1423"/>
      <c r="Q85" s="547"/>
      <c r="R85" s="547"/>
      <c r="S85" s="547"/>
      <c r="T85" s="547"/>
      <c r="U85" s="547"/>
      <c r="V85" s="547"/>
      <c r="W85" s="547"/>
      <c r="X85" s="547"/>
      <c r="Y85" s="547"/>
      <c r="Z85" s="396"/>
      <c r="AA85" s="396"/>
      <c r="AB85" s="378"/>
      <c r="AC85" s="378"/>
      <c r="AD85" s="378"/>
      <c r="AE85" s="378"/>
      <c r="AF85" s="378"/>
      <c r="AG85" s="378"/>
      <c r="AH85" s="376"/>
      <c r="AI85" s="376"/>
      <c r="AJ85" s="376"/>
      <c r="AK85" s="376"/>
      <c r="AL85" s="376"/>
    </row>
    <row r="86" spans="1:38" x14ac:dyDescent="0.25">
      <c r="A86" s="547"/>
      <c r="B86" s="1398"/>
      <c r="C86" s="1401"/>
      <c r="D86" s="1404"/>
      <c r="E86" s="1404"/>
      <c r="F86" s="1404"/>
      <c r="G86" s="1404"/>
      <c r="H86" s="1404"/>
      <c r="I86" s="1408"/>
      <c r="J86" s="1408"/>
      <c r="K86" s="1404"/>
      <c r="L86" s="1399"/>
      <c r="M86" s="547"/>
      <c r="N86" s="1423"/>
      <c r="O86" s="1423"/>
      <c r="P86" s="1423"/>
      <c r="Q86" s="547"/>
      <c r="R86" s="547"/>
      <c r="S86" s="547"/>
      <c r="T86" s="547"/>
      <c r="U86" s="547"/>
      <c r="V86" s="547"/>
      <c r="W86" s="547"/>
      <c r="X86" s="547"/>
      <c r="Y86" s="547"/>
      <c r="Z86" s="396"/>
      <c r="AA86" s="396"/>
      <c r="AB86" s="378"/>
      <c r="AC86" s="378"/>
      <c r="AD86" s="378"/>
      <c r="AE86" s="378"/>
      <c r="AF86" s="378"/>
      <c r="AG86" s="378"/>
      <c r="AH86" s="376"/>
      <c r="AI86" s="376"/>
      <c r="AJ86" s="376"/>
      <c r="AK86" s="376"/>
      <c r="AL86" s="376"/>
    </row>
    <row r="87" spans="1:38" x14ac:dyDescent="0.25">
      <c r="A87" s="547"/>
      <c r="B87" s="1398"/>
      <c r="C87" s="1401"/>
      <c r="D87" s="1401"/>
      <c r="E87" s="1401"/>
      <c r="F87" s="1401"/>
      <c r="G87" s="1401"/>
      <c r="H87" s="1401"/>
      <c r="I87" s="1401"/>
      <c r="J87" s="1401"/>
      <c r="K87" s="1399"/>
      <c r="L87" s="1399"/>
      <c r="M87" s="547"/>
      <c r="N87" s="547"/>
      <c r="O87" s="547"/>
      <c r="P87" s="547"/>
      <c r="Q87" s="547"/>
      <c r="R87" s="547"/>
      <c r="S87" s="547"/>
      <c r="T87" s="547"/>
      <c r="U87" s="547"/>
      <c r="V87" s="547"/>
      <c r="W87" s="547"/>
      <c r="X87" s="547"/>
      <c r="Y87" s="547"/>
      <c r="Z87" s="396"/>
      <c r="AA87" s="396"/>
      <c r="AB87" s="378"/>
      <c r="AC87" s="378"/>
      <c r="AD87" s="378"/>
      <c r="AE87" s="378"/>
      <c r="AF87" s="378"/>
      <c r="AG87" s="378"/>
      <c r="AH87" s="376"/>
      <c r="AI87" s="376"/>
      <c r="AJ87" s="376"/>
      <c r="AK87" s="376"/>
      <c r="AL87" s="376"/>
    </row>
    <row r="88" spans="1:38" x14ac:dyDescent="0.25">
      <c r="A88" s="547"/>
      <c r="B88" s="1398"/>
      <c r="C88" s="1401"/>
      <c r="D88" s="1401"/>
      <c r="E88" s="1401"/>
      <c r="F88" s="1401"/>
      <c r="G88" s="1401"/>
      <c r="H88" s="1401"/>
      <c r="I88" s="1401"/>
      <c r="J88" s="1401"/>
      <c r="K88" s="1399"/>
      <c r="L88" s="547"/>
      <c r="M88" s="547"/>
      <c r="N88" s="547"/>
      <c r="O88" s="547"/>
      <c r="P88" s="547"/>
      <c r="Q88" s="547"/>
      <c r="R88" s="547"/>
      <c r="S88" s="547"/>
      <c r="T88" s="547"/>
      <c r="U88" s="547"/>
      <c r="V88" s="547"/>
      <c r="W88" s="547"/>
      <c r="X88" s="547"/>
      <c r="Y88" s="547"/>
      <c r="Z88" s="396"/>
      <c r="AA88" s="396"/>
      <c r="AB88" s="378"/>
      <c r="AC88" s="378"/>
      <c r="AD88" s="378"/>
      <c r="AE88" s="378"/>
      <c r="AF88" s="378"/>
      <c r="AG88" s="378"/>
      <c r="AH88" s="376"/>
      <c r="AI88" s="376"/>
      <c r="AJ88" s="376"/>
      <c r="AK88" s="376"/>
      <c r="AL88" s="376"/>
    </row>
    <row r="89" spans="1:38" x14ac:dyDescent="0.25">
      <c r="A89" s="547"/>
      <c r="B89" s="1398"/>
      <c r="C89" s="1399"/>
      <c r="D89" s="1399"/>
      <c r="E89" s="1399"/>
      <c r="F89" s="1399"/>
      <c r="G89" s="1399"/>
      <c r="H89" s="1399"/>
      <c r="I89" s="1399"/>
      <c r="J89" s="1399"/>
      <c r="K89" s="1399"/>
      <c r="L89" s="547"/>
      <c r="M89" s="547"/>
      <c r="N89" s="547"/>
      <c r="O89" s="547"/>
      <c r="P89" s="547"/>
      <c r="Q89" s="547"/>
      <c r="R89" s="547"/>
      <c r="S89" s="547"/>
      <c r="T89" s="547"/>
      <c r="U89" s="547"/>
      <c r="V89" s="547"/>
      <c r="W89" s="547"/>
      <c r="X89" s="547"/>
      <c r="Y89" s="547"/>
      <c r="Z89" s="396"/>
      <c r="AA89" s="396"/>
      <c r="AB89" s="378"/>
      <c r="AC89" s="378"/>
      <c r="AD89" s="378"/>
      <c r="AE89" s="378"/>
      <c r="AF89" s="378"/>
      <c r="AG89" s="378"/>
      <c r="AH89" s="376"/>
      <c r="AI89" s="376"/>
      <c r="AJ89" s="376"/>
      <c r="AK89" s="376"/>
      <c r="AL89" s="376"/>
    </row>
    <row r="90" spans="1:38" x14ac:dyDescent="0.25">
      <c r="A90" s="547"/>
      <c r="B90" s="1400"/>
      <c r="C90" s="1935"/>
      <c r="D90" s="1935"/>
      <c r="E90" s="1934"/>
      <c r="F90" s="1934"/>
      <c r="G90" s="1934"/>
      <c r="H90" s="1934"/>
      <c r="I90" s="1934"/>
      <c r="J90" s="1934"/>
      <c r="K90" s="1401"/>
      <c r="L90" s="547"/>
      <c r="M90" s="547"/>
      <c r="N90" s="547"/>
      <c r="O90" s="547"/>
      <c r="P90" s="547"/>
      <c r="Q90" s="547"/>
      <c r="R90" s="547"/>
      <c r="S90" s="547"/>
      <c r="T90" s="547"/>
      <c r="U90" s="547"/>
      <c r="V90" s="547"/>
      <c r="W90" s="547"/>
      <c r="X90" s="547"/>
      <c r="Y90" s="547"/>
      <c r="Z90" s="396"/>
      <c r="AA90" s="396"/>
      <c r="AB90" s="378"/>
      <c r="AC90" s="378"/>
      <c r="AD90" s="378"/>
      <c r="AE90" s="378"/>
      <c r="AF90" s="378"/>
      <c r="AG90" s="378"/>
      <c r="AH90" s="376"/>
      <c r="AI90" s="376"/>
      <c r="AJ90" s="376"/>
      <c r="AK90" s="376"/>
      <c r="AL90" s="376"/>
    </row>
    <row r="91" spans="1:38" ht="23.25" customHeight="1" x14ac:dyDescent="0.25">
      <c r="A91" s="547"/>
      <c r="B91" s="1398"/>
      <c r="C91" s="1402"/>
      <c r="D91" s="1402"/>
      <c r="E91" s="1402"/>
      <c r="F91" s="1402"/>
      <c r="G91" s="1402"/>
      <c r="H91" s="1402"/>
      <c r="I91" s="1401"/>
      <c r="J91" s="1401"/>
      <c r="K91" s="1399"/>
      <c r="L91" s="1516"/>
      <c r="M91" s="1409"/>
      <c r="N91" s="1410"/>
      <c r="O91" s="1410"/>
      <c r="P91" s="547"/>
      <c r="Q91" s="547"/>
      <c r="R91" s="547"/>
      <c r="S91" s="547"/>
      <c r="T91" s="547"/>
      <c r="U91" s="547"/>
      <c r="V91" s="547"/>
      <c r="W91" s="547"/>
      <c r="X91" s="547"/>
      <c r="Y91" s="547"/>
      <c r="Z91" s="396"/>
      <c r="AA91" s="396"/>
      <c r="AB91" s="378"/>
      <c r="AC91" s="378"/>
      <c r="AD91" s="378"/>
      <c r="AE91" s="378"/>
      <c r="AF91" s="378"/>
      <c r="AG91" s="378"/>
      <c r="AH91" s="376"/>
      <c r="AI91" s="376"/>
      <c r="AJ91" s="376"/>
      <c r="AK91" s="376"/>
      <c r="AL91" s="376"/>
    </row>
    <row r="92" spans="1:38" x14ac:dyDescent="0.25">
      <c r="A92" s="547"/>
      <c r="B92" s="1398"/>
      <c r="C92" s="1404"/>
      <c r="D92" s="1404"/>
      <c r="E92" s="1397"/>
      <c r="F92" s="1404"/>
      <c r="G92" s="1404"/>
      <c r="H92" s="1404"/>
      <c r="I92" s="1399"/>
      <c r="J92" s="1399"/>
      <c r="K92" s="1399"/>
      <c r="L92" s="1404"/>
      <c r="M92" s="1404"/>
      <c r="N92" s="1397"/>
      <c r="O92" s="1404"/>
      <c r="P92" s="547"/>
      <c r="Q92" s="547"/>
      <c r="R92" s="547"/>
      <c r="S92" s="547"/>
      <c r="T92" s="547"/>
      <c r="U92" s="547"/>
      <c r="V92" s="547"/>
      <c r="W92" s="547"/>
      <c r="X92" s="547"/>
      <c r="Y92" s="547"/>
      <c r="Z92" s="396"/>
      <c r="AA92" s="396"/>
      <c r="AB92" s="378"/>
      <c r="AC92" s="378"/>
      <c r="AD92" s="378"/>
      <c r="AE92" s="378"/>
      <c r="AF92" s="378"/>
      <c r="AG92" s="378"/>
      <c r="AH92" s="376"/>
      <c r="AI92" s="376"/>
      <c r="AJ92" s="376"/>
      <c r="AK92" s="376"/>
      <c r="AL92" s="376"/>
    </row>
    <row r="93" spans="1:38" x14ac:dyDescent="0.25">
      <c r="A93" s="547"/>
      <c r="B93" s="1398"/>
      <c r="C93" s="1404"/>
      <c r="D93" s="1399"/>
      <c r="E93" s="1404"/>
      <c r="F93" s="1399"/>
      <c r="G93" s="1404"/>
      <c r="H93" s="1399"/>
      <c r="I93" s="1399"/>
      <c r="J93" s="1411"/>
      <c r="K93" s="1411"/>
      <c r="L93" s="1404"/>
      <c r="M93" s="1404"/>
      <c r="N93" s="1404"/>
      <c r="O93" s="1404"/>
      <c r="P93" s="547"/>
      <c r="Q93" s="547"/>
      <c r="R93" s="547"/>
      <c r="S93" s="547"/>
      <c r="T93" s="547"/>
      <c r="U93" s="547"/>
      <c r="V93" s="547"/>
      <c r="W93" s="547"/>
      <c r="X93" s="547"/>
      <c r="Y93" s="547"/>
      <c r="Z93" s="396"/>
      <c r="AA93" s="396"/>
      <c r="AB93" s="378"/>
      <c r="AC93" s="378"/>
      <c r="AD93" s="378"/>
      <c r="AE93" s="378"/>
      <c r="AF93" s="378"/>
      <c r="AG93" s="378"/>
      <c r="AH93" s="376"/>
      <c r="AI93" s="376"/>
      <c r="AJ93" s="376"/>
      <c r="AK93" s="376"/>
      <c r="AL93" s="376"/>
    </row>
    <row r="94" spans="1:38" x14ac:dyDescent="0.25">
      <c r="A94" s="547"/>
      <c r="B94" s="1398"/>
      <c r="C94" s="1404"/>
      <c r="D94" s="1399"/>
      <c r="E94" s="1404"/>
      <c r="F94" s="1399"/>
      <c r="G94" s="1404"/>
      <c r="H94" s="1399"/>
      <c r="I94" s="1399"/>
      <c r="J94" s="1411"/>
      <c r="K94" s="1411"/>
      <c r="L94" s="1404"/>
      <c r="M94" s="1404"/>
      <c r="N94" s="1404"/>
      <c r="O94" s="1404"/>
      <c r="P94" s="547"/>
      <c r="Q94" s="547"/>
      <c r="R94" s="547"/>
      <c r="S94" s="547"/>
      <c r="T94" s="547"/>
      <c r="U94" s="547"/>
      <c r="V94" s="547"/>
      <c r="W94" s="547"/>
      <c r="X94" s="547"/>
      <c r="Y94" s="547"/>
      <c r="Z94" s="396"/>
      <c r="AA94" s="396"/>
      <c r="AB94" s="378"/>
      <c r="AC94" s="378"/>
      <c r="AD94" s="378"/>
      <c r="AE94" s="378"/>
      <c r="AF94" s="378"/>
      <c r="AG94" s="378"/>
      <c r="AH94" s="376"/>
      <c r="AI94" s="376"/>
      <c r="AJ94" s="376"/>
      <c r="AK94" s="376"/>
      <c r="AL94" s="376"/>
    </row>
    <row r="95" spans="1:38" x14ac:dyDescent="0.25">
      <c r="A95" s="547"/>
      <c r="B95" s="1398"/>
      <c r="C95" s="1404"/>
      <c r="D95" s="1405"/>
      <c r="E95" s="1397"/>
      <c r="F95" s="1405"/>
      <c r="G95" s="1404"/>
      <c r="H95" s="1405"/>
      <c r="I95" s="1399"/>
      <c r="J95" s="1411"/>
      <c r="K95" s="1411"/>
      <c r="L95" s="547"/>
      <c r="M95" s="547"/>
      <c r="N95" s="547"/>
      <c r="O95" s="547"/>
      <c r="P95" s="547"/>
      <c r="Q95" s="547"/>
      <c r="R95" s="547"/>
      <c r="S95" s="547"/>
      <c r="T95" s="547"/>
      <c r="U95" s="547"/>
      <c r="V95" s="547"/>
      <c r="W95" s="547"/>
      <c r="X95" s="547"/>
      <c r="Y95" s="547"/>
      <c r="Z95" s="396"/>
      <c r="AA95" s="396"/>
      <c r="AB95" s="378"/>
      <c r="AC95" s="378"/>
      <c r="AD95" s="378"/>
      <c r="AE95" s="378"/>
      <c r="AF95" s="378"/>
      <c r="AG95" s="378"/>
      <c r="AH95" s="376"/>
      <c r="AI95" s="376"/>
      <c r="AJ95" s="376"/>
      <c r="AK95" s="376"/>
      <c r="AL95" s="376"/>
    </row>
    <row r="96" spans="1:38" x14ac:dyDescent="0.25">
      <c r="A96" s="547"/>
      <c r="B96" s="1398"/>
      <c r="C96" s="1397"/>
      <c r="D96" s="1405"/>
      <c r="E96" s="1404"/>
      <c r="F96" s="1405"/>
      <c r="G96" s="1404"/>
      <c r="H96" s="1405"/>
      <c r="I96" s="1399"/>
      <c r="J96" s="1412"/>
      <c r="K96" s="1411"/>
      <c r="L96" s="1404"/>
      <c r="M96" s="1404"/>
      <c r="N96" s="1404"/>
      <c r="O96" s="1404"/>
      <c r="P96" s="547"/>
      <c r="Q96" s="547"/>
      <c r="R96" s="547"/>
      <c r="S96" s="547"/>
      <c r="T96" s="547"/>
      <c r="U96" s="547"/>
      <c r="V96" s="547"/>
      <c r="W96" s="547"/>
      <c r="X96" s="547"/>
      <c r="Y96" s="547"/>
      <c r="Z96" s="396"/>
      <c r="AA96" s="396"/>
      <c r="AB96" s="378"/>
      <c r="AC96" s="378"/>
      <c r="AD96" s="378"/>
      <c r="AE96" s="378"/>
      <c r="AF96" s="378"/>
      <c r="AG96" s="378"/>
      <c r="AH96" s="376"/>
      <c r="AI96" s="376"/>
      <c r="AJ96" s="376"/>
      <c r="AK96" s="376"/>
      <c r="AL96" s="376"/>
    </row>
    <row r="97" spans="1:38" x14ac:dyDescent="0.25">
      <c r="A97" s="547"/>
      <c r="B97" s="1398"/>
      <c r="C97" s="1404"/>
      <c r="D97" s="1404"/>
      <c r="E97" s="1404"/>
      <c r="F97" s="1404"/>
      <c r="G97" s="1404"/>
      <c r="H97" s="1404"/>
      <c r="I97" s="1399"/>
      <c r="J97" s="1412"/>
      <c r="K97" s="1407"/>
      <c r="L97" s="1404"/>
      <c r="M97" s="1404"/>
      <c r="N97" s="1397"/>
      <c r="O97" s="1404"/>
      <c r="P97" s="547"/>
      <c r="Q97" s="547"/>
      <c r="R97" s="547"/>
      <c r="S97" s="547"/>
      <c r="T97" s="547"/>
      <c r="U97" s="547"/>
      <c r="V97" s="547"/>
      <c r="W97" s="547"/>
      <c r="X97" s="547"/>
      <c r="Y97" s="547"/>
      <c r="Z97" s="396"/>
      <c r="AA97" s="396"/>
      <c r="AB97" s="378"/>
      <c r="AC97" s="378"/>
      <c r="AD97" s="378"/>
      <c r="AE97" s="378"/>
      <c r="AF97" s="378"/>
      <c r="AG97" s="378"/>
      <c r="AH97" s="376"/>
      <c r="AI97" s="376"/>
      <c r="AJ97" s="376"/>
      <c r="AK97" s="376"/>
      <c r="AL97" s="376"/>
    </row>
    <row r="98" spans="1:38" x14ac:dyDescent="0.25">
      <c r="A98" s="547"/>
      <c r="B98" s="1398"/>
      <c r="C98" s="1404"/>
      <c r="D98" s="1405"/>
      <c r="E98" s="1404"/>
      <c r="F98" s="1405"/>
      <c r="G98" s="1404"/>
      <c r="H98" s="1405"/>
      <c r="I98" s="1399"/>
      <c r="J98" s="1399"/>
      <c r="K98" s="1399"/>
      <c r="L98" s="1404"/>
      <c r="M98" s="1397"/>
      <c r="N98" s="1404"/>
      <c r="O98" s="1404"/>
      <c r="P98" s="547"/>
      <c r="Q98" s="547"/>
      <c r="R98" s="547"/>
      <c r="S98" s="547"/>
      <c r="T98" s="547"/>
      <c r="U98" s="547"/>
      <c r="V98" s="547"/>
      <c r="W98" s="547"/>
      <c r="X98" s="547"/>
      <c r="Y98" s="547"/>
      <c r="Z98" s="396"/>
      <c r="AA98" s="396"/>
      <c r="AB98" s="378"/>
      <c r="AC98" s="378"/>
      <c r="AD98" s="378"/>
      <c r="AE98" s="378"/>
      <c r="AF98" s="378"/>
      <c r="AG98" s="378"/>
      <c r="AH98" s="376"/>
      <c r="AI98" s="376"/>
      <c r="AJ98" s="376"/>
      <c r="AK98" s="376"/>
      <c r="AL98" s="376"/>
    </row>
    <row r="99" spans="1:38" x14ac:dyDescent="0.25">
      <c r="A99" s="547"/>
      <c r="B99" s="1398"/>
      <c r="C99" s="1401"/>
      <c r="D99" s="1401"/>
      <c r="E99" s="1401"/>
      <c r="F99" s="1401"/>
      <c r="G99" s="1401"/>
      <c r="H99" s="1401"/>
      <c r="I99" s="1399"/>
      <c r="J99" s="1399"/>
      <c r="K99" s="1399"/>
      <c r="L99" s="1404"/>
      <c r="M99" s="1404"/>
      <c r="N99" s="1404"/>
      <c r="O99" s="1413"/>
      <c r="P99" s="547"/>
      <c r="Q99" s="547"/>
      <c r="R99" s="547"/>
      <c r="S99" s="547"/>
      <c r="T99" s="547"/>
      <c r="U99" s="547"/>
      <c r="V99" s="547"/>
      <c r="W99" s="547"/>
      <c r="X99" s="547"/>
      <c r="Y99" s="547"/>
      <c r="Z99" s="396"/>
      <c r="AA99" s="396"/>
      <c r="AB99" s="378"/>
      <c r="AC99" s="378"/>
      <c r="AD99" s="378"/>
      <c r="AE99" s="378"/>
      <c r="AF99" s="378"/>
      <c r="AG99" s="378"/>
      <c r="AH99" s="376"/>
      <c r="AI99" s="376"/>
      <c r="AJ99" s="376"/>
      <c r="AK99" s="376"/>
      <c r="AL99" s="376"/>
    </row>
    <row r="100" spans="1:38" x14ac:dyDescent="0.25">
      <c r="A100" s="547"/>
      <c r="B100" s="1414"/>
      <c r="C100" s="1413"/>
      <c r="D100" s="1413"/>
      <c r="E100" s="1413"/>
      <c r="F100" s="1515"/>
      <c r="G100" s="1415"/>
      <c r="H100" s="1415"/>
      <c r="I100" s="1409"/>
      <c r="J100" s="1409"/>
      <c r="K100" s="1409"/>
      <c r="L100" s="1413"/>
      <c r="M100" s="1413"/>
      <c r="N100" s="1413"/>
      <c r="O100" s="1413"/>
      <c r="P100" s="1316"/>
      <c r="Q100" s="1316"/>
      <c r="R100" s="1316"/>
      <c r="S100" s="1316"/>
      <c r="T100" s="1316"/>
      <c r="U100" s="1316"/>
      <c r="V100" s="1316"/>
      <c r="W100" s="1316"/>
      <c r="X100" s="1316"/>
      <c r="Y100" s="1316"/>
      <c r="Z100" s="1381"/>
      <c r="AA100" s="1381"/>
      <c r="AB100" s="1317"/>
      <c r="AC100" s="378"/>
      <c r="AD100" s="378"/>
      <c r="AE100" s="378"/>
      <c r="AF100" s="378"/>
      <c r="AG100" s="378"/>
      <c r="AH100" s="376"/>
      <c r="AI100" s="376"/>
      <c r="AJ100" s="376"/>
      <c r="AK100" s="376"/>
      <c r="AL100" s="376"/>
    </row>
    <row r="101" spans="1:38" x14ac:dyDescent="0.25">
      <c r="A101" s="547"/>
      <c r="B101" s="1414"/>
      <c r="C101" s="1409"/>
      <c r="D101" s="1409"/>
      <c r="E101" s="1409"/>
      <c r="F101" s="1409"/>
      <c r="G101" s="1515"/>
      <c r="H101" s="1515"/>
      <c r="I101" s="1409"/>
      <c r="J101" s="1409"/>
      <c r="K101" s="1316"/>
      <c r="L101" s="1413"/>
      <c r="M101" s="1413"/>
      <c r="N101" s="1413"/>
      <c r="O101" s="1413"/>
      <c r="P101" s="1316"/>
      <c r="Q101" s="1316"/>
      <c r="R101" s="1316"/>
      <c r="S101" s="1316"/>
      <c r="T101" s="1316"/>
      <c r="U101" s="1316"/>
      <c r="V101" s="1316"/>
      <c r="W101" s="1316"/>
      <c r="X101" s="1316"/>
      <c r="Y101" s="1316"/>
      <c r="Z101" s="1381"/>
      <c r="AA101" s="1381"/>
      <c r="AB101" s="1317"/>
      <c r="AC101" s="378"/>
      <c r="AD101" s="378"/>
      <c r="AE101" s="378"/>
      <c r="AF101" s="378"/>
      <c r="AG101" s="378"/>
      <c r="AH101" s="376"/>
      <c r="AI101" s="376"/>
      <c r="AJ101" s="376"/>
      <c r="AK101" s="376"/>
      <c r="AL101" s="376"/>
    </row>
    <row r="102" spans="1:38" x14ac:dyDescent="0.25">
      <c r="A102" s="547"/>
      <c r="B102" s="1316"/>
      <c r="C102" s="1316"/>
      <c r="D102" s="1316"/>
      <c r="E102" s="1316"/>
      <c r="F102" s="1316"/>
      <c r="G102" s="1316"/>
      <c r="H102" s="1316"/>
      <c r="I102" s="1316"/>
      <c r="J102" s="1316"/>
      <c r="K102" s="1316"/>
      <c r="L102" s="1413"/>
      <c r="M102" s="1413"/>
      <c r="N102" s="1413"/>
      <c r="O102" s="1415"/>
      <c r="P102" s="1316"/>
      <c r="Q102" s="1316"/>
      <c r="R102" s="1316"/>
      <c r="S102" s="1316"/>
      <c r="T102" s="1316"/>
      <c r="U102" s="1316"/>
      <c r="V102" s="1316"/>
      <c r="W102" s="1316"/>
      <c r="X102" s="1316"/>
      <c r="Y102" s="1316"/>
      <c r="Z102" s="1381"/>
      <c r="AA102" s="1381"/>
      <c r="AB102" s="1317"/>
      <c r="AC102" s="378"/>
      <c r="AD102" s="378"/>
      <c r="AE102" s="378"/>
      <c r="AF102" s="378"/>
      <c r="AG102" s="378"/>
      <c r="AH102" s="376"/>
      <c r="AI102" s="376"/>
      <c r="AJ102" s="376"/>
      <c r="AK102" s="376"/>
      <c r="AL102" s="376"/>
    </row>
    <row r="103" spans="1:38" x14ac:dyDescent="0.25">
      <c r="A103" s="547"/>
      <c r="B103" s="1316"/>
      <c r="C103" s="1410"/>
      <c r="D103" s="1410"/>
      <c r="E103" s="1410"/>
      <c r="F103" s="1410"/>
      <c r="G103" s="1410"/>
      <c r="H103" s="1410"/>
      <c r="I103" s="1410"/>
      <c r="J103" s="1410"/>
      <c r="K103" s="1410"/>
      <c r="L103" s="1410"/>
      <c r="M103" s="1410"/>
      <c r="N103" s="1410"/>
      <c r="O103" s="1410"/>
      <c r="P103" s="1410"/>
      <c r="Q103" s="1410"/>
      <c r="R103" s="1316"/>
      <c r="S103" s="1316"/>
      <c r="T103" s="1316"/>
      <c r="U103" s="1316"/>
      <c r="V103" s="1316"/>
      <c r="W103" s="1316"/>
      <c r="X103" s="1316"/>
      <c r="Y103" s="1316"/>
      <c r="Z103" s="1381"/>
      <c r="AA103" s="1381"/>
      <c r="AB103" s="1317"/>
      <c r="AC103" s="378"/>
      <c r="AD103" s="378"/>
      <c r="AE103" s="378"/>
      <c r="AF103" s="378"/>
      <c r="AG103" s="378"/>
      <c r="AH103" s="376"/>
      <c r="AI103" s="376"/>
      <c r="AJ103" s="376"/>
      <c r="AK103" s="376"/>
      <c r="AL103" s="376"/>
    </row>
    <row r="104" spans="1:38" x14ac:dyDescent="0.25">
      <c r="A104" s="547"/>
      <c r="B104" s="1416"/>
      <c r="C104" s="1417"/>
      <c r="D104" s="1417"/>
      <c r="E104" s="1417"/>
      <c r="F104" s="1417"/>
      <c r="G104" s="1417"/>
      <c r="H104" s="1417"/>
      <c r="I104" s="1417"/>
      <c r="J104" s="1417"/>
      <c r="K104" s="1417"/>
      <c r="L104" s="1404"/>
      <c r="M104" s="1404"/>
      <c r="N104" s="1397"/>
      <c r="O104" s="1404"/>
      <c r="P104" s="1316"/>
      <c r="Q104" s="1316"/>
      <c r="R104" s="1316"/>
      <c r="S104" s="1316"/>
      <c r="T104" s="1316"/>
      <c r="U104" s="1316"/>
      <c r="V104" s="1316"/>
      <c r="W104" s="1316"/>
      <c r="X104" s="1316"/>
      <c r="Y104" s="1316"/>
      <c r="Z104" s="1381"/>
      <c r="AA104" s="1381"/>
      <c r="AB104" s="1317"/>
      <c r="AC104" s="378"/>
      <c r="AD104" s="378"/>
      <c r="AE104" s="378"/>
      <c r="AF104" s="378"/>
      <c r="AG104" s="378"/>
      <c r="AH104" s="376"/>
      <c r="AI104" s="376"/>
      <c r="AJ104" s="376"/>
      <c r="AK104" s="376"/>
      <c r="AL104" s="376"/>
    </row>
    <row r="105" spans="1:38" x14ac:dyDescent="0.25">
      <c r="A105" s="547"/>
      <c r="B105" s="1416"/>
      <c r="C105" s="1417"/>
      <c r="D105" s="1417"/>
      <c r="E105" s="1417"/>
      <c r="F105" s="1417"/>
      <c r="G105" s="1417"/>
      <c r="H105" s="1417"/>
      <c r="I105" s="1417"/>
      <c r="J105" s="1417"/>
      <c r="K105" s="1413"/>
      <c r="L105" s="1404"/>
      <c r="M105" s="1404"/>
      <c r="N105" s="1404"/>
      <c r="O105" s="1404"/>
      <c r="P105" s="1316"/>
      <c r="Q105" s="1316"/>
      <c r="R105" s="1316"/>
      <c r="S105" s="1316"/>
      <c r="T105" s="1316"/>
      <c r="U105" s="1316"/>
      <c r="V105" s="1316"/>
      <c r="W105" s="1316"/>
      <c r="X105" s="1316"/>
      <c r="Y105" s="1316"/>
      <c r="Z105" s="1381"/>
      <c r="AA105" s="1381"/>
      <c r="AB105" s="1317"/>
      <c r="AC105" s="378"/>
      <c r="AD105" s="378"/>
      <c r="AE105" s="378"/>
      <c r="AF105" s="378"/>
      <c r="AG105" s="378"/>
      <c r="AH105" s="376"/>
      <c r="AI105" s="376"/>
      <c r="AJ105" s="376"/>
      <c r="AK105" s="376"/>
      <c r="AL105" s="376"/>
    </row>
    <row r="106" spans="1:38" x14ac:dyDescent="0.25">
      <c r="A106" s="547"/>
      <c r="B106" s="1416"/>
      <c r="C106" s="1413"/>
      <c r="D106" s="1413"/>
      <c r="E106" s="1417"/>
      <c r="F106" s="1413"/>
      <c r="G106" s="1413"/>
      <c r="H106" s="1417"/>
      <c r="I106" s="1413"/>
      <c r="J106" s="1417"/>
      <c r="K106" s="1413"/>
      <c r="L106" s="1413"/>
      <c r="M106" s="1413"/>
      <c r="N106" s="1413"/>
      <c r="O106" s="1413"/>
      <c r="P106" s="1316"/>
      <c r="Q106" s="1316"/>
      <c r="R106" s="1316"/>
      <c r="S106" s="1316"/>
      <c r="T106" s="1316"/>
      <c r="U106" s="1316"/>
      <c r="V106" s="1316"/>
      <c r="W106" s="1316"/>
      <c r="X106" s="1316"/>
      <c r="Y106" s="1316"/>
      <c r="Z106" s="1381"/>
      <c r="AA106" s="1381"/>
      <c r="AB106" s="1317"/>
      <c r="AC106" s="378"/>
      <c r="AD106" s="378"/>
      <c r="AE106" s="378"/>
      <c r="AF106" s="378"/>
      <c r="AG106" s="378"/>
      <c r="AH106" s="376"/>
      <c r="AI106" s="376"/>
      <c r="AJ106" s="376"/>
      <c r="AK106" s="376"/>
      <c r="AL106" s="376"/>
    </row>
    <row r="107" spans="1:38" x14ac:dyDescent="0.25">
      <c r="A107" s="669"/>
      <c r="B107" s="1416"/>
      <c r="C107" s="1413"/>
      <c r="D107" s="1413"/>
      <c r="E107" s="1413"/>
      <c r="F107" s="1413"/>
      <c r="G107" s="1413"/>
      <c r="H107" s="1417"/>
      <c r="I107" s="1417"/>
      <c r="J107" s="1417"/>
      <c r="K107" s="1413"/>
      <c r="L107" s="1413"/>
      <c r="M107" s="1502"/>
      <c r="N107" s="1502"/>
      <c r="O107" s="1413"/>
      <c r="P107" s="1316"/>
      <c r="Q107" s="1316"/>
      <c r="R107" s="1316"/>
      <c r="S107" s="1316"/>
      <c r="T107" s="1316"/>
      <c r="U107" s="1316"/>
      <c r="V107" s="1316"/>
      <c r="W107" s="1316"/>
      <c r="X107" s="1316"/>
      <c r="Y107" s="1316"/>
      <c r="Z107" s="1381"/>
      <c r="AA107" s="1381"/>
      <c r="AB107" s="1317"/>
      <c r="AC107" s="378"/>
      <c r="AD107" s="378"/>
      <c r="AE107" s="378"/>
      <c r="AF107" s="378"/>
      <c r="AG107" s="378"/>
      <c r="AH107" s="376"/>
      <c r="AI107" s="376"/>
      <c r="AJ107" s="376"/>
      <c r="AK107" s="376"/>
      <c r="AL107" s="376"/>
    </row>
    <row r="108" spans="1:38" x14ac:dyDescent="0.25">
      <c r="A108" s="669"/>
      <c r="B108" s="1284"/>
      <c r="C108" s="547"/>
      <c r="D108" s="547"/>
      <c r="E108" s="1404"/>
      <c r="F108" s="1404"/>
      <c r="G108" s="1404"/>
      <c r="H108" s="1397"/>
      <c r="I108" s="1397"/>
      <c r="J108" s="1397"/>
      <c r="K108" s="1397"/>
      <c r="L108" s="1404"/>
      <c r="M108" s="1503"/>
      <c r="N108" s="1504"/>
      <c r="O108" s="1404"/>
      <c r="P108" s="547"/>
      <c r="Q108" s="547"/>
      <c r="R108" s="547"/>
      <c r="S108" s="547"/>
      <c r="T108" s="547"/>
      <c r="U108" s="547"/>
      <c r="V108" s="547"/>
      <c r="W108" s="547"/>
      <c r="X108" s="547"/>
      <c r="Y108" s="547"/>
      <c r="Z108" s="396"/>
      <c r="AA108" s="396"/>
      <c r="AB108" s="378"/>
      <c r="AC108" s="378"/>
      <c r="AD108" s="378"/>
      <c r="AE108" s="378"/>
      <c r="AF108" s="378"/>
      <c r="AG108" s="378"/>
      <c r="AH108" s="376"/>
      <c r="AI108" s="376"/>
      <c r="AJ108" s="376"/>
      <c r="AK108" s="376"/>
      <c r="AL108" s="376"/>
    </row>
    <row r="109" spans="1:38" x14ac:dyDescent="0.25">
      <c r="A109" s="669"/>
      <c r="B109" s="1284"/>
      <c r="C109" s="1404"/>
      <c r="D109" s="1404"/>
      <c r="E109" s="1404"/>
      <c r="F109" s="1404"/>
      <c r="G109" s="1404"/>
      <c r="H109" s="1397"/>
      <c r="I109" s="1397"/>
      <c r="J109" s="1397"/>
      <c r="K109" s="1397"/>
      <c r="L109" s="1404"/>
      <c r="M109" s="1504"/>
      <c r="N109" s="1503"/>
      <c r="O109" s="1404"/>
      <c r="P109" s="547"/>
      <c r="Q109" s="547"/>
      <c r="R109" s="547"/>
      <c r="S109" s="547"/>
      <c r="T109" s="547"/>
      <c r="U109" s="547"/>
      <c r="V109" s="547"/>
      <c r="W109" s="547"/>
      <c r="X109" s="547"/>
      <c r="Y109" s="547"/>
      <c r="Z109" s="396"/>
      <c r="AA109" s="396"/>
      <c r="AB109" s="378"/>
      <c r="AC109" s="378"/>
      <c r="AD109" s="378"/>
      <c r="AE109" s="378"/>
      <c r="AF109" s="378"/>
      <c r="AG109" s="378"/>
      <c r="AH109" s="376"/>
      <c r="AI109" s="376"/>
      <c r="AJ109" s="376"/>
      <c r="AK109" s="376"/>
      <c r="AL109" s="376"/>
    </row>
    <row r="110" spans="1:38" x14ac:dyDescent="0.25">
      <c r="A110" s="669"/>
      <c r="B110" s="1284"/>
      <c r="C110" s="1404"/>
      <c r="D110" s="1404"/>
      <c r="E110" s="1404"/>
      <c r="F110" s="1404"/>
      <c r="G110" s="1404"/>
      <c r="H110" s="1404"/>
      <c r="I110" s="1404"/>
      <c r="J110" s="1404"/>
      <c r="K110" s="1404"/>
      <c r="L110" s="1404"/>
      <c r="M110" s="1503"/>
      <c r="N110" s="1503"/>
      <c r="O110" s="1413"/>
      <c r="P110" s="547"/>
      <c r="Q110" s="547"/>
      <c r="R110" s="547"/>
      <c r="S110" s="547"/>
      <c r="T110" s="547"/>
      <c r="U110" s="547"/>
      <c r="V110" s="547"/>
      <c r="W110" s="547"/>
      <c r="X110" s="547"/>
      <c r="Y110" s="547"/>
      <c r="Z110" s="396"/>
      <c r="AA110" s="396"/>
      <c r="AB110" s="378"/>
      <c r="AC110" s="378"/>
      <c r="AD110" s="378"/>
      <c r="AE110" s="378"/>
      <c r="AF110" s="378"/>
      <c r="AG110" s="378"/>
      <c r="AH110" s="376"/>
      <c r="AI110" s="376"/>
      <c r="AJ110" s="376"/>
      <c r="AK110" s="376"/>
      <c r="AL110" s="376"/>
    </row>
    <row r="111" spans="1:38" x14ac:dyDescent="0.25">
      <c r="A111" s="669"/>
      <c r="B111" s="1284"/>
      <c r="C111" s="547"/>
      <c r="D111" s="1404"/>
      <c r="E111" s="547"/>
      <c r="F111" s="547"/>
      <c r="G111" s="547"/>
      <c r="H111" s="1404"/>
      <c r="I111" s="1404"/>
      <c r="J111" s="1404"/>
      <c r="K111" s="1404"/>
      <c r="L111" s="1404"/>
      <c r="M111" s="1503"/>
      <c r="N111" s="1503"/>
      <c r="O111" s="1404"/>
      <c r="P111" s="547"/>
      <c r="Q111" s="547"/>
      <c r="R111" s="547"/>
      <c r="S111" s="547"/>
      <c r="T111" s="547"/>
      <c r="U111" s="547"/>
      <c r="V111" s="547"/>
      <c r="W111" s="547"/>
      <c r="X111" s="547"/>
      <c r="Y111" s="547"/>
      <c r="Z111" s="396"/>
      <c r="AA111" s="396"/>
      <c r="AB111" s="378"/>
      <c r="AC111" s="378"/>
      <c r="AD111" s="378"/>
      <c r="AE111" s="378"/>
      <c r="AF111" s="378"/>
      <c r="AG111" s="378"/>
      <c r="AH111" s="376"/>
      <c r="AI111" s="376"/>
      <c r="AJ111" s="376"/>
      <c r="AK111" s="376"/>
      <c r="AL111" s="376"/>
    </row>
    <row r="112" spans="1:38" x14ac:dyDescent="0.25">
      <c r="A112" s="547"/>
      <c r="B112" s="1284"/>
      <c r="C112" s="1404"/>
      <c r="D112" s="1404"/>
      <c r="E112" s="1404"/>
      <c r="F112" s="1406"/>
      <c r="G112" s="1406"/>
      <c r="H112" s="1397"/>
      <c r="I112" s="1397"/>
      <c r="J112" s="1397"/>
      <c r="K112" s="1404"/>
      <c r="L112" s="1404"/>
      <c r="M112" s="1503"/>
      <c r="N112" s="1503"/>
      <c r="O112" s="1404"/>
      <c r="P112" s="547"/>
      <c r="Q112" s="547"/>
      <c r="R112" s="547"/>
      <c r="S112" s="547"/>
      <c r="T112" s="547"/>
      <c r="U112" s="547"/>
      <c r="V112" s="547"/>
      <c r="W112" s="547"/>
      <c r="X112" s="547"/>
      <c r="Y112" s="547"/>
      <c r="Z112" s="396"/>
      <c r="AA112" s="396"/>
      <c r="AB112" s="378"/>
      <c r="AC112" s="378"/>
      <c r="AD112" s="378"/>
      <c r="AE112" s="378"/>
      <c r="AF112" s="378"/>
      <c r="AG112" s="378"/>
      <c r="AH112" s="376"/>
      <c r="AI112" s="376"/>
      <c r="AJ112" s="376"/>
      <c r="AK112" s="376"/>
      <c r="AL112" s="376"/>
    </row>
    <row r="113" spans="1:38" x14ac:dyDescent="0.25">
      <c r="A113" s="547"/>
      <c r="B113" s="1416"/>
      <c r="C113" s="1397"/>
      <c r="D113" s="1397"/>
      <c r="E113" s="1397"/>
      <c r="F113" s="1397"/>
      <c r="G113" s="1397"/>
      <c r="H113" s="1404"/>
      <c r="I113" s="1404"/>
      <c r="J113" s="1404"/>
      <c r="K113" s="1408"/>
      <c r="L113" s="1404"/>
      <c r="M113" s="1503"/>
      <c r="N113" s="1503"/>
      <c r="O113" s="1411"/>
      <c r="P113" s="547"/>
      <c r="Q113" s="547"/>
      <c r="R113" s="547"/>
      <c r="S113" s="547"/>
      <c r="T113" s="547"/>
      <c r="U113" s="547"/>
      <c r="V113" s="547"/>
      <c r="W113" s="547"/>
      <c r="X113" s="547"/>
      <c r="Y113" s="547"/>
      <c r="Z113" s="396"/>
      <c r="AA113" s="396"/>
      <c r="AB113" s="378"/>
      <c r="AC113" s="378"/>
      <c r="AD113" s="378"/>
      <c r="AE113" s="378"/>
      <c r="AF113" s="378"/>
      <c r="AG113" s="378"/>
      <c r="AH113" s="376"/>
      <c r="AI113" s="376"/>
      <c r="AJ113" s="376"/>
      <c r="AK113" s="376"/>
      <c r="AL113" s="376"/>
    </row>
    <row r="114" spans="1:38" x14ac:dyDescent="0.25">
      <c r="A114" s="547"/>
      <c r="B114" s="547"/>
      <c r="C114" s="547"/>
      <c r="D114" s="547"/>
      <c r="E114" s="547"/>
      <c r="F114" s="547"/>
      <c r="G114" s="547"/>
      <c r="H114" s="547"/>
      <c r="I114" s="547"/>
      <c r="J114" s="547"/>
      <c r="K114" s="547"/>
      <c r="L114" s="547"/>
      <c r="M114" s="669"/>
      <c r="N114" s="669"/>
      <c r="O114" s="547"/>
      <c r="P114" s="547"/>
      <c r="Q114" s="547"/>
      <c r="R114" s="547"/>
      <c r="S114" s="547"/>
      <c r="T114" s="547"/>
      <c r="U114" s="547"/>
      <c r="V114" s="547"/>
      <c r="W114" s="547"/>
      <c r="X114" s="547"/>
      <c r="Y114" s="547"/>
      <c r="Z114" s="396"/>
      <c r="AA114" s="396"/>
      <c r="AB114" s="378"/>
      <c r="AC114" s="378"/>
      <c r="AD114" s="378"/>
      <c r="AE114" s="378"/>
      <c r="AF114" s="378"/>
      <c r="AG114" s="378"/>
      <c r="AH114" s="376"/>
      <c r="AI114" s="376"/>
      <c r="AJ114" s="376"/>
      <c r="AK114" s="376"/>
      <c r="AL114" s="376"/>
    </row>
    <row r="115" spans="1:38" x14ac:dyDescent="0.25">
      <c r="A115" s="547"/>
      <c r="B115" s="547"/>
      <c r="C115" s="547"/>
      <c r="D115" s="547"/>
      <c r="E115" s="547"/>
      <c r="F115" s="547"/>
      <c r="G115" s="547"/>
      <c r="H115" s="547"/>
      <c r="I115" s="547"/>
      <c r="J115" s="547"/>
      <c r="K115" s="547"/>
      <c r="L115" s="547"/>
      <c r="M115" s="669"/>
      <c r="N115" s="669"/>
      <c r="O115" s="547"/>
      <c r="P115" s="547"/>
      <c r="Q115" s="547"/>
      <c r="R115" s="547"/>
      <c r="S115" s="547"/>
      <c r="T115" s="547"/>
      <c r="U115" s="547"/>
      <c r="V115" s="547"/>
      <c r="W115" s="547"/>
      <c r="X115" s="547"/>
      <c r="Y115" s="547"/>
      <c r="Z115" s="396"/>
      <c r="AA115" s="396"/>
      <c r="AB115" s="378"/>
      <c r="AC115" s="378"/>
      <c r="AD115" s="378"/>
      <c r="AE115" s="378"/>
      <c r="AF115" s="378"/>
      <c r="AG115" s="378"/>
      <c r="AH115" s="376"/>
      <c r="AI115" s="376"/>
      <c r="AJ115" s="376"/>
      <c r="AK115" s="376"/>
      <c r="AL115" s="376"/>
    </row>
    <row r="116" spans="1:38" x14ac:dyDescent="0.25">
      <c r="A116" s="1284"/>
      <c r="B116" s="1285"/>
      <c r="C116" s="1286"/>
      <c r="D116" s="1286"/>
      <c r="E116" s="1286"/>
      <c r="F116" s="1286"/>
      <c r="G116" s="1286"/>
      <c r="H116" s="1286"/>
      <c r="I116" s="1286"/>
      <c r="J116" s="1286"/>
      <c r="K116" s="1286"/>
      <c r="L116" s="1286"/>
      <c r="M116" s="1505"/>
      <c r="N116" s="1505"/>
      <c r="O116" s="1286"/>
      <c r="P116" s="1286"/>
      <c r="Q116" s="547"/>
      <c r="R116" s="547"/>
      <c r="S116" s="547"/>
      <c r="T116" s="547"/>
      <c r="U116" s="547"/>
      <c r="V116" s="547"/>
      <c r="W116" s="547"/>
      <c r="X116" s="547"/>
      <c r="Y116" s="547"/>
      <c r="Z116" s="396"/>
      <c r="AA116" s="396"/>
      <c r="AB116" s="378"/>
      <c r="AC116" s="378"/>
      <c r="AD116" s="378"/>
      <c r="AE116" s="378"/>
      <c r="AF116" s="378"/>
      <c r="AG116" s="378"/>
      <c r="AH116" s="376"/>
      <c r="AI116" s="376"/>
      <c r="AJ116" s="376"/>
      <c r="AK116" s="376"/>
      <c r="AL116" s="376"/>
    </row>
    <row r="117" spans="1:38" x14ac:dyDescent="0.25">
      <c r="A117" s="1284"/>
      <c r="B117" s="1285"/>
      <c r="C117" s="1286"/>
      <c r="D117" s="1286"/>
      <c r="E117" s="1286"/>
      <c r="F117" s="1286"/>
      <c r="G117" s="1286"/>
      <c r="H117" s="1286"/>
      <c r="I117" s="1286"/>
      <c r="J117" s="1286"/>
      <c r="K117" s="1286"/>
      <c r="L117" s="1286"/>
      <c r="M117" s="1505"/>
      <c r="N117" s="1505"/>
      <c r="O117" s="1286"/>
      <c r="P117" s="1286"/>
      <c r="Q117" s="547"/>
      <c r="R117" s="547"/>
      <c r="S117" s="547"/>
      <c r="T117" s="547"/>
      <c r="U117" s="547"/>
      <c r="V117" s="547"/>
      <c r="W117" s="547"/>
      <c r="X117" s="547"/>
      <c r="Y117" s="547"/>
      <c r="Z117" s="396"/>
      <c r="AA117" s="396"/>
      <c r="AB117" s="378"/>
      <c r="AC117" s="378"/>
      <c r="AD117" s="378"/>
      <c r="AE117" s="378"/>
      <c r="AF117" s="378"/>
      <c r="AG117" s="378"/>
      <c r="AH117" s="376"/>
      <c r="AI117" s="376"/>
      <c r="AJ117" s="376"/>
      <c r="AK117" s="376"/>
      <c r="AL117" s="376"/>
    </row>
    <row r="118" spans="1:38" x14ac:dyDescent="0.25">
      <c r="A118" s="1284"/>
      <c r="B118" s="1285"/>
      <c r="C118" s="1286"/>
      <c r="D118" s="1286"/>
      <c r="E118" s="1286"/>
      <c r="F118" s="1286"/>
      <c r="G118" s="1286"/>
      <c r="H118" s="1286"/>
      <c r="I118" s="1286"/>
      <c r="J118" s="1286"/>
      <c r="K118" s="1286"/>
      <c r="L118" s="1286"/>
      <c r="M118" s="1286"/>
      <c r="N118" s="1286"/>
      <c r="O118" s="1286"/>
      <c r="P118" s="1286"/>
      <c r="Q118" s="547"/>
      <c r="R118" s="547"/>
      <c r="S118" s="547"/>
      <c r="T118" s="547"/>
      <c r="U118" s="547"/>
      <c r="V118" s="547"/>
      <c r="W118" s="547"/>
      <c r="X118" s="547"/>
      <c r="Y118" s="547"/>
      <c r="Z118" s="396"/>
      <c r="AA118" s="396"/>
      <c r="AB118" s="378"/>
      <c r="AC118" s="378"/>
      <c r="AD118" s="378"/>
      <c r="AE118" s="378"/>
      <c r="AF118" s="378"/>
      <c r="AG118" s="378"/>
      <c r="AH118" s="376"/>
      <c r="AI118" s="376"/>
      <c r="AJ118" s="376"/>
      <c r="AK118" s="376"/>
      <c r="AL118" s="376"/>
    </row>
    <row r="119" spans="1:38" x14ac:dyDescent="0.25">
      <c r="A119" s="1284"/>
      <c r="B119" s="1285"/>
      <c r="C119" s="1286"/>
      <c r="D119" s="1286"/>
      <c r="E119" s="1286"/>
      <c r="F119" s="1286"/>
      <c r="G119" s="1286"/>
      <c r="H119" s="1286"/>
      <c r="I119" s="1286"/>
      <c r="J119" s="1286"/>
      <c r="K119" s="1286"/>
      <c r="L119" s="1286"/>
      <c r="M119" s="1286"/>
      <c r="N119" s="1286"/>
      <c r="O119" s="1286"/>
      <c r="P119" s="1286"/>
      <c r="Q119" s="547"/>
      <c r="R119" s="547"/>
      <c r="S119" s="547"/>
      <c r="T119" s="547"/>
      <c r="U119" s="547"/>
      <c r="V119" s="547"/>
      <c r="W119" s="547"/>
      <c r="X119" s="547"/>
      <c r="Y119" s="547"/>
      <c r="Z119" s="396"/>
      <c r="AA119" s="396"/>
      <c r="AB119" s="378"/>
      <c r="AC119" s="378"/>
      <c r="AD119" s="378"/>
      <c r="AE119" s="378"/>
      <c r="AF119" s="378"/>
      <c r="AG119" s="378"/>
      <c r="AH119" s="376"/>
      <c r="AI119" s="376"/>
      <c r="AJ119" s="376"/>
      <c r="AK119" s="376"/>
      <c r="AL119" s="376"/>
    </row>
    <row r="120" spans="1:38" x14ac:dyDescent="0.25">
      <c r="A120" s="1284"/>
      <c r="B120" s="1285"/>
      <c r="C120" s="1286"/>
      <c r="D120" s="1286"/>
      <c r="E120" s="1286"/>
      <c r="F120" s="1286"/>
      <c r="G120" s="1286"/>
      <c r="H120" s="1286"/>
      <c r="I120" s="1286"/>
      <c r="J120" s="1286"/>
      <c r="K120" s="1286"/>
      <c r="L120" s="1286"/>
      <c r="M120" s="1286"/>
      <c r="N120" s="1286"/>
      <c r="O120" s="1286"/>
      <c r="P120" s="1286"/>
      <c r="Q120" s="547"/>
      <c r="R120" s="547"/>
      <c r="S120" s="547"/>
      <c r="T120" s="547"/>
      <c r="U120" s="547"/>
      <c r="V120" s="547"/>
      <c r="W120" s="547"/>
      <c r="X120" s="547"/>
      <c r="Y120" s="547"/>
      <c r="Z120" s="396"/>
      <c r="AA120" s="396"/>
      <c r="AB120" s="378"/>
      <c r="AC120" s="378"/>
      <c r="AD120" s="378"/>
      <c r="AE120" s="378"/>
      <c r="AF120" s="378"/>
      <c r="AG120" s="378"/>
      <c r="AH120" s="376"/>
      <c r="AI120" s="376"/>
      <c r="AJ120" s="376"/>
      <c r="AK120" s="376"/>
      <c r="AL120" s="376"/>
    </row>
    <row r="121" spans="1:38" x14ac:dyDescent="0.25">
      <c r="A121" s="1284"/>
      <c r="B121" s="1285"/>
      <c r="C121" s="1286"/>
      <c r="D121" s="1286"/>
      <c r="E121" s="1286"/>
      <c r="F121" s="1286"/>
      <c r="G121" s="1286"/>
      <c r="H121" s="1286"/>
      <c r="I121" s="1286"/>
      <c r="J121" s="1286"/>
      <c r="K121" s="1286"/>
      <c r="L121" s="1286"/>
      <c r="M121" s="1286"/>
      <c r="N121" s="1286"/>
      <c r="O121" s="1286"/>
      <c r="P121" s="1286"/>
      <c r="Q121" s="547"/>
      <c r="R121" s="547"/>
      <c r="S121" s="547"/>
      <c r="T121" s="547"/>
      <c r="U121" s="547"/>
      <c r="V121" s="547"/>
      <c r="W121" s="547"/>
      <c r="X121" s="547"/>
      <c r="Y121" s="547"/>
      <c r="Z121" s="396"/>
      <c r="AA121" s="396"/>
      <c r="AB121" s="378"/>
      <c r="AC121" s="378"/>
      <c r="AD121" s="378"/>
      <c r="AE121" s="378"/>
      <c r="AF121" s="378"/>
      <c r="AG121" s="378"/>
      <c r="AH121" s="376"/>
      <c r="AI121" s="376"/>
      <c r="AJ121" s="376"/>
      <c r="AK121" s="376"/>
      <c r="AL121" s="376"/>
    </row>
    <row r="122" spans="1:38" x14ac:dyDescent="0.25">
      <c r="A122" s="1284"/>
      <c r="B122" s="1285"/>
      <c r="C122" s="1286"/>
      <c r="D122" s="1286"/>
      <c r="E122" s="1286"/>
      <c r="F122" s="1286"/>
      <c r="G122" s="1286"/>
      <c r="H122" s="1286"/>
      <c r="I122" s="1286"/>
      <c r="J122" s="1286"/>
      <c r="K122" s="1286"/>
      <c r="L122" s="1286"/>
      <c r="M122" s="1286"/>
      <c r="N122" s="1286"/>
      <c r="O122" s="1286"/>
      <c r="P122" s="1286"/>
      <c r="Q122" s="547"/>
      <c r="R122" s="547"/>
      <c r="S122" s="547"/>
      <c r="T122" s="547"/>
      <c r="U122" s="547"/>
      <c r="V122" s="547"/>
      <c r="W122" s="547"/>
      <c r="X122" s="547"/>
      <c r="Y122" s="547"/>
      <c r="Z122" s="396"/>
      <c r="AA122" s="396"/>
      <c r="AB122" s="378"/>
      <c r="AC122" s="378"/>
      <c r="AD122" s="378"/>
      <c r="AE122" s="378"/>
      <c r="AF122" s="378"/>
      <c r="AG122" s="378"/>
      <c r="AH122" s="376"/>
      <c r="AI122" s="376"/>
      <c r="AJ122" s="376"/>
      <c r="AK122" s="376"/>
      <c r="AL122" s="376"/>
    </row>
    <row r="123" spans="1:38" x14ac:dyDescent="0.25">
      <c r="A123" s="1284"/>
      <c r="B123" s="1285"/>
      <c r="C123" s="1286"/>
      <c r="D123" s="1286"/>
      <c r="E123" s="1286"/>
      <c r="F123" s="1286"/>
      <c r="G123" s="1286"/>
      <c r="H123" s="1286"/>
      <c r="I123" s="1286"/>
      <c r="J123" s="1286"/>
      <c r="K123" s="1286"/>
      <c r="L123" s="1286"/>
      <c r="M123" s="1286"/>
      <c r="N123" s="1286"/>
      <c r="O123" s="1286"/>
      <c r="P123" s="1286"/>
      <c r="Q123" s="547"/>
      <c r="R123" s="547"/>
      <c r="S123" s="547"/>
      <c r="T123" s="547"/>
      <c r="U123" s="547"/>
      <c r="V123" s="547"/>
      <c r="W123" s="547"/>
      <c r="X123" s="547"/>
      <c r="Y123" s="547"/>
      <c r="Z123" s="396"/>
      <c r="AA123" s="396"/>
      <c r="AB123" s="378"/>
      <c r="AC123" s="378"/>
      <c r="AD123" s="378"/>
      <c r="AE123" s="378"/>
      <c r="AF123" s="378"/>
      <c r="AG123" s="378"/>
      <c r="AH123" s="376"/>
      <c r="AI123" s="376"/>
      <c r="AJ123" s="376"/>
      <c r="AK123" s="376"/>
      <c r="AL123" s="376"/>
    </row>
    <row r="124" spans="1:38" x14ac:dyDescent="0.25">
      <c r="A124" s="1284"/>
      <c r="B124" s="1285"/>
      <c r="C124" s="1286"/>
      <c r="D124" s="1286"/>
      <c r="E124" s="1286"/>
      <c r="F124" s="1286"/>
      <c r="G124" s="1286"/>
      <c r="H124" s="1286"/>
      <c r="I124" s="1286"/>
      <c r="J124" s="1286"/>
      <c r="K124" s="1286"/>
      <c r="L124" s="1286"/>
      <c r="M124" s="1286"/>
      <c r="N124" s="1286"/>
      <c r="O124" s="1286"/>
      <c r="P124" s="1286"/>
      <c r="Q124" s="547"/>
      <c r="R124" s="547"/>
      <c r="S124" s="547"/>
      <c r="T124" s="547"/>
      <c r="U124" s="547"/>
      <c r="V124" s="547"/>
      <c r="W124" s="547"/>
      <c r="X124" s="547"/>
      <c r="Y124" s="547"/>
      <c r="Z124" s="396"/>
      <c r="AA124" s="396"/>
      <c r="AB124" s="378"/>
      <c r="AC124" s="378"/>
      <c r="AD124" s="378"/>
      <c r="AE124" s="378"/>
      <c r="AF124" s="378"/>
      <c r="AG124" s="378"/>
      <c r="AH124" s="376"/>
      <c r="AI124" s="376"/>
      <c r="AJ124" s="376"/>
      <c r="AK124" s="376"/>
      <c r="AL124" s="376"/>
    </row>
    <row r="125" spans="1:38" x14ac:dyDescent="0.25">
      <c r="A125" s="1284"/>
      <c r="B125" s="1285"/>
      <c r="C125" s="1286"/>
      <c r="D125" s="1286"/>
      <c r="E125" s="1286"/>
      <c r="F125" s="1286"/>
      <c r="G125" s="1286"/>
      <c r="H125" s="1286"/>
      <c r="I125" s="1286"/>
      <c r="J125" s="1286"/>
      <c r="K125" s="1286"/>
      <c r="L125" s="1286"/>
      <c r="M125" s="1286"/>
      <c r="N125" s="1286"/>
      <c r="O125" s="1286"/>
      <c r="P125" s="1286"/>
      <c r="Q125" s="547"/>
      <c r="R125" s="547"/>
      <c r="S125" s="547"/>
      <c r="T125" s="547"/>
      <c r="U125" s="547"/>
      <c r="V125" s="547"/>
      <c r="W125" s="547"/>
      <c r="X125" s="547"/>
      <c r="Y125" s="547"/>
      <c r="Z125" s="396"/>
      <c r="AA125" s="396"/>
      <c r="AB125" s="378"/>
      <c r="AC125" s="378"/>
      <c r="AD125" s="378"/>
      <c r="AE125" s="378"/>
      <c r="AF125" s="378"/>
      <c r="AG125" s="378"/>
      <c r="AH125" s="376"/>
      <c r="AI125" s="376"/>
      <c r="AJ125" s="376"/>
      <c r="AK125" s="376"/>
      <c r="AL125" s="376"/>
    </row>
    <row r="126" spans="1:38" x14ac:dyDescent="0.25">
      <c r="A126" s="547"/>
      <c r="B126" s="1285"/>
      <c r="C126" s="1286"/>
      <c r="D126" s="1286"/>
      <c r="E126" s="1286"/>
      <c r="F126" s="1286"/>
      <c r="G126" s="1286"/>
      <c r="H126" s="1286"/>
      <c r="I126" s="1286"/>
      <c r="J126" s="1286"/>
      <c r="K126" s="1286"/>
      <c r="L126" s="1286"/>
      <c r="M126" s="1286"/>
      <c r="N126" s="1286"/>
      <c r="O126" s="1286"/>
      <c r="P126" s="1286"/>
      <c r="Q126" s="547"/>
      <c r="R126" s="547"/>
      <c r="S126" s="547"/>
      <c r="T126" s="547"/>
      <c r="U126" s="547"/>
      <c r="V126" s="547"/>
      <c r="W126" s="547"/>
      <c r="X126" s="547"/>
      <c r="Y126" s="547"/>
      <c r="Z126" s="396"/>
      <c r="AA126" s="396"/>
      <c r="AB126" s="378"/>
      <c r="AC126" s="378"/>
      <c r="AD126" s="378"/>
      <c r="AE126" s="378"/>
      <c r="AF126" s="378"/>
      <c r="AG126" s="378"/>
      <c r="AH126" s="376"/>
      <c r="AI126" s="376"/>
      <c r="AJ126" s="376"/>
      <c r="AK126" s="376"/>
      <c r="AL126" s="376"/>
    </row>
    <row r="127" spans="1:38" x14ac:dyDescent="0.25">
      <c r="A127" s="547"/>
      <c r="B127" s="1285"/>
      <c r="C127" s="1286"/>
      <c r="D127" s="1286"/>
      <c r="E127" s="1286"/>
      <c r="F127" s="1286"/>
      <c r="G127" s="1286"/>
      <c r="H127" s="1286"/>
      <c r="I127" s="1286"/>
      <c r="J127" s="1286"/>
      <c r="K127" s="1286"/>
      <c r="L127" s="1286"/>
      <c r="M127" s="1286"/>
      <c r="N127" s="1286"/>
      <c r="O127" s="1286"/>
      <c r="P127" s="1286"/>
      <c r="Q127" s="547"/>
      <c r="R127" s="547"/>
      <c r="S127" s="547"/>
      <c r="T127" s="547"/>
      <c r="U127" s="547"/>
      <c r="V127" s="547"/>
      <c r="W127" s="547"/>
      <c r="X127" s="547"/>
      <c r="Y127" s="547"/>
      <c r="Z127" s="396"/>
      <c r="AA127" s="396"/>
      <c r="AB127" s="378"/>
      <c r="AC127" s="378"/>
      <c r="AD127" s="378"/>
      <c r="AE127" s="378"/>
      <c r="AF127" s="378"/>
      <c r="AG127" s="378"/>
      <c r="AH127" s="376"/>
      <c r="AI127" s="376"/>
      <c r="AJ127" s="376"/>
      <c r="AK127" s="376"/>
      <c r="AL127" s="376"/>
    </row>
    <row r="128" spans="1:38" x14ac:dyDescent="0.25">
      <c r="A128" s="547"/>
      <c r="B128" s="547"/>
      <c r="C128" s="1286"/>
      <c r="D128" s="1286"/>
      <c r="E128" s="1286"/>
      <c r="F128" s="1286"/>
      <c r="G128" s="1286"/>
      <c r="H128" s="1286"/>
      <c r="I128" s="1286"/>
      <c r="J128" s="1286"/>
      <c r="K128" s="1286"/>
      <c r="L128" s="1286"/>
      <c r="M128" s="1286"/>
      <c r="N128" s="1286"/>
      <c r="O128" s="1286"/>
      <c r="P128" s="1286"/>
      <c r="Q128" s="547"/>
      <c r="R128" s="547"/>
      <c r="S128" s="547"/>
      <c r="T128" s="547"/>
      <c r="U128" s="547"/>
      <c r="V128" s="547"/>
      <c r="W128" s="547"/>
      <c r="X128" s="547"/>
      <c r="Y128" s="547"/>
      <c r="Z128" s="396"/>
      <c r="AA128" s="396"/>
      <c r="AB128" s="378"/>
      <c r="AC128" s="378"/>
      <c r="AD128" s="378"/>
      <c r="AE128" s="378"/>
      <c r="AF128" s="378"/>
      <c r="AG128" s="378"/>
      <c r="AH128" s="376"/>
      <c r="AI128" s="376"/>
      <c r="AJ128" s="376"/>
      <c r="AK128" s="376"/>
      <c r="AL128" s="376"/>
    </row>
    <row r="129" spans="1:38" x14ac:dyDescent="0.25">
      <c r="A129" s="1284"/>
      <c r="B129" s="1285"/>
      <c r="C129" s="1286"/>
      <c r="D129" s="1286"/>
      <c r="E129" s="1286"/>
      <c r="F129" s="1286"/>
      <c r="G129" s="1286"/>
      <c r="H129" s="1286"/>
      <c r="I129" s="1286"/>
      <c r="J129" s="1286"/>
      <c r="K129" s="1286"/>
      <c r="L129" s="1286"/>
      <c r="M129" s="1286"/>
      <c r="N129" s="1286"/>
      <c r="O129" s="1286"/>
      <c r="P129" s="1286"/>
      <c r="Q129" s="547"/>
      <c r="R129" s="547"/>
      <c r="S129" s="547"/>
      <c r="T129" s="547"/>
      <c r="U129" s="547"/>
      <c r="V129" s="547"/>
      <c r="W129" s="547"/>
      <c r="X129" s="547"/>
      <c r="Y129" s="547"/>
      <c r="Z129" s="396"/>
      <c r="AA129" s="396"/>
      <c r="AB129" s="378"/>
      <c r="AC129" s="378"/>
      <c r="AD129" s="378"/>
      <c r="AE129" s="378"/>
      <c r="AF129" s="378"/>
      <c r="AG129" s="378"/>
      <c r="AH129" s="376"/>
      <c r="AI129" s="376"/>
      <c r="AJ129" s="376"/>
      <c r="AK129" s="376"/>
      <c r="AL129" s="376"/>
    </row>
    <row r="130" spans="1:38" x14ac:dyDescent="0.25">
      <c r="A130" s="1284"/>
      <c r="B130" s="1285"/>
      <c r="C130" s="1286"/>
      <c r="D130" s="1286"/>
      <c r="E130" s="1286"/>
      <c r="F130" s="1286"/>
      <c r="G130" s="1286"/>
      <c r="H130" s="1286"/>
      <c r="I130" s="1286"/>
      <c r="J130" s="1286"/>
      <c r="K130" s="1286"/>
      <c r="L130" s="1286"/>
      <c r="M130" s="1286"/>
      <c r="N130" s="1286"/>
      <c r="O130" s="1286"/>
      <c r="P130" s="1286"/>
      <c r="Q130" s="547"/>
      <c r="R130" s="547"/>
      <c r="S130" s="547"/>
      <c r="T130" s="547"/>
      <c r="U130" s="547"/>
      <c r="V130" s="547"/>
      <c r="W130" s="547"/>
      <c r="X130" s="547"/>
      <c r="Y130" s="547"/>
      <c r="Z130" s="396"/>
      <c r="AA130" s="396"/>
      <c r="AB130" s="378"/>
      <c r="AC130" s="378"/>
      <c r="AD130" s="378"/>
      <c r="AE130" s="378"/>
      <c r="AF130" s="378"/>
      <c r="AG130" s="378"/>
      <c r="AH130" s="376"/>
      <c r="AI130" s="376"/>
      <c r="AJ130" s="376"/>
      <c r="AK130" s="376"/>
      <c r="AL130" s="376"/>
    </row>
    <row r="131" spans="1:38" x14ac:dyDescent="0.25">
      <c r="A131" s="1284"/>
      <c r="B131" s="1285"/>
      <c r="C131" s="1286"/>
      <c r="D131" s="1286"/>
      <c r="E131" s="1286"/>
      <c r="F131" s="1286"/>
      <c r="G131" s="1286"/>
      <c r="H131" s="1286"/>
      <c r="I131" s="1286"/>
      <c r="J131" s="1286"/>
      <c r="K131" s="1286"/>
      <c r="L131" s="1286"/>
      <c r="M131" s="1286"/>
      <c r="N131" s="1286"/>
      <c r="O131" s="1286"/>
      <c r="P131" s="1286"/>
      <c r="Q131" s="547"/>
      <c r="R131" s="547"/>
      <c r="S131" s="547"/>
      <c r="T131" s="547"/>
      <c r="U131" s="547"/>
      <c r="V131" s="547"/>
      <c r="W131" s="547"/>
      <c r="X131" s="547"/>
      <c r="Y131" s="547"/>
      <c r="Z131" s="396"/>
      <c r="AA131" s="396"/>
      <c r="AB131" s="378"/>
      <c r="AC131" s="378"/>
      <c r="AD131" s="378"/>
      <c r="AE131" s="378"/>
      <c r="AF131" s="378"/>
      <c r="AG131" s="378"/>
      <c r="AH131" s="376"/>
      <c r="AI131" s="376"/>
      <c r="AJ131" s="376"/>
      <c r="AK131" s="376"/>
      <c r="AL131" s="376"/>
    </row>
    <row r="132" spans="1:38" x14ac:dyDescent="0.25">
      <c r="A132" s="1284"/>
      <c r="B132" s="1285"/>
      <c r="C132" s="1286"/>
      <c r="D132" s="1286"/>
      <c r="E132" s="1286"/>
      <c r="F132" s="1286"/>
      <c r="G132" s="1286"/>
      <c r="H132" s="1286"/>
      <c r="I132" s="1286"/>
      <c r="J132" s="1286"/>
      <c r="K132" s="1286"/>
      <c r="L132" s="1286"/>
      <c r="M132" s="1286"/>
      <c r="N132" s="1286"/>
      <c r="O132" s="1286"/>
      <c r="P132" s="1286"/>
      <c r="Q132" s="547"/>
      <c r="R132" s="547"/>
      <c r="S132" s="547"/>
      <c r="T132" s="547"/>
      <c r="U132" s="547"/>
      <c r="V132" s="547"/>
      <c r="W132" s="547"/>
      <c r="X132" s="547"/>
      <c r="Y132" s="547"/>
      <c r="Z132" s="396"/>
      <c r="AA132" s="396"/>
      <c r="AB132" s="378"/>
      <c r="AC132" s="378"/>
      <c r="AD132" s="378"/>
      <c r="AE132" s="378"/>
      <c r="AF132" s="378"/>
      <c r="AG132" s="378"/>
      <c r="AH132" s="376"/>
      <c r="AI132" s="376"/>
      <c r="AJ132" s="376"/>
      <c r="AK132" s="376"/>
      <c r="AL132" s="376"/>
    </row>
    <row r="133" spans="1:38" x14ac:dyDescent="0.25">
      <c r="A133" s="1284"/>
      <c r="B133" s="1285"/>
      <c r="C133" s="1286"/>
      <c r="D133" s="1286"/>
      <c r="E133" s="1286"/>
      <c r="F133" s="1286"/>
      <c r="G133" s="1286"/>
      <c r="H133" s="1286"/>
      <c r="I133" s="1286"/>
      <c r="J133" s="1286"/>
      <c r="K133" s="1286"/>
      <c r="L133" s="1286"/>
      <c r="M133" s="1286"/>
      <c r="N133" s="1286"/>
      <c r="O133" s="1286"/>
      <c r="P133" s="1286"/>
      <c r="Q133" s="547"/>
      <c r="R133" s="547"/>
      <c r="S133" s="547"/>
      <c r="T133" s="547"/>
      <c r="U133" s="547"/>
      <c r="V133" s="547"/>
      <c r="W133" s="547"/>
      <c r="X133" s="547"/>
      <c r="Y133" s="547"/>
      <c r="Z133" s="396"/>
      <c r="AA133" s="396"/>
      <c r="AB133" s="378"/>
      <c r="AC133" s="378"/>
      <c r="AD133" s="378"/>
      <c r="AE133" s="378"/>
      <c r="AF133" s="378"/>
      <c r="AG133" s="378"/>
      <c r="AH133" s="376"/>
      <c r="AI133" s="376"/>
      <c r="AJ133" s="376"/>
      <c r="AK133" s="376"/>
      <c r="AL133" s="376"/>
    </row>
    <row r="134" spans="1:38" x14ac:dyDescent="0.25">
      <c r="A134" s="1284"/>
      <c r="B134" s="1285"/>
      <c r="C134" s="1286"/>
      <c r="D134" s="1286"/>
      <c r="E134" s="1286"/>
      <c r="F134" s="1286"/>
      <c r="G134" s="1286"/>
      <c r="H134" s="1286"/>
      <c r="I134" s="1286"/>
      <c r="J134" s="1286"/>
      <c r="K134" s="1286"/>
      <c r="L134" s="1286"/>
      <c r="M134" s="1286"/>
      <c r="N134" s="1286"/>
      <c r="O134" s="1286"/>
      <c r="P134" s="1286"/>
      <c r="Q134" s="547"/>
      <c r="R134" s="547"/>
      <c r="S134" s="547"/>
      <c r="T134" s="547"/>
      <c r="U134" s="547"/>
      <c r="V134" s="547"/>
      <c r="W134" s="547"/>
      <c r="X134" s="547"/>
      <c r="Y134" s="547"/>
      <c r="Z134" s="396"/>
      <c r="AA134" s="396"/>
      <c r="AB134" s="378"/>
      <c r="AC134" s="378"/>
      <c r="AD134" s="378"/>
      <c r="AE134" s="378"/>
      <c r="AF134" s="378"/>
      <c r="AG134" s="378"/>
      <c r="AH134" s="376"/>
      <c r="AI134" s="376"/>
      <c r="AJ134" s="376"/>
      <c r="AK134" s="376"/>
      <c r="AL134" s="376"/>
    </row>
    <row r="135" spans="1:38" x14ac:dyDescent="0.25">
      <c r="A135" s="1284"/>
      <c r="B135" s="1285"/>
      <c r="C135" s="1286"/>
      <c r="D135" s="1286"/>
      <c r="E135" s="1286"/>
      <c r="F135" s="1286"/>
      <c r="G135" s="1286"/>
      <c r="H135" s="1286"/>
      <c r="I135" s="1286"/>
      <c r="J135" s="1286"/>
      <c r="K135" s="1286"/>
      <c r="L135" s="1286"/>
      <c r="M135" s="1286"/>
      <c r="N135" s="1286"/>
      <c r="O135" s="1286"/>
      <c r="P135" s="1286"/>
      <c r="Q135" s="547"/>
      <c r="R135" s="547"/>
      <c r="S135" s="547"/>
      <c r="T135" s="547"/>
      <c r="U135" s="547"/>
      <c r="V135" s="547"/>
      <c r="W135" s="547"/>
      <c r="X135" s="547"/>
      <c r="Y135" s="547"/>
      <c r="Z135" s="396"/>
      <c r="AA135" s="396"/>
      <c r="AB135" s="378"/>
      <c r="AC135" s="378"/>
      <c r="AD135" s="378"/>
      <c r="AE135" s="378"/>
      <c r="AF135" s="378"/>
      <c r="AG135" s="378"/>
      <c r="AH135" s="376"/>
      <c r="AI135" s="376"/>
      <c r="AJ135" s="376"/>
      <c r="AK135" s="376"/>
      <c r="AL135" s="376"/>
    </row>
    <row r="136" spans="1:38" x14ac:dyDescent="0.25">
      <c r="A136" s="1284"/>
      <c r="B136" s="1285"/>
      <c r="C136" s="1286"/>
      <c r="D136" s="1286"/>
      <c r="E136" s="1286"/>
      <c r="F136" s="1286"/>
      <c r="G136" s="1286"/>
      <c r="H136" s="1286"/>
      <c r="I136" s="1286"/>
      <c r="J136" s="1286"/>
      <c r="K136" s="1286"/>
      <c r="L136" s="1286"/>
      <c r="M136" s="1286"/>
      <c r="N136" s="1286"/>
      <c r="O136" s="1286"/>
      <c r="P136" s="1286"/>
      <c r="Q136" s="547"/>
      <c r="R136" s="547"/>
      <c r="S136" s="547"/>
      <c r="T136" s="547"/>
      <c r="U136" s="547"/>
      <c r="V136" s="547"/>
      <c r="W136" s="547"/>
      <c r="X136" s="547"/>
      <c r="Y136" s="547"/>
      <c r="Z136" s="396"/>
      <c r="AA136" s="396"/>
      <c r="AB136" s="378"/>
      <c r="AC136" s="378"/>
      <c r="AD136" s="378"/>
      <c r="AE136" s="378"/>
      <c r="AF136" s="378"/>
      <c r="AG136" s="378"/>
      <c r="AH136" s="376"/>
      <c r="AI136" s="376"/>
      <c r="AJ136" s="376"/>
      <c r="AK136" s="376"/>
      <c r="AL136" s="376"/>
    </row>
    <row r="137" spans="1:38" x14ac:dyDescent="0.25">
      <c r="A137" s="1284"/>
      <c r="B137" s="1287"/>
      <c r="C137" s="1288"/>
      <c r="D137" s="1288"/>
      <c r="E137" s="1288"/>
      <c r="F137" s="1288"/>
      <c r="G137" s="1288"/>
      <c r="H137" s="1288"/>
      <c r="I137" s="1288"/>
      <c r="J137" s="1288"/>
      <c r="K137" s="1288"/>
      <c r="L137" s="1288"/>
      <c r="M137" s="1288"/>
      <c r="N137" s="1288"/>
      <c r="O137" s="1288"/>
      <c r="P137" s="1288"/>
      <c r="Q137" s="396"/>
      <c r="R137" s="396"/>
      <c r="S137" s="396"/>
      <c r="T137" s="396"/>
      <c r="U137" s="396"/>
      <c r="V137" s="396"/>
      <c r="W137" s="396"/>
      <c r="X137" s="396"/>
      <c r="Y137" s="396"/>
      <c r="Z137" s="396"/>
      <c r="AA137" s="396"/>
      <c r="AB137" s="378"/>
      <c r="AC137" s="378"/>
      <c r="AD137" s="378"/>
      <c r="AE137" s="378"/>
      <c r="AF137" s="378"/>
      <c r="AG137" s="378"/>
      <c r="AH137" s="376"/>
      <c r="AI137" s="376"/>
      <c r="AJ137" s="376"/>
      <c r="AK137" s="376"/>
      <c r="AL137" s="376"/>
    </row>
    <row r="138" spans="1:38" x14ac:dyDescent="0.25">
      <c r="A138" s="396"/>
      <c r="B138" s="1287"/>
      <c r="C138" s="1288"/>
      <c r="D138" s="1288"/>
      <c r="E138" s="1288"/>
      <c r="F138" s="1288"/>
      <c r="G138" s="1288"/>
      <c r="H138" s="1288"/>
      <c r="I138" s="1288"/>
      <c r="J138" s="1288"/>
      <c r="K138" s="1288"/>
      <c r="L138" s="1288"/>
      <c r="M138" s="1288"/>
      <c r="N138" s="1288"/>
      <c r="O138" s="1288"/>
      <c r="P138" s="1288"/>
      <c r="Q138" s="396"/>
      <c r="R138" s="396"/>
      <c r="S138" s="396"/>
      <c r="T138" s="396"/>
      <c r="U138" s="396"/>
      <c r="V138" s="396"/>
      <c r="W138" s="396"/>
      <c r="X138" s="396"/>
      <c r="Y138" s="396"/>
      <c r="Z138" s="396"/>
      <c r="AA138" s="396"/>
      <c r="AB138" s="378"/>
      <c r="AC138" s="378"/>
      <c r="AD138" s="378"/>
      <c r="AE138" s="378"/>
      <c r="AF138" s="378"/>
      <c r="AG138" s="378"/>
      <c r="AH138" s="376"/>
      <c r="AI138" s="376"/>
      <c r="AJ138" s="376"/>
      <c r="AK138" s="376"/>
      <c r="AL138" s="376"/>
    </row>
    <row r="139" spans="1:38" x14ac:dyDescent="0.25">
      <c r="A139" s="396"/>
      <c r="B139" s="1287"/>
      <c r="C139" s="1288"/>
      <c r="D139" s="1288"/>
      <c r="E139" s="1288"/>
      <c r="F139" s="1288"/>
      <c r="G139" s="1288"/>
      <c r="H139" s="1286"/>
      <c r="I139" s="1286"/>
      <c r="J139" s="1286"/>
      <c r="K139" s="1288"/>
      <c r="L139" s="1288"/>
      <c r="M139" s="1288"/>
      <c r="N139" s="1288"/>
      <c r="O139" s="1288"/>
      <c r="P139" s="1288"/>
      <c r="Q139" s="396"/>
      <c r="R139" s="396"/>
      <c r="S139" s="396"/>
      <c r="T139" s="396"/>
      <c r="U139" s="396"/>
      <c r="V139" s="396"/>
      <c r="W139" s="396"/>
      <c r="X139" s="396"/>
      <c r="Y139" s="396"/>
      <c r="Z139" s="396"/>
      <c r="AA139" s="396"/>
      <c r="AB139" s="378"/>
      <c r="AC139" s="378"/>
      <c r="AD139" s="378"/>
      <c r="AE139" s="378"/>
      <c r="AF139" s="378"/>
      <c r="AG139" s="378"/>
      <c r="AH139" s="376"/>
      <c r="AI139" s="376"/>
      <c r="AJ139" s="376"/>
      <c r="AK139" s="376"/>
      <c r="AL139" s="376"/>
    </row>
    <row r="140" spans="1:38" x14ac:dyDescent="0.25">
      <c r="A140" s="396"/>
      <c r="B140" s="396"/>
      <c r="C140" s="1288"/>
      <c r="D140" s="1288"/>
      <c r="E140" s="1288"/>
      <c r="F140" s="1288"/>
      <c r="G140" s="1288"/>
      <c r="H140" s="1286"/>
      <c r="I140" s="1286"/>
      <c r="J140" s="1286"/>
      <c r="K140" s="1288"/>
      <c r="L140" s="396"/>
      <c r="M140" s="396"/>
      <c r="N140" s="396"/>
      <c r="O140" s="396"/>
      <c r="P140" s="396"/>
      <c r="Q140" s="396"/>
      <c r="R140" s="396"/>
      <c r="S140" s="396"/>
      <c r="T140" s="396"/>
      <c r="U140" s="396"/>
      <c r="V140" s="396"/>
      <c r="W140" s="396"/>
      <c r="X140" s="396"/>
      <c r="Y140" s="396"/>
      <c r="Z140" s="396"/>
      <c r="AA140" s="396"/>
      <c r="AB140" s="378"/>
      <c r="AC140" s="378"/>
      <c r="AD140" s="378"/>
      <c r="AE140" s="378"/>
      <c r="AF140" s="378"/>
      <c r="AG140" s="378"/>
      <c r="AH140" s="376"/>
      <c r="AI140" s="376"/>
      <c r="AJ140" s="376"/>
      <c r="AK140" s="376"/>
      <c r="AL140" s="376"/>
    </row>
    <row r="141" spans="1:38" x14ac:dyDescent="0.25">
      <c r="A141" s="396"/>
      <c r="B141" s="396"/>
      <c r="C141" s="396"/>
      <c r="D141" s="396"/>
      <c r="E141" s="396"/>
      <c r="F141" s="396"/>
      <c r="G141" s="396"/>
      <c r="H141" s="547"/>
      <c r="I141" s="1507"/>
      <c r="J141" s="547"/>
      <c r="K141" s="396"/>
      <c r="L141" s="396"/>
      <c r="M141" s="396"/>
      <c r="N141" s="396"/>
      <c r="O141" s="396"/>
      <c r="P141" s="396"/>
      <c r="Q141" s="396"/>
      <c r="R141" s="396"/>
      <c r="S141" s="396"/>
      <c r="T141" s="396"/>
      <c r="U141" s="396"/>
      <c r="V141" s="396"/>
      <c r="W141" s="396"/>
      <c r="X141" s="396"/>
      <c r="Y141" s="396"/>
      <c r="Z141" s="396"/>
      <c r="AA141" s="396"/>
      <c r="AB141" s="378"/>
      <c r="AC141" s="378"/>
      <c r="AD141" s="378"/>
      <c r="AE141" s="378"/>
      <c r="AF141" s="378"/>
      <c r="AG141" s="378"/>
      <c r="AH141" s="376"/>
      <c r="AI141" s="376"/>
      <c r="AJ141" s="376"/>
      <c r="AK141" s="376"/>
      <c r="AL141" s="376"/>
    </row>
    <row r="142" spans="1:38" x14ac:dyDescent="0.25">
      <c r="A142" s="1284"/>
      <c r="B142" s="396"/>
      <c r="C142" s="396"/>
      <c r="D142" s="396"/>
      <c r="E142" s="396"/>
      <c r="F142" s="396"/>
      <c r="G142" s="396"/>
      <c r="H142" s="547"/>
      <c r="I142" s="547"/>
      <c r="J142" s="547"/>
      <c r="K142" s="396"/>
      <c r="L142" s="396"/>
      <c r="M142" s="396"/>
      <c r="N142" s="396"/>
      <c r="O142" s="396"/>
      <c r="P142" s="396"/>
      <c r="Q142" s="396"/>
      <c r="R142" s="396"/>
      <c r="S142" s="396"/>
      <c r="T142" s="396"/>
      <c r="U142" s="396"/>
      <c r="V142" s="396"/>
      <c r="W142" s="396"/>
      <c r="X142" s="396"/>
      <c r="Y142" s="396"/>
      <c r="Z142" s="396"/>
      <c r="AA142" s="396"/>
      <c r="AB142" s="378"/>
      <c r="AC142" s="378"/>
      <c r="AD142" s="378"/>
      <c r="AE142" s="378"/>
      <c r="AF142" s="378"/>
      <c r="AG142" s="378"/>
      <c r="AH142" s="376"/>
      <c r="AI142" s="376"/>
      <c r="AJ142" s="376"/>
      <c r="AK142" s="376"/>
      <c r="AL142" s="376"/>
    </row>
    <row r="143" spans="1:38" x14ac:dyDescent="0.25">
      <c r="A143" s="1284"/>
      <c r="B143" s="396"/>
      <c r="C143" s="396"/>
      <c r="D143" s="396"/>
      <c r="E143" s="396"/>
      <c r="F143" s="396"/>
      <c r="G143" s="396"/>
      <c r="H143" s="396"/>
      <c r="I143" s="396"/>
      <c r="J143" s="396"/>
      <c r="K143" s="396"/>
      <c r="L143" s="396"/>
      <c r="M143" s="396"/>
      <c r="N143" s="396"/>
      <c r="O143" s="396"/>
      <c r="P143" s="396"/>
      <c r="Q143" s="396"/>
      <c r="R143" s="396"/>
      <c r="S143" s="396"/>
      <c r="T143" s="396"/>
      <c r="U143" s="396"/>
      <c r="V143" s="396"/>
      <c r="W143" s="396"/>
      <c r="X143" s="396"/>
      <c r="Y143" s="396"/>
      <c r="Z143" s="396"/>
      <c r="AA143" s="396"/>
      <c r="AB143" s="378"/>
      <c r="AC143" s="378"/>
      <c r="AD143" s="378"/>
      <c r="AE143" s="378"/>
      <c r="AF143" s="378"/>
      <c r="AG143" s="378"/>
      <c r="AH143" s="376"/>
      <c r="AI143" s="376"/>
      <c r="AJ143" s="376"/>
      <c r="AK143" s="376"/>
      <c r="AL143" s="376"/>
    </row>
    <row r="144" spans="1:38" x14ac:dyDescent="0.25">
      <c r="A144" s="1284"/>
      <c r="B144" s="396"/>
      <c r="C144" s="396"/>
      <c r="D144" s="396"/>
      <c r="E144" s="396"/>
      <c r="F144" s="396"/>
      <c r="G144" s="396"/>
      <c r="H144" s="396"/>
      <c r="I144" s="396"/>
      <c r="J144" s="396"/>
      <c r="K144" s="396"/>
      <c r="L144" s="396"/>
      <c r="M144" s="396"/>
      <c r="N144" s="396"/>
      <c r="O144" s="396"/>
      <c r="P144" s="396"/>
      <c r="Q144" s="396"/>
      <c r="R144" s="396"/>
      <c r="S144" s="396"/>
      <c r="T144" s="396"/>
      <c r="U144" s="396"/>
      <c r="V144" s="396"/>
      <c r="W144" s="396"/>
      <c r="X144" s="396"/>
      <c r="Y144" s="396"/>
      <c r="Z144" s="396"/>
      <c r="AA144" s="396"/>
      <c r="AB144" s="378"/>
      <c r="AC144" s="378"/>
      <c r="AD144" s="378"/>
      <c r="AE144" s="378"/>
      <c r="AF144" s="378"/>
      <c r="AG144" s="378"/>
      <c r="AH144" s="376"/>
      <c r="AI144" s="376"/>
      <c r="AJ144" s="376"/>
      <c r="AK144" s="376"/>
      <c r="AL144" s="376"/>
    </row>
    <row r="145" spans="1:38" x14ac:dyDescent="0.25">
      <c r="A145" s="1284"/>
      <c r="B145" s="396"/>
      <c r="C145" s="396"/>
      <c r="D145" s="396"/>
      <c r="E145" s="396"/>
      <c r="F145" s="396"/>
      <c r="G145" s="396"/>
      <c r="H145" s="396"/>
      <c r="I145" s="396"/>
      <c r="J145" s="396"/>
      <c r="K145" s="396"/>
      <c r="L145" s="396"/>
      <c r="M145" s="396"/>
      <c r="N145" s="396"/>
      <c r="O145" s="396"/>
      <c r="P145" s="396"/>
      <c r="Q145" s="396"/>
      <c r="R145" s="396"/>
      <c r="S145" s="396"/>
      <c r="T145" s="396"/>
      <c r="U145" s="396"/>
      <c r="V145" s="396"/>
      <c r="W145" s="396"/>
      <c r="X145" s="396"/>
      <c r="Y145" s="396"/>
      <c r="Z145" s="396"/>
      <c r="AA145" s="396"/>
      <c r="AB145" s="378"/>
      <c r="AC145" s="378"/>
      <c r="AD145" s="378"/>
      <c r="AE145" s="378"/>
      <c r="AF145" s="378"/>
      <c r="AG145" s="378"/>
      <c r="AH145" s="376"/>
      <c r="AI145" s="376"/>
      <c r="AJ145" s="376"/>
      <c r="AK145" s="376"/>
      <c r="AL145" s="376"/>
    </row>
    <row r="146" spans="1:38" x14ac:dyDescent="0.25">
      <c r="A146" s="1284"/>
      <c r="B146" s="396"/>
      <c r="C146" s="396"/>
      <c r="D146" s="396"/>
      <c r="E146" s="396"/>
      <c r="F146" s="396"/>
      <c r="G146" s="396"/>
      <c r="H146" s="396"/>
      <c r="I146" s="396"/>
      <c r="J146" s="396"/>
      <c r="K146" s="396"/>
      <c r="L146" s="396"/>
      <c r="M146" s="396"/>
      <c r="N146" s="396"/>
      <c r="O146" s="396"/>
      <c r="P146" s="396"/>
      <c r="Q146" s="396"/>
      <c r="R146" s="396"/>
      <c r="S146" s="396"/>
      <c r="T146" s="396"/>
      <c r="U146" s="396"/>
      <c r="V146" s="396"/>
      <c r="W146" s="396"/>
      <c r="X146" s="396"/>
      <c r="Y146" s="396"/>
      <c r="Z146" s="396"/>
      <c r="AA146" s="396"/>
      <c r="AB146" s="378"/>
      <c r="AC146" s="378"/>
      <c r="AD146" s="378"/>
      <c r="AE146" s="378"/>
      <c r="AF146" s="378"/>
      <c r="AG146" s="378"/>
      <c r="AH146" s="376"/>
      <c r="AI146" s="376"/>
      <c r="AJ146" s="376"/>
      <c r="AK146" s="376"/>
      <c r="AL146" s="376"/>
    </row>
    <row r="147" spans="1:38" x14ac:dyDescent="0.25">
      <c r="A147" s="1284"/>
      <c r="B147" s="396"/>
      <c r="C147" s="396"/>
      <c r="D147" s="396"/>
      <c r="E147" s="396"/>
      <c r="F147" s="396"/>
      <c r="G147" s="396"/>
      <c r="H147" s="396"/>
      <c r="I147" s="396"/>
      <c r="J147" s="396"/>
      <c r="K147" s="396"/>
      <c r="L147" s="396"/>
      <c r="M147" s="396"/>
      <c r="N147" s="396"/>
      <c r="O147" s="396"/>
      <c r="P147" s="396"/>
      <c r="Q147" s="396"/>
      <c r="R147" s="396"/>
      <c r="S147" s="396"/>
      <c r="T147" s="396"/>
      <c r="U147" s="396"/>
      <c r="V147" s="396"/>
      <c r="W147" s="396"/>
      <c r="X147" s="396"/>
      <c r="Y147" s="396"/>
      <c r="Z147" s="396"/>
      <c r="AA147" s="396"/>
      <c r="AB147" s="378"/>
      <c r="AC147" s="378"/>
      <c r="AD147" s="378"/>
      <c r="AE147" s="378"/>
      <c r="AF147" s="378"/>
      <c r="AG147" s="378"/>
      <c r="AH147" s="376"/>
      <c r="AI147" s="376"/>
      <c r="AJ147" s="376"/>
      <c r="AK147" s="376"/>
      <c r="AL147" s="376"/>
    </row>
    <row r="148" spans="1:38" x14ac:dyDescent="0.25">
      <c r="A148" s="1284"/>
      <c r="B148" s="396"/>
      <c r="C148" s="396"/>
      <c r="D148" s="396"/>
      <c r="E148" s="396"/>
      <c r="F148" s="396"/>
      <c r="G148" s="396"/>
      <c r="H148" s="396"/>
      <c r="I148" s="396"/>
      <c r="J148" s="396"/>
      <c r="K148" s="396"/>
      <c r="L148" s="396"/>
      <c r="M148" s="396"/>
      <c r="N148" s="396"/>
      <c r="O148" s="396"/>
      <c r="P148" s="396"/>
      <c r="Q148" s="396"/>
      <c r="R148" s="396"/>
      <c r="S148" s="396"/>
      <c r="T148" s="396"/>
      <c r="U148" s="396"/>
      <c r="V148" s="396"/>
      <c r="W148" s="396"/>
      <c r="X148" s="396"/>
      <c r="Y148" s="396"/>
      <c r="Z148" s="396"/>
      <c r="AA148" s="396"/>
      <c r="AB148" s="378"/>
      <c r="AC148" s="378"/>
      <c r="AD148" s="378"/>
      <c r="AE148" s="378"/>
      <c r="AF148" s="378"/>
      <c r="AG148" s="378"/>
      <c r="AH148" s="376"/>
      <c r="AI148" s="376"/>
      <c r="AJ148" s="376"/>
      <c r="AK148" s="376"/>
      <c r="AL148" s="376"/>
    </row>
    <row r="149" spans="1:38" x14ac:dyDescent="0.25">
      <c r="A149" s="1284"/>
      <c r="B149" s="396"/>
      <c r="C149" s="396"/>
      <c r="D149" s="396"/>
      <c r="E149" s="396"/>
      <c r="F149" s="396"/>
      <c r="G149" s="396"/>
      <c r="H149" s="396"/>
      <c r="I149" s="396"/>
      <c r="J149" s="396"/>
      <c r="K149" s="396"/>
      <c r="L149" s="396"/>
      <c r="M149" s="396"/>
      <c r="N149" s="396"/>
      <c r="O149" s="396"/>
      <c r="P149" s="396"/>
      <c r="Q149" s="396"/>
      <c r="R149" s="396"/>
      <c r="S149" s="396"/>
      <c r="T149" s="396"/>
      <c r="U149" s="396"/>
      <c r="V149" s="396"/>
      <c r="W149" s="396"/>
      <c r="X149" s="396"/>
      <c r="Y149" s="396"/>
      <c r="Z149" s="396"/>
      <c r="AA149" s="396"/>
      <c r="AB149" s="378"/>
      <c r="AC149" s="378"/>
      <c r="AD149" s="378"/>
      <c r="AE149" s="378"/>
      <c r="AF149" s="378"/>
      <c r="AG149" s="378"/>
      <c r="AH149" s="376"/>
      <c r="AI149" s="376"/>
      <c r="AJ149" s="376"/>
      <c r="AK149" s="376"/>
      <c r="AL149" s="376"/>
    </row>
    <row r="150" spans="1:38" x14ac:dyDescent="0.25">
      <c r="A150" s="1284"/>
      <c r="B150" s="396"/>
      <c r="C150" s="396"/>
      <c r="D150" s="396"/>
      <c r="E150" s="396"/>
      <c r="F150" s="396"/>
      <c r="G150" s="396"/>
      <c r="H150" s="396"/>
      <c r="I150" s="396"/>
      <c r="J150" s="396"/>
      <c r="K150" s="396"/>
      <c r="L150" s="396"/>
      <c r="M150" s="396"/>
      <c r="N150" s="396"/>
      <c r="O150" s="396"/>
      <c r="P150" s="396"/>
      <c r="Q150" s="396"/>
      <c r="R150" s="396"/>
      <c r="S150" s="396"/>
      <c r="T150" s="396"/>
      <c r="U150" s="396"/>
      <c r="V150" s="396"/>
      <c r="W150" s="396"/>
      <c r="X150" s="396"/>
      <c r="Y150" s="396"/>
      <c r="Z150" s="396"/>
      <c r="AA150" s="396"/>
      <c r="AB150" s="378"/>
      <c r="AC150" s="378"/>
      <c r="AD150" s="378"/>
      <c r="AE150" s="378"/>
      <c r="AF150" s="378"/>
      <c r="AG150" s="378"/>
      <c r="AH150" s="376"/>
      <c r="AI150" s="376"/>
      <c r="AJ150" s="376"/>
      <c r="AK150" s="376"/>
      <c r="AL150" s="376"/>
    </row>
    <row r="151" spans="1:38" x14ac:dyDescent="0.25">
      <c r="A151" s="1284"/>
      <c r="B151" s="396"/>
      <c r="C151" s="396"/>
      <c r="D151" s="396"/>
      <c r="E151" s="396"/>
      <c r="F151" s="396"/>
      <c r="G151" s="396"/>
      <c r="H151" s="396"/>
      <c r="I151" s="396"/>
      <c r="J151" s="396"/>
      <c r="K151" s="396"/>
      <c r="L151" s="396"/>
      <c r="M151" s="396"/>
      <c r="N151" s="396"/>
      <c r="O151" s="396"/>
      <c r="P151" s="396"/>
      <c r="Q151" s="396"/>
      <c r="R151" s="396"/>
      <c r="S151" s="396"/>
      <c r="T151" s="396"/>
      <c r="U151" s="396"/>
      <c r="V151" s="396"/>
      <c r="W151" s="396"/>
      <c r="X151" s="396"/>
      <c r="Y151" s="396"/>
      <c r="Z151" s="396"/>
      <c r="AA151" s="396"/>
      <c r="AB151" s="378"/>
      <c r="AC151" s="378"/>
      <c r="AD151" s="378"/>
      <c r="AE151" s="378"/>
      <c r="AF151" s="378"/>
      <c r="AG151" s="378"/>
      <c r="AH151" s="376"/>
      <c r="AI151" s="376"/>
      <c r="AJ151" s="376"/>
      <c r="AK151" s="376"/>
      <c r="AL151" s="376"/>
    </row>
    <row r="152" spans="1:38" x14ac:dyDescent="0.25">
      <c r="A152" s="396"/>
      <c r="B152" s="396"/>
      <c r="C152" s="396"/>
      <c r="D152" s="396"/>
      <c r="E152" s="396"/>
      <c r="F152" s="396"/>
      <c r="G152" s="396"/>
      <c r="H152" s="396"/>
      <c r="I152" s="396"/>
      <c r="J152" s="396"/>
      <c r="K152" s="396"/>
      <c r="L152" s="396"/>
      <c r="M152" s="396"/>
      <c r="N152" s="396"/>
      <c r="O152" s="396"/>
      <c r="P152" s="396"/>
      <c r="Q152" s="396"/>
      <c r="R152" s="396"/>
      <c r="S152" s="396"/>
      <c r="T152" s="396"/>
      <c r="U152" s="396"/>
      <c r="V152" s="396"/>
      <c r="W152" s="396"/>
      <c r="X152" s="396"/>
      <c r="Y152" s="396"/>
      <c r="Z152" s="396"/>
      <c r="AA152" s="396"/>
      <c r="AB152" s="378"/>
      <c r="AC152" s="378"/>
      <c r="AD152" s="378"/>
      <c r="AE152" s="378"/>
      <c r="AF152" s="378"/>
      <c r="AG152" s="378"/>
      <c r="AH152" s="376"/>
      <c r="AI152" s="376"/>
      <c r="AJ152" s="376"/>
      <c r="AK152" s="376"/>
      <c r="AL152" s="376"/>
    </row>
    <row r="153" spans="1:38" x14ac:dyDescent="0.25">
      <c r="A153" s="396"/>
      <c r="B153" s="396"/>
      <c r="C153" s="396"/>
      <c r="D153" s="396"/>
      <c r="E153" s="396"/>
      <c r="F153" s="396"/>
      <c r="G153" s="396"/>
      <c r="H153" s="396"/>
      <c r="I153" s="396"/>
      <c r="J153" s="396"/>
      <c r="K153" s="396"/>
      <c r="L153" s="396"/>
      <c r="M153" s="396"/>
      <c r="N153" s="396"/>
      <c r="O153" s="396"/>
      <c r="P153" s="396"/>
      <c r="Q153" s="396"/>
      <c r="R153" s="396"/>
      <c r="S153" s="396"/>
      <c r="T153" s="396"/>
      <c r="U153" s="396"/>
      <c r="V153" s="396"/>
      <c r="W153" s="396"/>
      <c r="X153" s="396"/>
      <c r="Y153" s="396"/>
      <c r="Z153" s="396"/>
      <c r="AA153" s="396"/>
      <c r="AB153" s="378"/>
      <c r="AC153" s="378"/>
      <c r="AD153" s="378"/>
      <c r="AE153" s="378"/>
      <c r="AF153" s="378"/>
      <c r="AG153" s="378"/>
      <c r="AH153" s="376"/>
      <c r="AI153" s="376"/>
      <c r="AJ153" s="376"/>
      <c r="AK153" s="376"/>
      <c r="AL153" s="376"/>
    </row>
    <row r="154" spans="1:38" x14ac:dyDescent="0.25">
      <c r="A154" s="396"/>
      <c r="B154" s="396"/>
      <c r="C154" s="396"/>
      <c r="D154" s="396"/>
      <c r="E154" s="396"/>
      <c r="F154" s="396"/>
      <c r="G154" s="396"/>
      <c r="H154" s="396"/>
      <c r="I154" s="396"/>
      <c r="J154" s="396"/>
      <c r="K154" s="396"/>
      <c r="L154" s="396"/>
      <c r="M154" s="396"/>
      <c r="N154" s="396"/>
      <c r="O154" s="396"/>
      <c r="P154" s="396"/>
      <c r="Q154" s="396"/>
      <c r="R154" s="396"/>
      <c r="S154" s="396"/>
      <c r="T154" s="396"/>
      <c r="U154" s="396"/>
      <c r="V154" s="396"/>
      <c r="W154" s="396"/>
      <c r="X154" s="396"/>
      <c r="Y154" s="396"/>
      <c r="Z154" s="396"/>
      <c r="AA154" s="396"/>
      <c r="AB154" s="378"/>
      <c r="AC154" s="378"/>
      <c r="AD154" s="378"/>
      <c r="AE154" s="378"/>
      <c r="AF154" s="378"/>
      <c r="AG154" s="378"/>
      <c r="AH154" s="376"/>
      <c r="AI154" s="376"/>
      <c r="AJ154" s="376"/>
      <c r="AK154" s="376"/>
      <c r="AL154" s="376"/>
    </row>
    <row r="155" spans="1:38" x14ac:dyDescent="0.25">
      <c r="A155" s="396"/>
      <c r="B155" s="396"/>
      <c r="C155" s="396"/>
      <c r="D155" s="396"/>
      <c r="E155" s="396"/>
      <c r="F155" s="396"/>
      <c r="G155" s="396"/>
      <c r="H155" s="396"/>
      <c r="I155" s="396"/>
      <c r="J155" s="396"/>
      <c r="K155" s="396"/>
      <c r="L155" s="396"/>
      <c r="M155" s="396"/>
      <c r="N155" s="396"/>
      <c r="O155" s="396"/>
      <c r="P155" s="396"/>
      <c r="Q155" s="396"/>
      <c r="R155" s="396"/>
      <c r="S155" s="396"/>
      <c r="T155" s="396"/>
      <c r="U155" s="396"/>
      <c r="V155" s="396"/>
      <c r="W155" s="396"/>
      <c r="X155" s="396"/>
      <c r="Y155" s="396"/>
      <c r="Z155" s="396"/>
      <c r="AA155" s="396"/>
      <c r="AB155" s="378"/>
      <c r="AC155" s="378"/>
      <c r="AD155" s="378"/>
      <c r="AE155" s="378"/>
      <c r="AF155" s="378"/>
      <c r="AG155" s="378"/>
      <c r="AH155" s="376"/>
      <c r="AI155" s="376"/>
      <c r="AJ155" s="376"/>
      <c r="AK155" s="376"/>
      <c r="AL155" s="376"/>
    </row>
    <row r="156" spans="1:38" x14ac:dyDescent="0.25">
      <c r="A156" s="396"/>
      <c r="B156" s="396"/>
      <c r="C156" s="396"/>
      <c r="D156" s="396"/>
      <c r="E156" s="396"/>
      <c r="F156" s="396"/>
      <c r="G156" s="396"/>
      <c r="H156" s="396"/>
      <c r="I156" s="396"/>
      <c r="J156" s="396"/>
      <c r="K156" s="396"/>
      <c r="L156" s="396"/>
      <c r="M156" s="396"/>
      <c r="N156" s="396"/>
      <c r="O156" s="396"/>
      <c r="P156" s="396"/>
      <c r="Q156" s="396"/>
      <c r="R156" s="396"/>
      <c r="S156" s="396"/>
      <c r="T156" s="396"/>
      <c r="U156" s="396"/>
      <c r="V156" s="396"/>
      <c r="W156" s="396"/>
      <c r="X156" s="396"/>
      <c r="Y156" s="396"/>
      <c r="Z156" s="396"/>
      <c r="AA156" s="396"/>
      <c r="AB156" s="378"/>
      <c r="AC156" s="378"/>
      <c r="AD156" s="378"/>
      <c r="AE156" s="378"/>
      <c r="AF156" s="378"/>
      <c r="AG156" s="378"/>
      <c r="AH156" s="376"/>
      <c r="AI156" s="376"/>
      <c r="AJ156" s="376"/>
      <c r="AK156" s="376"/>
      <c r="AL156" s="376"/>
    </row>
    <row r="157" spans="1:38" x14ac:dyDescent="0.25">
      <c r="A157" s="396"/>
      <c r="B157" s="396"/>
      <c r="C157" s="396"/>
      <c r="D157" s="396"/>
      <c r="E157" s="396"/>
      <c r="F157" s="396"/>
      <c r="G157" s="396"/>
      <c r="H157" s="396"/>
      <c r="I157" s="396"/>
      <c r="J157" s="396"/>
      <c r="K157" s="396"/>
      <c r="L157" s="396"/>
      <c r="M157" s="396"/>
      <c r="N157" s="396"/>
      <c r="O157" s="396"/>
      <c r="P157" s="396"/>
      <c r="Q157" s="396"/>
      <c r="R157" s="396"/>
      <c r="S157" s="396"/>
      <c r="T157" s="396"/>
      <c r="U157" s="396"/>
      <c r="V157" s="396"/>
      <c r="W157" s="396"/>
      <c r="X157" s="396"/>
      <c r="Y157" s="396"/>
      <c r="Z157" s="396"/>
      <c r="AA157" s="396"/>
      <c r="AB157" s="658"/>
      <c r="AC157" s="658"/>
      <c r="AD157" s="658"/>
      <c r="AE157" s="658"/>
      <c r="AF157" s="658"/>
      <c r="AG157" s="658"/>
    </row>
    <row r="158" spans="1:38" x14ac:dyDescent="0.25">
      <c r="A158" s="396"/>
      <c r="B158" s="396"/>
      <c r="C158" s="396"/>
      <c r="D158" s="396"/>
      <c r="E158" s="396"/>
      <c r="F158" s="396"/>
      <c r="G158" s="396"/>
      <c r="H158" s="396"/>
      <c r="I158" s="396"/>
      <c r="J158" s="396"/>
      <c r="K158" s="396"/>
      <c r="L158" s="396"/>
      <c r="M158" s="396"/>
      <c r="N158" s="396"/>
      <c r="O158" s="396"/>
      <c r="P158" s="396"/>
      <c r="Q158" s="396"/>
      <c r="R158" s="396"/>
      <c r="S158" s="396"/>
      <c r="T158" s="396"/>
      <c r="U158" s="396"/>
      <c r="V158" s="396"/>
      <c r="W158" s="396"/>
      <c r="X158" s="396"/>
      <c r="Y158" s="396"/>
      <c r="Z158" s="396"/>
      <c r="AA158" s="396"/>
      <c r="AB158" s="658"/>
      <c r="AC158" s="658"/>
      <c r="AD158" s="658"/>
      <c r="AE158" s="658"/>
      <c r="AF158" s="658"/>
      <c r="AG158" s="658"/>
    </row>
    <row r="159" spans="1:38" x14ac:dyDescent="0.25">
      <c r="A159" s="396"/>
      <c r="B159" s="396"/>
      <c r="C159" s="396"/>
      <c r="D159" s="396"/>
      <c r="E159" s="396"/>
      <c r="F159" s="396"/>
      <c r="G159" s="396"/>
      <c r="H159" s="396"/>
      <c r="I159" s="396"/>
      <c r="J159" s="396"/>
      <c r="K159" s="396"/>
      <c r="L159" s="396"/>
      <c r="M159" s="396"/>
      <c r="N159" s="396"/>
      <c r="O159" s="396"/>
      <c r="P159" s="396"/>
      <c r="Q159" s="396"/>
      <c r="R159" s="396"/>
      <c r="S159" s="396"/>
      <c r="T159" s="396"/>
      <c r="U159" s="396"/>
      <c r="V159" s="396"/>
      <c r="W159" s="396"/>
      <c r="X159" s="396"/>
      <c r="Y159" s="396"/>
      <c r="Z159" s="396"/>
      <c r="AA159" s="396"/>
      <c r="AB159" s="658"/>
      <c r="AC159" s="658"/>
      <c r="AD159" s="658"/>
      <c r="AE159" s="658"/>
      <c r="AF159" s="658"/>
      <c r="AG159" s="658"/>
    </row>
    <row r="160" spans="1:38" x14ac:dyDescent="0.25">
      <c r="A160" s="396"/>
      <c r="B160" s="396"/>
      <c r="C160" s="396"/>
      <c r="D160" s="396"/>
      <c r="E160" s="396"/>
      <c r="F160" s="396"/>
      <c r="G160" s="396"/>
      <c r="H160" s="396"/>
      <c r="I160" s="396"/>
      <c r="J160" s="396"/>
      <c r="K160" s="396"/>
      <c r="L160" s="396"/>
      <c r="M160" s="396"/>
      <c r="N160" s="396"/>
      <c r="O160" s="396"/>
      <c r="P160" s="396"/>
      <c r="Q160" s="396"/>
      <c r="R160" s="396"/>
      <c r="S160" s="396"/>
      <c r="T160" s="396"/>
      <c r="U160" s="396"/>
      <c r="V160" s="396"/>
      <c r="W160" s="396"/>
      <c r="X160" s="396"/>
      <c r="Y160" s="396"/>
      <c r="Z160" s="396"/>
      <c r="AA160" s="396"/>
      <c r="AB160" s="658"/>
      <c r="AC160" s="658"/>
      <c r="AD160" s="658"/>
      <c r="AE160" s="658"/>
      <c r="AF160" s="658"/>
      <c r="AG160" s="658"/>
    </row>
    <row r="161" spans="1:33" x14ac:dyDescent="0.25">
      <c r="A161" s="396"/>
      <c r="B161" s="396"/>
      <c r="C161" s="396"/>
      <c r="D161" s="396"/>
      <c r="E161" s="396"/>
      <c r="F161" s="396"/>
      <c r="G161" s="396"/>
      <c r="H161" s="396"/>
      <c r="I161" s="396"/>
      <c r="J161" s="396"/>
      <c r="K161" s="396"/>
      <c r="L161" s="396"/>
      <c r="M161" s="396"/>
      <c r="N161" s="396"/>
      <c r="O161" s="396"/>
      <c r="P161" s="396"/>
      <c r="Q161" s="396"/>
      <c r="R161" s="396"/>
      <c r="S161" s="396"/>
      <c r="T161" s="396"/>
      <c r="U161" s="396"/>
      <c r="V161" s="396"/>
      <c r="W161" s="396"/>
      <c r="X161" s="396"/>
      <c r="Y161" s="396"/>
      <c r="Z161" s="396"/>
      <c r="AA161" s="396"/>
      <c r="AB161" s="658"/>
      <c r="AC161" s="658"/>
      <c r="AD161" s="658"/>
      <c r="AE161" s="658"/>
      <c r="AF161" s="658"/>
      <c r="AG161" s="658"/>
    </row>
    <row r="162" spans="1:33" x14ac:dyDescent="0.25">
      <c r="A162" s="396"/>
      <c r="B162" s="396"/>
      <c r="C162" s="396"/>
      <c r="D162" s="396"/>
      <c r="E162" s="396"/>
      <c r="F162" s="396"/>
      <c r="G162" s="396"/>
      <c r="H162" s="396"/>
      <c r="I162" s="396"/>
      <c r="J162" s="396"/>
      <c r="K162" s="396"/>
      <c r="L162" s="396"/>
      <c r="M162" s="396"/>
      <c r="N162" s="396"/>
      <c r="O162" s="396"/>
      <c r="P162" s="396"/>
      <c r="Q162" s="396"/>
      <c r="R162" s="396"/>
      <c r="S162" s="396"/>
      <c r="T162" s="396"/>
      <c r="U162" s="396"/>
      <c r="V162" s="396"/>
      <c r="W162" s="396"/>
      <c r="X162" s="396"/>
      <c r="Y162" s="396"/>
      <c r="Z162" s="396"/>
      <c r="AA162" s="396"/>
      <c r="AB162" s="658"/>
      <c r="AC162" s="658"/>
      <c r="AD162" s="658"/>
      <c r="AE162" s="658"/>
      <c r="AF162" s="658"/>
      <c r="AG162" s="658"/>
    </row>
    <row r="163" spans="1:33" x14ac:dyDescent="0.25">
      <c r="A163" s="396"/>
      <c r="B163" s="396"/>
      <c r="C163" s="396"/>
      <c r="D163" s="396"/>
      <c r="E163" s="396"/>
      <c r="F163" s="396"/>
      <c r="G163" s="396"/>
      <c r="H163" s="396"/>
      <c r="I163" s="396"/>
      <c r="J163" s="396"/>
      <c r="K163" s="396"/>
      <c r="L163" s="396"/>
      <c r="M163" s="396"/>
      <c r="N163" s="396"/>
      <c r="O163" s="396"/>
      <c r="P163" s="396"/>
      <c r="Q163" s="396"/>
      <c r="R163" s="396"/>
      <c r="S163" s="396"/>
      <c r="T163" s="396"/>
      <c r="U163" s="396"/>
      <c r="V163" s="396"/>
      <c r="W163" s="396"/>
      <c r="X163" s="396"/>
      <c r="Y163" s="396"/>
      <c r="Z163" s="396"/>
      <c r="AA163" s="396"/>
      <c r="AB163" s="658"/>
      <c r="AC163" s="658"/>
      <c r="AD163" s="658"/>
      <c r="AE163" s="658"/>
      <c r="AF163" s="658"/>
      <c r="AG163" s="658"/>
    </row>
    <row r="164" spans="1:33" x14ac:dyDescent="0.25">
      <c r="A164" s="396"/>
      <c r="B164" s="396"/>
      <c r="C164" s="396"/>
      <c r="D164" s="396"/>
      <c r="E164" s="396"/>
      <c r="F164" s="396"/>
      <c r="G164" s="396"/>
      <c r="H164" s="396"/>
      <c r="I164" s="396"/>
      <c r="J164" s="396"/>
      <c r="K164" s="396"/>
      <c r="L164" s="396"/>
      <c r="M164" s="396"/>
      <c r="N164" s="396"/>
      <c r="O164" s="396"/>
      <c r="P164" s="396"/>
      <c r="Q164" s="396"/>
      <c r="R164" s="396"/>
      <c r="S164" s="396"/>
      <c r="T164" s="396"/>
      <c r="U164" s="396"/>
      <c r="V164" s="396"/>
      <c r="W164" s="396"/>
      <c r="X164" s="396"/>
      <c r="Y164" s="396"/>
      <c r="Z164" s="396"/>
      <c r="AA164" s="396"/>
      <c r="AB164" s="658"/>
      <c r="AC164" s="658"/>
      <c r="AD164" s="658"/>
      <c r="AE164" s="658"/>
      <c r="AF164" s="658"/>
      <c r="AG164" s="658"/>
    </row>
    <row r="165" spans="1:33" x14ac:dyDescent="0.25">
      <c r="A165" s="396"/>
      <c r="B165" s="396"/>
      <c r="C165" s="396"/>
      <c r="D165" s="396"/>
      <c r="E165" s="396"/>
      <c r="F165" s="396"/>
      <c r="G165" s="396"/>
      <c r="H165" s="396"/>
      <c r="I165" s="396"/>
      <c r="J165" s="396"/>
      <c r="K165" s="396"/>
      <c r="L165" s="396"/>
      <c r="M165" s="396"/>
      <c r="N165" s="396"/>
      <c r="O165" s="396"/>
      <c r="P165" s="396"/>
      <c r="Q165" s="396"/>
      <c r="R165" s="396"/>
      <c r="S165" s="396"/>
      <c r="T165" s="396"/>
      <c r="U165" s="396"/>
      <c r="V165" s="396"/>
      <c r="W165" s="396"/>
      <c r="X165" s="396"/>
      <c r="Y165" s="396"/>
      <c r="Z165" s="396"/>
      <c r="AA165" s="396"/>
      <c r="AB165" s="658"/>
      <c r="AC165" s="658"/>
      <c r="AD165" s="658"/>
      <c r="AE165" s="658"/>
      <c r="AF165" s="658"/>
      <c r="AG165" s="658"/>
    </row>
    <row r="166" spans="1:33" x14ac:dyDescent="0.25">
      <c r="A166" s="396"/>
      <c r="B166" s="396"/>
      <c r="C166" s="396"/>
      <c r="D166" s="396"/>
      <c r="E166" s="396"/>
      <c r="F166" s="396"/>
      <c r="G166" s="396"/>
      <c r="H166" s="396"/>
      <c r="I166" s="396"/>
      <c r="J166" s="396"/>
      <c r="K166" s="396"/>
      <c r="L166" s="396"/>
      <c r="M166" s="396"/>
      <c r="N166" s="396"/>
      <c r="O166" s="396"/>
      <c r="P166" s="396"/>
      <c r="Q166" s="396"/>
      <c r="R166" s="396"/>
      <c r="S166" s="396"/>
      <c r="T166" s="396"/>
      <c r="U166" s="396"/>
      <c r="V166" s="396"/>
      <c r="W166" s="396"/>
      <c r="X166" s="396"/>
      <c r="Y166" s="396"/>
      <c r="Z166" s="396"/>
      <c r="AA166" s="396"/>
      <c r="AB166" s="658"/>
      <c r="AC166" s="658"/>
      <c r="AD166" s="658"/>
      <c r="AE166" s="658"/>
      <c r="AF166" s="658"/>
      <c r="AG166" s="658"/>
    </row>
    <row r="167" spans="1:33" x14ac:dyDescent="0.25">
      <c r="A167" s="396"/>
      <c r="B167" s="396"/>
      <c r="C167" s="396"/>
      <c r="D167" s="396"/>
      <c r="E167" s="396"/>
      <c r="F167" s="396"/>
      <c r="G167" s="396"/>
      <c r="H167" s="396"/>
      <c r="I167" s="396"/>
      <c r="J167" s="396"/>
      <c r="K167" s="396"/>
      <c r="L167" s="396"/>
      <c r="M167" s="396"/>
      <c r="N167" s="396"/>
      <c r="O167" s="396"/>
      <c r="P167" s="396"/>
      <c r="Q167" s="396"/>
      <c r="R167" s="396"/>
      <c r="S167" s="396"/>
      <c r="T167" s="396"/>
      <c r="U167" s="396"/>
      <c r="V167" s="396"/>
      <c r="W167" s="396"/>
      <c r="X167" s="396"/>
      <c r="Y167" s="396"/>
      <c r="Z167" s="396"/>
      <c r="AA167" s="396"/>
      <c r="AB167" s="658"/>
      <c r="AC167" s="658"/>
      <c r="AD167" s="658"/>
      <c r="AE167" s="658"/>
      <c r="AF167" s="658"/>
      <c r="AG167" s="658"/>
    </row>
    <row r="168" spans="1:33" x14ac:dyDescent="0.25">
      <c r="A168" s="396"/>
      <c r="B168" s="396"/>
      <c r="C168" s="396"/>
      <c r="D168" s="396"/>
      <c r="E168" s="396"/>
      <c r="F168" s="396"/>
      <c r="G168" s="396"/>
      <c r="H168" s="396"/>
      <c r="I168" s="396"/>
      <c r="J168" s="396"/>
      <c r="K168" s="396"/>
      <c r="L168" s="396"/>
      <c r="M168" s="396"/>
      <c r="N168" s="396"/>
      <c r="O168" s="396"/>
      <c r="P168" s="396"/>
      <c r="Q168" s="396"/>
      <c r="R168" s="396"/>
      <c r="S168" s="396"/>
      <c r="T168" s="396"/>
      <c r="U168" s="396"/>
      <c r="V168" s="396"/>
      <c r="W168" s="396"/>
      <c r="X168" s="396"/>
      <c r="Y168" s="396"/>
      <c r="Z168" s="396"/>
      <c r="AA168" s="396"/>
      <c r="AB168" s="658"/>
      <c r="AC168" s="658"/>
      <c r="AD168" s="658"/>
      <c r="AE168" s="658"/>
      <c r="AF168" s="658"/>
      <c r="AG168" s="658"/>
    </row>
    <row r="169" spans="1:33" x14ac:dyDescent="0.25">
      <c r="A169" s="396"/>
      <c r="B169" s="396"/>
      <c r="C169" s="396"/>
      <c r="D169" s="396"/>
      <c r="E169" s="396"/>
      <c r="F169" s="396"/>
      <c r="G169" s="396"/>
      <c r="H169" s="396"/>
      <c r="I169" s="396"/>
      <c r="J169" s="396"/>
      <c r="K169" s="396"/>
      <c r="L169" s="396"/>
      <c r="M169" s="396"/>
      <c r="N169" s="396"/>
      <c r="O169" s="396"/>
      <c r="P169" s="396"/>
      <c r="Q169" s="396"/>
      <c r="R169" s="396"/>
      <c r="S169" s="396"/>
      <c r="T169" s="396"/>
      <c r="U169" s="396"/>
      <c r="V169" s="396"/>
      <c r="W169" s="396"/>
      <c r="X169" s="396"/>
      <c r="Y169" s="396"/>
      <c r="Z169" s="396"/>
      <c r="AA169" s="396"/>
      <c r="AB169" s="658"/>
      <c r="AC169" s="658"/>
      <c r="AD169" s="658"/>
      <c r="AE169" s="658"/>
      <c r="AF169" s="658"/>
      <c r="AG169" s="658"/>
    </row>
    <row r="170" spans="1:33" x14ac:dyDescent="0.25">
      <c r="A170" s="396"/>
      <c r="B170" s="396"/>
      <c r="C170" s="396"/>
      <c r="D170" s="396"/>
      <c r="E170" s="396"/>
      <c r="F170" s="396"/>
      <c r="G170" s="396"/>
      <c r="H170" s="396"/>
      <c r="I170" s="396"/>
      <c r="J170" s="396"/>
      <c r="K170" s="396"/>
      <c r="L170" s="396"/>
      <c r="M170" s="396"/>
      <c r="N170" s="396"/>
      <c r="O170" s="396"/>
      <c r="P170" s="396"/>
      <c r="Q170" s="396"/>
      <c r="R170" s="396"/>
      <c r="S170" s="396"/>
      <c r="T170" s="396"/>
      <c r="U170" s="396"/>
      <c r="V170" s="396"/>
      <c r="W170" s="396"/>
      <c r="X170" s="396"/>
      <c r="Y170" s="396"/>
      <c r="Z170" s="396"/>
      <c r="AA170" s="396"/>
      <c r="AB170" s="658"/>
      <c r="AC170" s="658"/>
      <c r="AD170" s="658"/>
      <c r="AE170" s="658"/>
      <c r="AF170" s="658"/>
      <c r="AG170" s="658"/>
    </row>
    <row r="171" spans="1:33" x14ac:dyDescent="0.25">
      <c r="A171" s="396"/>
      <c r="B171" s="396"/>
      <c r="C171" s="396"/>
      <c r="D171" s="396"/>
      <c r="E171" s="396"/>
      <c r="F171" s="396"/>
      <c r="G171" s="396"/>
      <c r="H171" s="396"/>
      <c r="I171" s="396"/>
      <c r="J171" s="396"/>
      <c r="K171" s="396"/>
      <c r="L171" s="396"/>
      <c r="M171" s="396"/>
      <c r="N171" s="396"/>
      <c r="O171" s="396"/>
      <c r="P171" s="396"/>
      <c r="Q171" s="396"/>
      <c r="R171" s="396"/>
      <c r="S171" s="396"/>
      <c r="T171" s="396"/>
      <c r="U171" s="396"/>
      <c r="V171" s="396"/>
      <c r="W171" s="396"/>
      <c r="X171" s="396"/>
      <c r="Y171" s="396"/>
      <c r="Z171" s="396"/>
      <c r="AA171" s="396"/>
      <c r="AB171" s="658"/>
      <c r="AC171" s="658"/>
      <c r="AD171" s="658"/>
      <c r="AE171" s="658"/>
      <c r="AF171" s="658"/>
      <c r="AG171" s="658"/>
    </row>
    <row r="172" spans="1:33" x14ac:dyDescent="0.25">
      <c r="A172" s="396"/>
      <c r="B172" s="396"/>
      <c r="C172" s="396"/>
      <c r="D172" s="396"/>
      <c r="E172" s="396"/>
      <c r="F172" s="396"/>
      <c r="G172" s="396"/>
      <c r="H172" s="396"/>
      <c r="I172" s="396"/>
      <c r="J172" s="396"/>
      <c r="K172" s="396"/>
      <c r="L172" s="396"/>
      <c r="M172" s="396"/>
      <c r="N172" s="396"/>
      <c r="O172" s="396"/>
      <c r="P172" s="396"/>
      <c r="Q172" s="396"/>
      <c r="R172" s="396"/>
      <c r="S172" s="396"/>
      <c r="T172" s="396"/>
      <c r="U172" s="396"/>
      <c r="V172" s="396"/>
      <c r="W172" s="396"/>
      <c r="X172" s="396"/>
      <c r="Y172" s="396"/>
      <c r="Z172" s="396"/>
      <c r="AA172" s="396"/>
      <c r="AB172" s="658"/>
      <c r="AC172" s="658"/>
      <c r="AD172" s="658"/>
      <c r="AE172" s="658"/>
      <c r="AF172" s="658"/>
      <c r="AG172" s="658"/>
    </row>
    <row r="173" spans="1:33" x14ac:dyDescent="0.25">
      <c r="A173" s="396"/>
      <c r="B173" s="396"/>
      <c r="C173" s="396"/>
      <c r="D173" s="396"/>
      <c r="E173" s="396"/>
      <c r="F173" s="396"/>
      <c r="G173" s="396"/>
      <c r="H173" s="396"/>
      <c r="I173" s="396"/>
      <c r="J173" s="396"/>
      <c r="K173" s="396"/>
      <c r="L173" s="396"/>
      <c r="M173" s="396"/>
      <c r="N173" s="396"/>
      <c r="O173" s="396"/>
      <c r="P173" s="396"/>
      <c r="Q173" s="396"/>
      <c r="R173" s="396"/>
      <c r="S173" s="396"/>
      <c r="T173" s="396"/>
      <c r="U173" s="396"/>
      <c r="V173" s="396"/>
      <c r="W173" s="396"/>
      <c r="X173" s="396"/>
      <c r="Y173" s="396"/>
      <c r="Z173" s="396"/>
      <c r="AA173" s="396"/>
      <c r="AB173" s="658"/>
      <c r="AC173" s="658"/>
      <c r="AD173" s="658"/>
      <c r="AE173" s="658"/>
      <c r="AF173" s="658"/>
      <c r="AG173" s="658"/>
    </row>
    <row r="174" spans="1:33" x14ac:dyDescent="0.25">
      <c r="A174" s="396"/>
      <c r="B174" s="396"/>
      <c r="C174" s="396"/>
      <c r="D174" s="396"/>
      <c r="E174" s="396"/>
      <c r="F174" s="396"/>
      <c r="G174" s="396"/>
      <c r="H174" s="396"/>
      <c r="I174" s="396"/>
      <c r="J174" s="396"/>
      <c r="K174" s="396"/>
      <c r="L174" s="396"/>
      <c r="M174" s="396"/>
      <c r="N174" s="396"/>
      <c r="O174" s="396"/>
      <c r="P174" s="396"/>
      <c r="Q174" s="396"/>
      <c r="R174" s="396"/>
      <c r="S174" s="396"/>
      <c r="T174" s="396"/>
      <c r="U174" s="396"/>
      <c r="V174" s="396"/>
      <c r="W174" s="396"/>
      <c r="X174" s="396"/>
      <c r="Y174" s="396"/>
      <c r="Z174" s="396"/>
      <c r="AA174" s="396"/>
      <c r="AB174" s="658"/>
      <c r="AC174" s="658"/>
      <c r="AD174" s="658"/>
      <c r="AE174" s="658"/>
      <c r="AF174" s="658"/>
      <c r="AG174" s="658"/>
    </row>
    <row r="175" spans="1:33" x14ac:dyDescent="0.25">
      <c r="A175" s="396"/>
      <c r="B175" s="396"/>
      <c r="C175" s="396"/>
      <c r="D175" s="396"/>
      <c r="E175" s="396"/>
      <c r="F175" s="396"/>
      <c r="G175" s="396"/>
      <c r="H175" s="396"/>
      <c r="I175" s="396"/>
      <c r="J175" s="396"/>
      <c r="K175" s="396"/>
      <c r="L175" s="396"/>
      <c r="M175" s="396"/>
      <c r="N175" s="396"/>
      <c r="O175" s="396"/>
      <c r="P175" s="396"/>
      <c r="Q175" s="396"/>
      <c r="R175" s="396"/>
      <c r="S175" s="396"/>
      <c r="T175" s="396"/>
      <c r="U175" s="396"/>
      <c r="V175" s="396"/>
      <c r="W175" s="396"/>
      <c r="X175" s="396"/>
      <c r="Y175" s="396"/>
      <c r="Z175" s="396"/>
      <c r="AA175" s="396"/>
      <c r="AB175" s="658"/>
      <c r="AC175" s="658"/>
      <c r="AD175" s="658"/>
      <c r="AE175" s="658"/>
      <c r="AF175" s="658"/>
      <c r="AG175" s="658"/>
    </row>
    <row r="176" spans="1:33" x14ac:dyDescent="0.25">
      <c r="A176" s="396"/>
      <c r="B176" s="396"/>
      <c r="C176" s="396"/>
      <c r="D176" s="396"/>
      <c r="E176" s="396"/>
      <c r="F176" s="396"/>
      <c r="G176" s="396"/>
      <c r="H176" s="396"/>
      <c r="I176" s="396"/>
      <c r="J176" s="396"/>
      <c r="K176" s="396"/>
      <c r="L176" s="396"/>
      <c r="M176" s="396"/>
      <c r="N176" s="396"/>
      <c r="O176" s="396"/>
      <c r="P176" s="396"/>
      <c r="Q176" s="396"/>
      <c r="R176" s="396"/>
      <c r="S176" s="396"/>
      <c r="T176" s="396"/>
      <c r="U176" s="396"/>
      <c r="V176" s="396"/>
      <c r="W176" s="396"/>
      <c r="X176" s="396"/>
      <c r="Y176" s="396"/>
      <c r="Z176" s="396"/>
      <c r="AA176" s="396"/>
      <c r="AB176" s="658"/>
      <c r="AC176" s="658"/>
      <c r="AD176" s="658"/>
      <c r="AE176" s="658"/>
      <c r="AF176" s="658"/>
      <c r="AG176" s="658"/>
    </row>
    <row r="177" spans="1:33" x14ac:dyDescent="0.25">
      <c r="A177" s="396"/>
      <c r="B177" s="396"/>
      <c r="C177" s="396"/>
      <c r="D177" s="396"/>
      <c r="E177" s="396"/>
      <c r="F177" s="396"/>
      <c r="G177" s="396"/>
      <c r="H177" s="396"/>
      <c r="I177" s="396"/>
      <c r="J177" s="396"/>
      <c r="K177" s="396"/>
      <c r="L177" s="396"/>
      <c r="M177" s="396"/>
      <c r="N177" s="396"/>
      <c r="O177" s="396"/>
      <c r="P177" s="396"/>
      <c r="Q177" s="396"/>
      <c r="R177" s="396"/>
      <c r="S177" s="396"/>
      <c r="T177" s="396"/>
      <c r="U177" s="396"/>
      <c r="V177" s="396"/>
      <c r="W177" s="396"/>
      <c r="X177" s="396"/>
      <c r="Y177" s="396"/>
      <c r="Z177" s="396"/>
      <c r="AA177" s="396"/>
      <c r="AB177" s="658"/>
      <c r="AC177" s="658"/>
      <c r="AD177" s="658"/>
      <c r="AE177" s="658"/>
      <c r="AF177" s="658"/>
      <c r="AG177" s="658"/>
    </row>
    <row r="178" spans="1:33" x14ac:dyDescent="0.25">
      <c r="A178" s="396"/>
      <c r="B178" s="396"/>
      <c r="C178" s="396"/>
      <c r="D178" s="396"/>
      <c r="E178" s="396"/>
      <c r="F178" s="396"/>
      <c r="G178" s="396"/>
      <c r="H178" s="396"/>
      <c r="I178" s="396"/>
      <c r="J178" s="396"/>
      <c r="K178" s="396"/>
      <c r="L178" s="396"/>
      <c r="M178" s="396"/>
      <c r="N178" s="396"/>
      <c r="O178" s="396"/>
      <c r="P178" s="396"/>
      <c r="Q178" s="396"/>
      <c r="R178" s="396"/>
      <c r="S178" s="396"/>
      <c r="T178" s="396"/>
      <c r="U178" s="396"/>
      <c r="V178" s="396"/>
      <c r="W178" s="396"/>
      <c r="X178" s="396"/>
      <c r="Y178" s="396"/>
      <c r="Z178" s="396"/>
      <c r="AA178" s="396"/>
      <c r="AB178" s="658"/>
      <c r="AC178" s="658"/>
      <c r="AD178" s="658"/>
      <c r="AE178" s="658"/>
      <c r="AF178" s="658"/>
      <c r="AG178" s="658"/>
    </row>
    <row r="179" spans="1:33" x14ac:dyDescent="0.25">
      <c r="A179" s="396"/>
      <c r="B179" s="396"/>
      <c r="C179" s="396"/>
      <c r="D179" s="396"/>
      <c r="E179" s="396"/>
      <c r="F179" s="396"/>
      <c r="G179" s="396"/>
      <c r="H179" s="396"/>
      <c r="I179" s="396"/>
      <c r="J179" s="396"/>
      <c r="K179" s="396"/>
      <c r="L179" s="396"/>
      <c r="M179" s="396"/>
      <c r="N179" s="396"/>
      <c r="O179" s="396"/>
      <c r="P179" s="396"/>
      <c r="Q179" s="396"/>
      <c r="R179" s="396"/>
      <c r="S179" s="396"/>
      <c r="T179" s="396"/>
      <c r="U179" s="396"/>
      <c r="V179" s="396"/>
      <c r="W179" s="396"/>
      <c r="X179" s="396"/>
      <c r="Y179" s="396"/>
      <c r="Z179" s="396"/>
      <c r="AA179" s="396"/>
      <c r="AB179" s="658"/>
      <c r="AC179" s="658"/>
      <c r="AD179" s="658"/>
      <c r="AE179" s="658"/>
      <c r="AF179" s="658"/>
      <c r="AG179" s="658"/>
    </row>
    <row r="180" spans="1:33" x14ac:dyDescent="0.25">
      <c r="A180" s="396"/>
      <c r="B180" s="396"/>
      <c r="C180" s="396"/>
      <c r="D180" s="396"/>
      <c r="E180" s="396"/>
      <c r="F180" s="396"/>
      <c r="G180" s="396"/>
      <c r="H180" s="396"/>
      <c r="I180" s="396"/>
      <c r="J180" s="396"/>
      <c r="K180" s="396"/>
      <c r="L180" s="396"/>
      <c r="M180" s="396"/>
      <c r="N180" s="396"/>
      <c r="O180" s="396"/>
      <c r="P180" s="396"/>
      <c r="Q180" s="396"/>
      <c r="R180" s="396"/>
      <c r="S180" s="396"/>
      <c r="T180" s="396"/>
      <c r="U180" s="396"/>
      <c r="V180" s="396"/>
      <c r="W180" s="396"/>
      <c r="X180" s="396"/>
      <c r="Y180" s="396"/>
      <c r="Z180" s="396"/>
      <c r="AA180" s="396"/>
      <c r="AB180" s="658"/>
      <c r="AC180" s="658"/>
      <c r="AD180" s="658"/>
      <c r="AE180" s="658"/>
      <c r="AF180" s="658"/>
      <c r="AG180" s="658"/>
    </row>
    <row r="181" spans="1:33" x14ac:dyDescent="0.25">
      <c r="A181" s="396"/>
      <c r="B181" s="396"/>
      <c r="C181" s="396"/>
      <c r="D181" s="396"/>
      <c r="E181" s="396"/>
      <c r="F181" s="396"/>
      <c r="G181" s="396"/>
      <c r="H181" s="396"/>
      <c r="I181" s="396"/>
      <c r="J181" s="396"/>
      <c r="K181" s="396"/>
      <c r="L181" s="396"/>
      <c r="M181" s="396"/>
      <c r="N181" s="396"/>
      <c r="O181" s="396"/>
      <c r="P181" s="396"/>
      <c r="Q181" s="396"/>
      <c r="R181" s="396"/>
      <c r="S181" s="396"/>
      <c r="T181" s="396"/>
      <c r="U181" s="396"/>
      <c r="V181" s="396"/>
      <c r="W181" s="396"/>
      <c r="X181" s="396"/>
      <c r="Y181" s="396"/>
      <c r="Z181" s="396"/>
      <c r="AA181" s="396"/>
      <c r="AB181" s="658"/>
      <c r="AC181" s="658"/>
      <c r="AD181" s="658"/>
      <c r="AE181" s="658"/>
      <c r="AF181" s="658"/>
      <c r="AG181" s="658"/>
    </row>
    <row r="182" spans="1:33" x14ac:dyDescent="0.25">
      <c r="A182" s="396"/>
      <c r="B182" s="396"/>
      <c r="C182" s="396"/>
      <c r="D182" s="396"/>
      <c r="E182" s="396"/>
      <c r="F182" s="396"/>
      <c r="G182" s="396"/>
      <c r="H182" s="396"/>
      <c r="I182" s="396"/>
      <c r="J182" s="396"/>
      <c r="K182" s="396"/>
      <c r="L182" s="396"/>
      <c r="M182" s="396"/>
      <c r="N182" s="396"/>
      <c r="O182" s="396"/>
      <c r="P182" s="396"/>
      <c r="Q182" s="396"/>
      <c r="R182" s="396"/>
      <c r="S182" s="396"/>
      <c r="T182" s="396"/>
      <c r="U182" s="396"/>
      <c r="V182" s="396"/>
      <c r="W182" s="396"/>
      <c r="X182" s="396"/>
      <c r="Y182" s="396"/>
      <c r="Z182" s="396"/>
      <c r="AA182" s="396"/>
      <c r="AB182" s="658"/>
      <c r="AC182" s="658"/>
      <c r="AD182" s="658"/>
      <c r="AE182" s="658"/>
      <c r="AF182" s="658"/>
      <c r="AG182" s="658"/>
    </row>
    <row r="183" spans="1:33" x14ac:dyDescent="0.25">
      <c r="A183" s="396"/>
      <c r="B183" s="396"/>
      <c r="C183" s="396"/>
      <c r="D183" s="396"/>
      <c r="E183" s="396"/>
      <c r="F183" s="396"/>
      <c r="G183" s="396"/>
      <c r="H183" s="396"/>
      <c r="I183" s="396"/>
      <c r="J183" s="396"/>
      <c r="K183" s="396"/>
      <c r="L183" s="396"/>
      <c r="M183" s="396"/>
      <c r="N183" s="396"/>
      <c r="O183" s="396"/>
      <c r="P183" s="396"/>
      <c r="Q183" s="396"/>
      <c r="R183" s="396"/>
      <c r="S183" s="396"/>
      <c r="T183" s="396"/>
      <c r="U183" s="396"/>
      <c r="V183" s="396"/>
      <c r="W183" s="396"/>
      <c r="X183" s="396"/>
      <c r="Y183" s="396"/>
      <c r="Z183" s="396"/>
      <c r="AA183" s="396"/>
      <c r="AB183" s="658"/>
      <c r="AC183" s="658"/>
      <c r="AD183" s="658"/>
      <c r="AE183" s="658"/>
      <c r="AF183" s="658"/>
      <c r="AG183" s="658"/>
    </row>
    <row r="184" spans="1:33" x14ac:dyDescent="0.25">
      <c r="A184" s="396"/>
      <c r="B184" s="396"/>
      <c r="C184" s="396"/>
      <c r="D184" s="396"/>
      <c r="E184" s="396"/>
      <c r="F184" s="396"/>
      <c r="G184" s="396"/>
      <c r="H184" s="396"/>
      <c r="I184" s="396"/>
      <c r="J184" s="396"/>
      <c r="K184" s="396"/>
      <c r="L184" s="396"/>
      <c r="M184" s="396"/>
      <c r="N184" s="396"/>
      <c r="O184" s="396"/>
      <c r="P184" s="396"/>
      <c r="Q184" s="396"/>
      <c r="R184" s="396"/>
      <c r="S184" s="396"/>
      <c r="T184" s="396"/>
      <c r="U184" s="396"/>
      <c r="V184" s="396"/>
      <c r="W184" s="396"/>
      <c r="X184" s="396"/>
      <c r="Y184" s="396"/>
      <c r="Z184" s="396"/>
      <c r="AA184" s="396"/>
      <c r="AB184" s="658"/>
      <c r="AC184" s="658"/>
      <c r="AD184" s="658"/>
      <c r="AE184" s="658"/>
      <c r="AF184" s="658"/>
      <c r="AG184" s="658"/>
    </row>
    <row r="185" spans="1:33" x14ac:dyDescent="0.25">
      <c r="A185" s="396"/>
      <c r="B185" s="396"/>
      <c r="C185" s="396"/>
      <c r="D185" s="396"/>
      <c r="E185" s="396"/>
      <c r="F185" s="396"/>
      <c r="G185" s="396"/>
      <c r="H185" s="396"/>
      <c r="I185" s="396"/>
      <c r="J185" s="396"/>
      <c r="K185" s="396"/>
      <c r="L185" s="396"/>
      <c r="M185" s="396"/>
      <c r="N185" s="396"/>
      <c r="O185" s="396"/>
      <c r="P185" s="396"/>
      <c r="Q185" s="396"/>
      <c r="R185" s="396"/>
      <c r="S185" s="396"/>
      <c r="T185" s="396"/>
      <c r="U185" s="396"/>
      <c r="V185" s="396"/>
      <c r="W185" s="396"/>
      <c r="X185" s="396"/>
      <c r="Y185" s="396"/>
      <c r="Z185" s="396"/>
      <c r="AA185" s="396"/>
      <c r="AB185" s="658"/>
      <c r="AC185" s="658"/>
      <c r="AD185" s="658"/>
      <c r="AE185" s="658"/>
      <c r="AF185" s="658"/>
      <c r="AG185" s="658"/>
    </row>
    <row r="186" spans="1:33" x14ac:dyDescent="0.25">
      <c r="A186" s="396"/>
      <c r="B186" s="396"/>
      <c r="C186" s="396"/>
      <c r="D186" s="396"/>
      <c r="E186" s="396"/>
      <c r="F186" s="396"/>
      <c r="G186" s="396"/>
      <c r="H186" s="396"/>
      <c r="I186" s="396"/>
      <c r="J186" s="396"/>
      <c r="K186" s="396"/>
      <c r="L186" s="396"/>
      <c r="M186" s="396"/>
      <c r="N186" s="396"/>
      <c r="O186" s="396"/>
      <c r="P186" s="396"/>
      <c r="Q186" s="396"/>
      <c r="R186" s="396"/>
      <c r="S186" s="396"/>
      <c r="T186" s="396"/>
      <c r="U186" s="396"/>
      <c r="V186" s="396"/>
      <c r="W186" s="396"/>
      <c r="X186" s="396"/>
      <c r="Y186" s="396"/>
      <c r="Z186" s="396"/>
      <c r="AA186" s="396"/>
      <c r="AB186" s="658"/>
      <c r="AC186" s="658"/>
      <c r="AD186" s="658"/>
      <c r="AE186" s="658"/>
      <c r="AF186" s="658"/>
      <c r="AG186" s="658"/>
    </row>
    <row r="187" spans="1:33" x14ac:dyDescent="0.25">
      <c r="A187" s="396"/>
      <c r="B187" s="396"/>
      <c r="C187" s="396"/>
      <c r="D187" s="396"/>
      <c r="E187" s="396"/>
      <c r="F187" s="396"/>
      <c r="G187" s="396"/>
      <c r="H187" s="396"/>
      <c r="I187" s="396"/>
      <c r="J187" s="396"/>
      <c r="K187" s="396"/>
      <c r="L187" s="396"/>
      <c r="M187" s="396"/>
      <c r="N187" s="396"/>
      <c r="O187" s="396"/>
      <c r="P187" s="396"/>
      <c r="Q187" s="396"/>
      <c r="R187" s="396"/>
      <c r="S187" s="396"/>
      <c r="T187" s="396"/>
      <c r="U187" s="396"/>
      <c r="V187" s="396"/>
      <c r="W187" s="396"/>
      <c r="X187" s="396"/>
      <c r="Y187" s="396"/>
      <c r="Z187" s="396"/>
      <c r="AA187" s="396"/>
      <c r="AB187" s="658"/>
      <c r="AC187" s="658"/>
      <c r="AD187" s="658"/>
      <c r="AE187" s="658"/>
      <c r="AF187" s="658"/>
      <c r="AG187" s="658"/>
    </row>
    <row r="188" spans="1:33" x14ac:dyDescent="0.25">
      <c r="A188" s="396"/>
      <c r="B188" s="396"/>
      <c r="C188" s="396"/>
      <c r="D188" s="396"/>
      <c r="E188" s="396"/>
      <c r="F188" s="396"/>
      <c r="G188" s="396"/>
      <c r="H188" s="396"/>
      <c r="I188" s="396"/>
      <c r="J188" s="396"/>
      <c r="K188" s="396"/>
      <c r="L188" s="396"/>
      <c r="M188" s="396"/>
      <c r="N188" s="396"/>
      <c r="O188" s="396"/>
      <c r="P188" s="396"/>
      <c r="Q188" s="396"/>
      <c r="R188" s="396"/>
      <c r="S188" s="396"/>
      <c r="T188" s="396"/>
      <c r="U188" s="396"/>
      <c r="V188" s="396"/>
      <c r="W188" s="396"/>
      <c r="X188" s="396"/>
      <c r="Y188" s="396"/>
      <c r="Z188" s="396"/>
      <c r="AA188" s="396"/>
      <c r="AB188" s="658"/>
      <c r="AC188" s="658"/>
      <c r="AD188" s="658"/>
      <c r="AE188" s="658"/>
      <c r="AF188" s="658"/>
      <c r="AG188" s="658"/>
    </row>
    <row r="189" spans="1:33" x14ac:dyDescent="0.25">
      <c r="A189" s="396"/>
      <c r="B189" s="396"/>
      <c r="C189" s="396"/>
      <c r="D189" s="396"/>
      <c r="E189" s="396"/>
      <c r="F189" s="396"/>
      <c r="G189" s="396"/>
      <c r="H189" s="396"/>
      <c r="I189" s="396"/>
      <c r="J189" s="396"/>
      <c r="K189" s="396"/>
      <c r="L189" s="396"/>
      <c r="M189" s="396"/>
      <c r="N189" s="396"/>
      <c r="O189" s="396"/>
      <c r="P189" s="396"/>
      <c r="Q189" s="396"/>
      <c r="R189" s="396"/>
      <c r="S189" s="396"/>
      <c r="T189" s="396"/>
      <c r="U189" s="396"/>
      <c r="V189" s="396"/>
      <c r="W189" s="396"/>
      <c r="X189" s="396"/>
      <c r="Y189" s="396"/>
      <c r="Z189" s="396"/>
      <c r="AA189" s="396"/>
      <c r="AB189" s="658"/>
      <c r="AC189" s="658"/>
      <c r="AD189" s="658"/>
      <c r="AE189" s="658"/>
      <c r="AF189" s="658"/>
      <c r="AG189" s="658"/>
    </row>
    <row r="190" spans="1:33" x14ac:dyDescent="0.25">
      <c r="A190" s="396"/>
      <c r="B190" s="396"/>
      <c r="C190" s="396"/>
      <c r="D190" s="396"/>
      <c r="E190" s="396"/>
      <c r="F190" s="396"/>
      <c r="G190" s="396"/>
      <c r="H190" s="396"/>
      <c r="I190" s="396"/>
      <c r="J190" s="396"/>
      <c r="K190" s="396"/>
      <c r="L190" s="396"/>
      <c r="M190" s="396"/>
      <c r="N190" s="396"/>
      <c r="O190" s="396"/>
      <c r="P190" s="396"/>
      <c r="Q190" s="396"/>
      <c r="R190" s="396"/>
      <c r="S190" s="396"/>
      <c r="T190" s="396"/>
      <c r="U190" s="396"/>
      <c r="V190" s="396"/>
      <c r="W190" s="396"/>
      <c r="X190" s="396"/>
      <c r="Y190" s="396"/>
      <c r="Z190" s="396"/>
      <c r="AA190" s="396"/>
      <c r="AB190" s="658"/>
      <c r="AC190" s="658"/>
      <c r="AD190" s="658"/>
      <c r="AE190" s="658"/>
      <c r="AF190" s="658"/>
      <c r="AG190" s="658"/>
    </row>
    <row r="191" spans="1:33" x14ac:dyDescent="0.25">
      <c r="A191" s="396"/>
      <c r="B191" s="396"/>
      <c r="C191" s="396"/>
      <c r="D191" s="396"/>
      <c r="E191" s="396"/>
      <c r="F191" s="396"/>
      <c r="G191" s="396"/>
      <c r="H191" s="396"/>
      <c r="I191" s="396"/>
      <c r="J191" s="396"/>
      <c r="K191" s="396"/>
      <c r="L191" s="396"/>
      <c r="M191" s="396"/>
      <c r="N191" s="396"/>
      <c r="O191" s="396"/>
      <c r="P191" s="396"/>
      <c r="Q191" s="396"/>
      <c r="R191" s="396"/>
      <c r="S191" s="396"/>
      <c r="T191" s="396"/>
      <c r="U191" s="396"/>
      <c r="V191" s="396"/>
      <c r="W191" s="396"/>
      <c r="X191" s="396"/>
      <c r="Y191" s="396"/>
      <c r="Z191" s="396"/>
      <c r="AA191" s="396"/>
      <c r="AB191" s="658"/>
      <c r="AC191" s="658"/>
      <c r="AD191" s="658"/>
      <c r="AE191" s="658"/>
      <c r="AF191" s="658"/>
      <c r="AG191" s="658"/>
    </row>
    <row r="192" spans="1:33" x14ac:dyDescent="0.25">
      <c r="A192" s="396"/>
      <c r="B192" s="396"/>
      <c r="C192" s="396"/>
      <c r="D192" s="396"/>
      <c r="E192" s="396"/>
      <c r="F192" s="396"/>
      <c r="G192" s="396"/>
      <c r="H192" s="396"/>
      <c r="I192" s="396"/>
      <c r="J192" s="396"/>
      <c r="K192" s="396"/>
      <c r="L192" s="396"/>
      <c r="M192" s="396"/>
      <c r="N192" s="396"/>
      <c r="O192" s="396"/>
      <c r="P192" s="396"/>
      <c r="Q192" s="396"/>
      <c r="R192" s="396"/>
      <c r="S192" s="396"/>
      <c r="T192" s="396"/>
      <c r="U192" s="396"/>
      <c r="V192" s="396"/>
      <c r="W192" s="396"/>
      <c r="X192" s="396"/>
      <c r="Y192" s="396"/>
      <c r="Z192" s="396"/>
      <c r="AA192" s="396"/>
      <c r="AB192" s="658"/>
      <c r="AC192" s="658"/>
      <c r="AD192" s="658"/>
      <c r="AE192" s="658"/>
      <c r="AF192" s="658"/>
      <c r="AG192" s="658"/>
    </row>
    <row r="193" spans="1:33" x14ac:dyDescent="0.25">
      <c r="A193" s="396"/>
      <c r="B193" s="396"/>
      <c r="C193" s="396"/>
      <c r="D193" s="396"/>
      <c r="E193" s="396"/>
      <c r="F193" s="396"/>
      <c r="G193" s="396"/>
      <c r="H193" s="396"/>
      <c r="I193" s="396"/>
      <c r="J193" s="396"/>
      <c r="K193" s="396"/>
      <c r="L193" s="396"/>
      <c r="M193" s="396"/>
      <c r="N193" s="396"/>
      <c r="O193" s="396"/>
      <c r="P193" s="396"/>
      <c r="Q193" s="396"/>
      <c r="R193" s="396"/>
      <c r="S193" s="396"/>
      <c r="T193" s="396"/>
      <c r="U193" s="396"/>
      <c r="V193" s="396"/>
      <c r="W193" s="396"/>
      <c r="X193" s="396"/>
      <c r="Y193" s="396"/>
      <c r="Z193" s="396"/>
      <c r="AA193" s="396"/>
      <c r="AB193" s="658"/>
      <c r="AC193" s="658"/>
      <c r="AD193" s="658"/>
      <c r="AE193" s="658"/>
      <c r="AF193" s="658"/>
      <c r="AG193" s="658"/>
    </row>
    <row r="194" spans="1:33" x14ac:dyDescent="0.25">
      <c r="A194" s="396"/>
      <c r="B194" s="396"/>
      <c r="C194" s="396"/>
      <c r="D194" s="396"/>
      <c r="E194" s="396"/>
      <c r="F194" s="396"/>
      <c r="G194" s="396"/>
      <c r="H194" s="396"/>
      <c r="I194" s="396"/>
      <c r="J194" s="396"/>
      <c r="K194" s="396"/>
      <c r="L194" s="396"/>
      <c r="M194" s="396"/>
      <c r="N194" s="396"/>
      <c r="O194" s="396"/>
      <c r="P194" s="396"/>
      <c r="Q194" s="396"/>
      <c r="R194" s="396"/>
      <c r="S194" s="396"/>
      <c r="T194" s="396"/>
      <c r="U194" s="396"/>
      <c r="V194" s="396"/>
      <c r="W194" s="396"/>
      <c r="X194" s="396"/>
      <c r="Y194" s="396"/>
      <c r="Z194" s="396"/>
      <c r="AA194" s="396"/>
      <c r="AB194" s="658"/>
      <c r="AC194" s="658"/>
      <c r="AD194" s="658"/>
      <c r="AE194" s="658"/>
      <c r="AF194" s="658"/>
      <c r="AG194" s="658"/>
    </row>
    <row r="195" spans="1:33" x14ac:dyDescent="0.25">
      <c r="A195" s="396"/>
      <c r="B195" s="396"/>
      <c r="C195" s="396"/>
      <c r="D195" s="396"/>
      <c r="E195" s="396"/>
      <c r="F195" s="396"/>
      <c r="G195" s="396"/>
      <c r="H195" s="396"/>
      <c r="I195" s="396"/>
      <c r="J195" s="396"/>
      <c r="K195" s="396"/>
      <c r="L195" s="396"/>
      <c r="M195" s="396"/>
      <c r="N195" s="396"/>
      <c r="O195" s="396"/>
      <c r="P195" s="396"/>
      <c r="Q195" s="396"/>
      <c r="R195" s="396"/>
      <c r="S195" s="396"/>
      <c r="T195" s="396"/>
      <c r="U195" s="396"/>
      <c r="V195" s="396"/>
      <c r="W195" s="396"/>
      <c r="X195" s="396"/>
      <c r="Y195" s="396"/>
      <c r="Z195" s="396"/>
      <c r="AA195" s="396"/>
      <c r="AB195" s="658"/>
      <c r="AC195" s="658"/>
      <c r="AD195" s="658"/>
      <c r="AE195" s="658"/>
      <c r="AF195" s="658"/>
      <c r="AG195" s="658"/>
    </row>
    <row r="196" spans="1:33" x14ac:dyDescent="0.25">
      <c r="A196" s="396"/>
      <c r="B196" s="396"/>
      <c r="C196" s="396"/>
      <c r="D196" s="396"/>
      <c r="E196" s="396"/>
      <c r="F196" s="396"/>
      <c r="G196" s="396"/>
      <c r="H196" s="396"/>
      <c r="I196" s="396"/>
      <c r="J196" s="396"/>
      <c r="K196" s="396"/>
      <c r="L196" s="396"/>
      <c r="M196" s="396"/>
      <c r="N196" s="396"/>
      <c r="O196" s="396"/>
      <c r="P196" s="396"/>
      <c r="Q196" s="396"/>
      <c r="R196" s="396"/>
      <c r="S196" s="396"/>
      <c r="T196" s="396"/>
      <c r="U196" s="396"/>
      <c r="V196" s="396"/>
      <c r="W196" s="396"/>
      <c r="X196" s="396"/>
      <c r="Y196" s="396"/>
      <c r="Z196" s="396"/>
      <c r="AA196" s="396"/>
      <c r="AB196" s="658"/>
      <c r="AC196" s="658"/>
      <c r="AD196" s="658"/>
      <c r="AE196" s="658"/>
      <c r="AF196" s="658"/>
      <c r="AG196" s="658"/>
    </row>
    <row r="197" spans="1:33" x14ac:dyDescent="0.25">
      <c r="A197" s="396"/>
      <c r="B197" s="396"/>
      <c r="C197" s="396"/>
      <c r="D197" s="396"/>
      <c r="E197" s="396"/>
      <c r="F197" s="396"/>
      <c r="G197" s="396"/>
      <c r="H197" s="396"/>
      <c r="I197" s="396"/>
      <c r="J197" s="396"/>
      <c r="K197" s="396"/>
      <c r="L197" s="396"/>
      <c r="M197" s="396"/>
      <c r="N197" s="396"/>
      <c r="O197" s="396"/>
      <c r="P197" s="396"/>
      <c r="Q197" s="396"/>
      <c r="R197" s="396"/>
      <c r="S197" s="396"/>
      <c r="T197" s="396"/>
      <c r="U197" s="396"/>
      <c r="V197" s="396"/>
      <c r="W197" s="396"/>
      <c r="X197" s="396"/>
      <c r="Y197" s="396"/>
      <c r="Z197" s="396"/>
      <c r="AA197" s="396"/>
      <c r="AB197" s="658"/>
      <c r="AC197" s="658"/>
      <c r="AD197" s="658"/>
      <c r="AE197" s="658"/>
      <c r="AF197" s="658"/>
      <c r="AG197" s="658"/>
    </row>
    <row r="198" spans="1:33" x14ac:dyDescent="0.25">
      <c r="A198" s="396"/>
      <c r="B198" s="396"/>
      <c r="C198" s="396"/>
      <c r="D198" s="396"/>
      <c r="E198" s="396"/>
      <c r="F198" s="396"/>
      <c r="G198" s="396"/>
      <c r="H198" s="396"/>
      <c r="I198" s="396"/>
      <c r="J198" s="396"/>
      <c r="K198" s="396"/>
      <c r="L198" s="396"/>
      <c r="M198" s="396"/>
      <c r="N198" s="396"/>
      <c r="O198" s="396"/>
      <c r="P198" s="396"/>
      <c r="Q198" s="396"/>
      <c r="R198" s="396"/>
      <c r="S198" s="396"/>
      <c r="T198" s="396"/>
      <c r="U198" s="396"/>
      <c r="V198" s="396"/>
      <c r="W198" s="396"/>
      <c r="X198" s="396"/>
      <c r="Y198" s="396"/>
      <c r="Z198" s="396"/>
      <c r="AA198" s="396"/>
      <c r="AB198" s="658"/>
      <c r="AC198" s="658"/>
      <c r="AD198" s="658"/>
      <c r="AE198" s="658"/>
      <c r="AF198" s="658"/>
      <c r="AG198" s="658"/>
    </row>
    <row r="199" spans="1:33" x14ac:dyDescent="0.25">
      <c r="A199" s="396"/>
      <c r="B199" s="396"/>
      <c r="C199" s="396"/>
      <c r="D199" s="396"/>
      <c r="E199" s="396"/>
      <c r="F199" s="396"/>
      <c r="G199" s="396"/>
      <c r="H199" s="396"/>
      <c r="I199" s="396"/>
      <c r="J199" s="396"/>
      <c r="K199" s="396"/>
      <c r="L199" s="396"/>
      <c r="M199" s="396"/>
      <c r="N199" s="396"/>
      <c r="O199" s="396"/>
      <c r="P199" s="396"/>
      <c r="Q199" s="396"/>
      <c r="R199" s="396"/>
      <c r="S199" s="396"/>
      <c r="T199" s="396"/>
      <c r="U199" s="396"/>
      <c r="V199" s="396"/>
      <c r="W199" s="396"/>
      <c r="X199" s="396"/>
      <c r="Y199" s="396"/>
      <c r="Z199" s="396"/>
      <c r="AA199" s="396"/>
      <c r="AB199" s="658"/>
      <c r="AC199" s="658"/>
      <c r="AD199" s="658"/>
      <c r="AE199" s="658"/>
      <c r="AF199" s="658"/>
      <c r="AG199" s="658"/>
    </row>
    <row r="200" spans="1:33" x14ac:dyDescent="0.25">
      <c r="A200" s="396"/>
      <c r="B200" s="396"/>
      <c r="C200" s="396"/>
      <c r="D200" s="396"/>
      <c r="E200" s="396"/>
      <c r="F200" s="396"/>
      <c r="G200" s="396"/>
      <c r="H200" s="396"/>
      <c r="I200" s="396"/>
      <c r="J200" s="396"/>
      <c r="K200" s="396"/>
      <c r="L200" s="396"/>
      <c r="M200" s="396"/>
      <c r="N200" s="396"/>
      <c r="O200" s="396"/>
      <c r="P200" s="396"/>
      <c r="Q200" s="396"/>
      <c r="R200" s="396"/>
      <c r="S200" s="396"/>
      <c r="T200" s="396"/>
      <c r="U200" s="396"/>
      <c r="V200" s="396"/>
      <c r="W200" s="396"/>
      <c r="X200" s="396"/>
      <c r="Y200" s="396"/>
      <c r="Z200" s="396"/>
      <c r="AA200" s="396"/>
      <c r="AB200" s="658"/>
      <c r="AC200" s="658"/>
      <c r="AD200" s="658"/>
      <c r="AE200" s="658"/>
      <c r="AF200" s="658"/>
      <c r="AG200" s="658"/>
    </row>
    <row r="201" spans="1:33" x14ac:dyDescent="0.25">
      <c r="A201" s="396"/>
      <c r="B201" s="396"/>
      <c r="C201" s="396"/>
      <c r="D201" s="396"/>
      <c r="E201" s="396"/>
      <c r="F201" s="396"/>
      <c r="G201" s="396"/>
      <c r="H201" s="396"/>
      <c r="I201" s="396"/>
      <c r="J201" s="396"/>
      <c r="K201" s="396"/>
      <c r="L201" s="396"/>
      <c r="M201" s="396"/>
      <c r="N201" s="396"/>
      <c r="O201" s="396"/>
      <c r="P201" s="396"/>
      <c r="Q201" s="396"/>
      <c r="R201" s="396"/>
      <c r="S201" s="396"/>
      <c r="T201" s="396"/>
      <c r="U201" s="396"/>
      <c r="V201" s="396"/>
      <c r="W201" s="396"/>
      <c r="X201" s="396"/>
      <c r="Y201" s="396"/>
      <c r="Z201" s="396"/>
      <c r="AA201" s="396"/>
      <c r="AB201" s="658"/>
      <c r="AC201" s="658"/>
      <c r="AD201" s="658"/>
      <c r="AE201" s="658"/>
      <c r="AF201" s="658"/>
      <c r="AG201" s="658"/>
    </row>
    <row r="202" spans="1:33" x14ac:dyDescent="0.25">
      <c r="A202" s="396"/>
      <c r="B202" s="396"/>
      <c r="C202" s="396"/>
      <c r="D202" s="396"/>
      <c r="E202" s="396"/>
      <c r="F202" s="396"/>
      <c r="G202" s="396"/>
      <c r="H202" s="396"/>
      <c r="I202" s="396"/>
      <c r="J202" s="396"/>
      <c r="K202" s="396"/>
      <c r="L202" s="396"/>
      <c r="M202" s="396"/>
      <c r="N202" s="396"/>
      <c r="O202" s="396"/>
      <c r="P202" s="396"/>
      <c r="Q202" s="396"/>
      <c r="R202" s="396"/>
      <c r="S202" s="396"/>
      <c r="T202" s="396"/>
      <c r="U202" s="396"/>
      <c r="V202" s="396"/>
      <c r="W202" s="396"/>
      <c r="X202" s="396"/>
      <c r="Y202" s="396"/>
      <c r="Z202" s="396"/>
      <c r="AA202" s="396"/>
      <c r="AB202" s="658"/>
      <c r="AC202" s="658"/>
      <c r="AD202" s="658"/>
      <c r="AE202" s="658"/>
      <c r="AF202" s="658"/>
      <c r="AG202" s="658"/>
    </row>
    <row r="203" spans="1:33" x14ac:dyDescent="0.25">
      <c r="A203" s="396"/>
      <c r="B203" s="396"/>
      <c r="C203" s="396"/>
      <c r="D203" s="396"/>
      <c r="E203" s="396"/>
      <c r="F203" s="396"/>
      <c r="G203" s="396"/>
      <c r="H203" s="396"/>
      <c r="I203" s="396"/>
      <c r="J203" s="396"/>
      <c r="K203" s="396"/>
      <c r="L203" s="396"/>
      <c r="M203" s="396"/>
      <c r="N203" s="396"/>
      <c r="O203" s="396"/>
      <c r="P203" s="396"/>
      <c r="Q203" s="396"/>
      <c r="R203" s="396"/>
      <c r="S203" s="396"/>
      <c r="T203" s="396"/>
      <c r="U203" s="396"/>
      <c r="V203" s="396"/>
      <c r="W203" s="396"/>
      <c r="X203" s="396"/>
      <c r="Y203" s="396"/>
      <c r="Z203" s="396"/>
      <c r="AA203" s="396"/>
      <c r="AB203" s="658"/>
      <c r="AC203" s="658"/>
      <c r="AD203" s="658"/>
      <c r="AE203" s="658"/>
      <c r="AF203" s="658"/>
      <c r="AG203" s="658"/>
    </row>
    <row r="204" spans="1:33" x14ac:dyDescent="0.25">
      <c r="A204" s="396"/>
      <c r="B204" s="396"/>
      <c r="C204" s="396"/>
      <c r="D204" s="396"/>
      <c r="E204" s="396"/>
      <c r="F204" s="396"/>
      <c r="G204" s="396"/>
      <c r="H204" s="396"/>
      <c r="I204" s="396"/>
      <c r="J204" s="396"/>
      <c r="K204" s="396"/>
      <c r="L204" s="396"/>
      <c r="M204" s="396"/>
      <c r="N204" s="396"/>
      <c r="O204" s="396"/>
      <c r="P204" s="396"/>
      <c r="Q204" s="396"/>
      <c r="R204" s="396"/>
      <c r="S204" s="396"/>
      <c r="T204" s="396"/>
      <c r="U204" s="396"/>
      <c r="V204" s="396"/>
      <c r="W204" s="396"/>
      <c r="X204" s="396"/>
      <c r="Y204" s="396"/>
      <c r="Z204" s="396"/>
      <c r="AA204" s="396"/>
      <c r="AB204" s="658"/>
      <c r="AC204" s="658"/>
      <c r="AD204" s="658"/>
      <c r="AE204" s="658"/>
      <c r="AF204" s="658"/>
      <c r="AG204" s="658"/>
    </row>
    <row r="205" spans="1:33" x14ac:dyDescent="0.25">
      <c r="A205" s="396"/>
      <c r="B205" s="396"/>
      <c r="C205" s="396"/>
      <c r="D205" s="396"/>
      <c r="E205" s="396"/>
      <c r="F205" s="396"/>
      <c r="G205" s="396"/>
      <c r="H205" s="396"/>
      <c r="I205" s="396"/>
      <c r="J205" s="396"/>
      <c r="K205" s="396"/>
      <c r="L205" s="396"/>
      <c r="M205" s="396"/>
      <c r="N205" s="396"/>
      <c r="O205" s="396"/>
      <c r="P205" s="396"/>
      <c r="Q205" s="396"/>
      <c r="R205" s="396"/>
      <c r="S205" s="396"/>
      <c r="T205" s="396"/>
      <c r="U205" s="396"/>
      <c r="V205" s="396"/>
      <c r="W205" s="396"/>
      <c r="X205" s="396"/>
      <c r="Y205" s="396"/>
      <c r="Z205" s="396"/>
      <c r="AA205" s="396"/>
      <c r="AB205" s="658"/>
      <c r="AC205" s="658"/>
      <c r="AD205" s="658"/>
      <c r="AE205" s="658"/>
      <c r="AF205" s="658"/>
      <c r="AG205" s="658"/>
    </row>
    <row r="206" spans="1:33" x14ac:dyDescent="0.25">
      <c r="A206" s="396"/>
      <c r="B206" s="396"/>
      <c r="C206" s="396"/>
      <c r="D206" s="396"/>
      <c r="E206" s="396"/>
      <c r="F206" s="396"/>
      <c r="G206" s="396"/>
      <c r="H206" s="396"/>
      <c r="I206" s="396"/>
      <c r="J206" s="396"/>
      <c r="K206" s="396"/>
      <c r="L206" s="396"/>
      <c r="M206" s="396"/>
      <c r="N206" s="396"/>
      <c r="O206" s="396"/>
      <c r="P206" s="396"/>
      <c r="Q206" s="396"/>
      <c r="R206" s="396"/>
      <c r="S206" s="396"/>
      <c r="T206" s="396"/>
      <c r="U206" s="396"/>
      <c r="V206" s="396"/>
      <c r="W206" s="396"/>
      <c r="X206" s="396"/>
      <c r="Y206" s="396"/>
      <c r="Z206" s="396"/>
      <c r="AA206" s="396"/>
      <c r="AB206" s="658"/>
      <c r="AC206" s="658"/>
      <c r="AD206" s="658"/>
      <c r="AE206" s="658"/>
      <c r="AF206" s="658"/>
      <c r="AG206" s="658"/>
    </row>
    <row r="207" spans="1:33" x14ac:dyDescent="0.25">
      <c r="A207" s="396"/>
      <c r="B207" s="396"/>
      <c r="C207" s="396"/>
      <c r="D207" s="396"/>
      <c r="E207" s="396"/>
      <c r="F207" s="396"/>
      <c r="G207" s="396"/>
      <c r="H207" s="396"/>
      <c r="I207" s="396"/>
      <c r="J207" s="396"/>
      <c r="K207" s="396"/>
      <c r="L207" s="396"/>
      <c r="M207" s="396"/>
      <c r="N207" s="396"/>
      <c r="O207" s="396"/>
      <c r="P207" s="396"/>
      <c r="Q207" s="396"/>
      <c r="R207" s="396"/>
      <c r="S207" s="396"/>
      <c r="T207" s="396"/>
      <c r="U207" s="396"/>
      <c r="V207" s="396"/>
      <c r="W207" s="396"/>
      <c r="X207" s="396"/>
      <c r="Y207" s="396"/>
      <c r="Z207" s="396"/>
      <c r="AA207" s="396"/>
      <c r="AB207" s="658"/>
      <c r="AC207" s="658"/>
      <c r="AD207" s="658"/>
      <c r="AE207" s="658"/>
      <c r="AF207" s="658"/>
      <c r="AG207" s="658"/>
    </row>
    <row r="208" spans="1:33" x14ac:dyDescent="0.25">
      <c r="A208" s="396"/>
      <c r="B208" s="396"/>
      <c r="C208" s="396"/>
      <c r="D208" s="396"/>
      <c r="E208" s="396"/>
      <c r="F208" s="396"/>
      <c r="G208" s="396"/>
      <c r="H208" s="396"/>
      <c r="I208" s="396"/>
      <c r="J208" s="396"/>
      <c r="K208" s="396"/>
      <c r="L208" s="396"/>
      <c r="M208" s="396"/>
      <c r="N208" s="396"/>
      <c r="O208" s="396"/>
      <c r="P208" s="396"/>
      <c r="Q208" s="396"/>
      <c r="R208" s="396"/>
      <c r="S208" s="396"/>
      <c r="T208" s="396"/>
      <c r="U208" s="396"/>
      <c r="V208" s="396"/>
      <c r="W208" s="396"/>
      <c r="X208" s="396"/>
      <c r="Y208" s="396"/>
      <c r="Z208" s="396"/>
      <c r="AA208" s="396"/>
      <c r="AB208" s="658"/>
      <c r="AC208" s="658"/>
      <c r="AD208" s="658"/>
      <c r="AE208" s="658"/>
      <c r="AF208" s="658"/>
      <c r="AG208" s="658"/>
    </row>
    <row r="209" spans="1:33" x14ac:dyDescent="0.25">
      <c r="A209" s="396"/>
      <c r="B209" s="396"/>
      <c r="C209" s="396"/>
      <c r="D209" s="396"/>
      <c r="E209" s="396"/>
      <c r="F209" s="396"/>
      <c r="G209" s="396"/>
      <c r="H209" s="396"/>
      <c r="I209" s="396"/>
      <c r="J209" s="396"/>
      <c r="K209" s="396"/>
      <c r="L209" s="396"/>
      <c r="M209" s="396"/>
      <c r="N209" s="396"/>
      <c r="O209" s="396"/>
      <c r="P209" s="396"/>
      <c r="Q209" s="396"/>
      <c r="R209" s="396"/>
      <c r="S209" s="396"/>
      <c r="T209" s="396"/>
      <c r="U209" s="396"/>
      <c r="V209" s="396"/>
      <c r="W209" s="396"/>
      <c r="X209" s="396"/>
      <c r="Y209" s="396"/>
      <c r="Z209" s="396"/>
      <c r="AA209" s="396"/>
      <c r="AB209" s="658"/>
      <c r="AC209" s="658"/>
      <c r="AD209" s="658"/>
      <c r="AE209" s="658"/>
      <c r="AF209" s="658"/>
      <c r="AG209" s="658"/>
    </row>
    <row r="210" spans="1:33" x14ac:dyDescent="0.25">
      <c r="A210" s="396"/>
      <c r="B210" s="396"/>
      <c r="C210" s="396"/>
      <c r="D210" s="396"/>
      <c r="E210" s="396"/>
      <c r="F210" s="396"/>
      <c r="G210" s="396"/>
      <c r="H210" s="396"/>
      <c r="I210" s="396"/>
      <c r="J210" s="396"/>
      <c r="K210" s="396"/>
      <c r="L210" s="396"/>
      <c r="M210" s="396"/>
      <c r="N210" s="396"/>
      <c r="O210" s="396"/>
      <c r="P210" s="396"/>
      <c r="Q210" s="396"/>
      <c r="R210" s="396"/>
      <c r="S210" s="396"/>
      <c r="T210" s="396"/>
      <c r="U210" s="396"/>
      <c r="V210" s="396"/>
      <c r="W210" s="396"/>
      <c r="X210" s="396"/>
      <c r="Y210" s="396"/>
      <c r="Z210" s="396"/>
      <c r="AA210" s="396"/>
      <c r="AB210" s="658"/>
      <c r="AC210" s="658"/>
      <c r="AD210" s="658"/>
      <c r="AE210" s="658"/>
      <c r="AF210" s="658"/>
      <c r="AG210" s="658"/>
    </row>
    <row r="211" spans="1:33" x14ac:dyDescent="0.25">
      <c r="A211" s="396"/>
      <c r="B211" s="396"/>
      <c r="C211" s="396"/>
      <c r="D211" s="396"/>
      <c r="E211" s="396"/>
      <c r="F211" s="396"/>
      <c r="G211" s="396"/>
      <c r="H211" s="396"/>
      <c r="I211" s="396"/>
      <c r="J211" s="396"/>
      <c r="K211" s="396"/>
      <c r="L211" s="396"/>
      <c r="M211" s="396"/>
      <c r="N211" s="396"/>
      <c r="O211" s="396"/>
      <c r="P211" s="396"/>
      <c r="Q211" s="396"/>
      <c r="R211" s="396"/>
      <c r="S211" s="396"/>
      <c r="T211" s="396"/>
      <c r="U211" s="396"/>
      <c r="V211" s="396"/>
      <c r="W211" s="396"/>
      <c r="X211" s="396"/>
      <c r="Y211" s="396"/>
      <c r="Z211" s="396"/>
      <c r="AA211" s="396"/>
      <c r="AB211" s="658"/>
      <c r="AC211" s="658"/>
      <c r="AD211" s="658"/>
      <c r="AE211" s="658"/>
      <c r="AF211" s="658"/>
      <c r="AG211" s="658"/>
    </row>
    <row r="212" spans="1:33" x14ac:dyDescent="0.25">
      <c r="A212" s="396"/>
      <c r="B212" s="396"/>
      <c r="C212" s="396"/>
      <c r="D212" s="396"/>
      <c r="E212" s="396"/>
      <c r="F212" s="396"/>
      <c r="G212" s="396"/>
      <c r="H212" s="396"/>
      <c r="I212" s="396"/>
      <c r="J212" s="396"/>
      <c r="K212" s="396"/>
      <c r="L212" s="396"/>
      <c r="M212" s="396"/>
      <c r="N212" s="396"/>
      <c r="O212" s="396"/>
      <c r="P212" s="396"/>
      <c r="Q212" s="396"/>
      <c r="R212" s="396"/>
      <c r="S212" s="396"/>
      <c r="T212" s="396"/>
      <c r="U212" s="396"/>
      <c r="V212" s="396"/>
      <c r="W212" s="396"/>
      <c r="X212" s="396"/>
      <c r="Y212" s="396"/>
      <c r="Z212" s="396"/>
      <c r="AA212" s="396"/>
      <c r="AB212" s="658"/>
      <c r="AC212" s="658"/>
      <c r="AD212" s="658"/>
      <c r="AE212" s="658"/>
      <c r="AF212" s="658"/>
      <c r="AG212" s="658"/>
    </row>
    <row r="213" spans="1:33" x14ac:dyDescent="0.25">
      <c r="A213" s="396"/>
      <c r="B213" s="396"/>
      <c r="C213" s="396"/>
      <c r="D213" s="396"/>
      <c r="E213" s="396"/>
      <c r="F213" s="396"/>
      <c r="G213" s="396"/>
      <c r="H213" s="396"/>
      <c r="I213" s="396"/>
      <c r="J213" s="396"/>
      <c r="K213" s="396"/>
      <c r="L213" s="396"/>
      <c r="M213" s="396"/>
      <c r="N213" s="396"/>
      <c r="O213" s="396"/>
      <c r="P213" s="396"/>
      <c r="Q213" s="396"/>
      <c r="R213" s="396"/>
      <c r="S213" s="396"/>
      <c r="T213" s="396"/>
      <c r="U213" s="396"/>
      <c r="V213" s="396"/>
      <c r="W213" s="396"/>
      <c r="X213" s="396"/>
      <c r="Y213" s="396"/>
      <c r="Z213" s="396"/>
      <c r="AA213" s="396"/>
      <c r="AB213" s="658"/>
      <c r="AC213" s="658"/>
      <c r="AD213" s="658"/>
      <c r="AE213" s="658"/>
      <c r="AF213" s="658"/>
      <c r="AG213" s="658"/>
    </row>
    <row r="214" spans="1:33" x14ac:dyDescent="0.25">
      <c r="A214" s="396"/>
      <c r="B214" s="396"/>
      <c r="C214" s="396"/>
      <c r="D214" s="396"/>
      <c r="E214" s="396"/>
      <c r="F214" s="396"/>
      <c r="G214" s="396"/>
      <c r="H214" s="396"/>
      <c r="I214" s="396"/>
      <c r="J214" s="396"/>
      <c r="K214" s="396"/>
      <c r="L214" s="396"/>
      <c r="M214" s="396"/>
      <c r="N214" s="396"/>
      <c r="O214" s="396"/>
      <c r="P214" s="396"/>
      <c r="Q214" s="396"/>
      <c r="R214" s="396"/>
      <c r="S214" s="396"/>
      <c r="T214" s="396"/>
      <c r="U214" s="396"/>
      <c r="V214" s="396"/>
      <c r="W214" s="396"/>
      <c r="X214" s="396"/>
      <c r="Y214" s="396"/>
      <c r="Z214" s="396"/>
      <c r="AA214" s="396"/>
      <c r="AB214" s="658"/>
      <c r="AC214" s="658"/>
      <c r="AD214" s="658"/>
      <c r="AE214" s="658"/>
      <c r="AF214" s="658"/>
      <c r="AG214" s="658"/>
    </row>
    <row r="215" spans="1:33" x14ac:dyDescent="0.25">
      <c r="A215" s="396"/>
      <c r="B215" s="396"/>
      <c r="C215" s="396"/>
      <c r="D215" s="396"/>
      <c r="E215" s="396"/>
      <c r="F215" s="396"/>
      <c r="G215" s="396"/>
      <c r="H215" s="396"/>
      <c r="I215" s="396"/>
      <c r="J215" s="396"/>
      <c r="K215" s="396"/>
      <c r="L215" s="396"/>
      <c r="M215" s="396"/>
      <c r="N215" s="396"/>
      <c r="O215" s="396"/>
      <c r="P215" s="396"/>
      <c r="Q215" s="396"/>
      <c r="R215" s="396"/>
      <c r="S215" s="396"/>
      <c r="T215" s="396"/>
      <c r="U215" s="396"/>
      <c r="V215" s="396"/>
      <c r="W215" s="396"/>
      <c r="X215" s="396"/>
      <c r="Y215" s="396"/>
      <c r="Z215" s="396"/>
      <c r="AA215" s="396"/>
      <c r="AB215" s="658"/>
      <c r="AC215" s="658"/>
      <c r="AD215" s="658"/>
      <c r="AE215" s="658"/>
      <c r="AF215" s="658"/>
      <c r="AG215" s="658"/>
    </row>
    <row r="216" spans="1:33" x14ac:dyDescent="0.25">
      <c r="A216" s="396"/>
      <c r="B216" s="396"/>
      <c r="C216" s="396"/>
      <c r="D216" s="396"/>
      <c r="E216" s="396"/>
      <c r="F216" s="396"/>
      <c r="G216" s="396"/>
      <c r="H216" s="396"/>
      <c r="I216" s="396"/>
      <c r="J216" s="396"/>
      <c r="K216" s="396"/>
      <c r="L216" s="396"/>
      <c r="M216" s="396"/>
      <c r="N216" s="396"/>
      <c r="O216" s="396"/>
      <c r="P216" s="396"/>
      <c r="Q216" s="396"/>
      <c r="R216" s="396"/>
      <c r="S216" s="396"/>
      <c r="T216" s="396"/>
      <c r="U216" s="396"/>
      <c r="V216" s="396"/>
      <c r="W216" s="396"/>
      <c r="X216" s="396"/>
      <c r="Y216" s="396"/>
      <c r="Z216" s="396"/>
      <c r="AA216" s="396"/>
      <c r="AB216" s="658"/>
      <c r="AC216" s="658"/>
      <c r="AD216" s="658"/>
      <c r="AE216" s="658"/>
      <c r="AF216" s="658"/>
      <c r="AG216" s="658"/>
    </row>
    <row r="217" spans="1:33" x14ac:dyDescent="0.25">
      <c r="A217" s="396"/>
      <c r="B217" s="396"/>
      <c r="C217" s="396"/>
      <c r="D217" s="396"/>
      <c r="E217" s="396"/>
      <c r="F217" s="396"/>
      <c r="G217" s="396"/>
      <c r="H217" s="396"/>
      <c r="I217" s="396"/>
      <c r="J217" s="396"/>
      <c r="K217" s="396"/>
      <c r="L217" s="396"/>
      <c r="M217" s="396"/>
      <c r="N217" s="396"/>
      <c r="O217" s="396"/>
      <c r="P217" s="396"/>
      <c r="Q217" s="396"/>
      <c r="R217" s="396"/>
      <c r="S217" s="396"/>
      <c r="T217" s="396"/>
      <c r="U217" s="396"/>
      <c r="V217" s="396"/>
      <c r="W217" s="396"/>
      <c r="X217" s="396"/>
      <c r="Y217" s="396"/>
      <c r="Z217" s="396"/>
      <c r="AA217" s="396"/>
      <c r="AB217" s="658"/>
      <c r="AC217" s="658"/>
      <c r="AD217" s="658"/>
      <c r="AE217" s="658"/>
      <c r="AF217" s="658"/>
      <c r="AG217" s="658"/>
    </row>
    <row r="218" spans="1:33" x14ac:dyDescent="0.25">
      <c r="A218" s="396"/>
      <c r="B218" s="396"/>
      <c r="C218" s="396"/>
      <c r="D218" s="396"/>
      <c r="E218" s="396"/>
      <c r="F218" s="396"/>
      <c r="G218" s="396"/>
      <c r="H218" s="396"/>
      <c r="I218" s="396"/>
      <c r="J218" s="396"/>
      <c r="K218" s="396"/>
      <c r="L218" s="396"/>
      <c r="M218" s="396"/>
      <c r="N218" s="396"/>
      <c r="O218" s="396"/>
      <c r="P218" s="396"/>
      <c r="Q218" s="396"/>
      <c r="R218" s="396"/>
      <c r="S218" s="396"/>
      <c r="T218" s="396"/>
      <c r="U218" s="396"/>
      <c r="V218" s="396"/>
      <c r="W218" s="396"/>
      <c r="X218" s="396"/>
      <c r="Y218" s="396"/>
      <c r="Z218" s="396"/>
      <c r="AA218" s="396"/>
      <c r="AB218" s="658"/>
      <c r="AC218" s="658"/>
      <c r="AD218" s="658"/>
      <c r="AE218" s="658"/>
      <c r="AF218" s="658"/>
      <c r="AG218" s="658"/>
    </row>
    <row r="219" spans="1:33" x14ac:dyDescent="0.25">
      <c r="A219" s="396"/>
      <c r="B219" s="396"/>
      <c r="C219" s="396"/>
      <c r="D219" s="396"/>
      <c r="E219" s="396"/>
      <c r="F219" s="396"/>
      <c r="G219" s="396"/>
      <c r="H219" s="396"/>
      <c r="I219" s="396"/>
      <c r="J219" s="396"/>
      <c r="K219" s="396"/>
      <c r="L219" s="396"/>
      <c r="M219" s="396"/>
      <c r="N219" s="396"/>
      <c r="O219" s="396"/>
      <c r="P219" s="396"/>
      <c r="Q219" s="396"/>
      <c r="R219" s="396"/>
      <c r="S219" s="396"/>
      <c r="T219" s="396"/>
      <c r="U219" s="396"/>
      <c r="V219" s="396"/>
      <c r="W219" s="396"/>
      <c r="X219" s="396"/>
      <c r="Y219" s="396"/>
      <c r="Z219" s="396"/>
      <c r="AA219" s="396"/>
      <c r="AB219" s="658"/>
      <c r="AC219" s="658"/>
      <c r="AD219" s="658"/>
      <c r="AE219" s="658"/>
      <c r="AF219" s="658"/>
      <c r="AG219" s="658"/>
    </row>
    <row r="220" spans="1:33" x14ac:dyDescent="0.25">
      <c r="A220" s="396"/>
      <c r="B220" s="396"/>
      <c r="C220" s="396"/>
      <c r="D220" s="396"/>
      <c r="E220" s="396"/>
      <c r="F220" s="396"/>
      <c r="G220" s="396"/>
      <c r="H220" s="396"/>
      <c r="I220" s="396"/>
      <c r="J220" s="396"/>
      <c r="K220" s="396"/>
      <c r="L220" s="396"/>
      <c r="M220" s="396"/>
      <c r="N220" s="396"/>
      <c r="O220" s="396"/>
      <c r="P220" s="396"/>
      <c r="Q220" s="396"/>
      <c r="R220" s="396"/>
      <c r="S220" s="396"/>
      <c r="T220" s="396"/>
      <c r="U220" s="396"/>
      <c r="V220" s="396"/>
      <c r="W220" s="396"/>
      <c r="X220" s="396"/>
      <c r="Y220" s="396"/>
      <c r="Z220" s="396"/>
      <c r="AA220" s="396"/>
      <c r="AB220" s="658"/>
      <c r="AC220" s="658"/>
      <c r="AD220" s="658"/>
      <c r="AE220" s="658"/>
      <c r="AF220" s="658"/>
      <c r="AG220" s="658"/>
    </row>
    <row r="221" spans="1:33" x14ac:dyDescent="0.25">
      <c r="A221" s="396"/>
      <c r="B221" s="396"/>
      <c r="C221" s="396"/>
      <c r="D221" s="396"/>
      <c r="E221" s="396"/>
      <c r="F221" s="396"/>
      <c r="G221" s="396"/>
      <c r="H221" s="396"/>
      <c r="I221" s="396"/>
      <c r="J221" s="396"/>
      <c r="K221" s="396"/>
      <c r="L221" s="396"/>
      <c r="M221" s="396"/>
      <c r="N221" s="396"/>
      <c r="O221" s="396"/>
      <c r="P221" s="396"/>
      <c r="Q221" s="396"/>
      <c r="R221" s="396"/>
      <c r="S221" s="396"/>
      <c r="T221" s="396"/>
      <c r="U221" s="396"/>
      <c r="V221" s="396"/>
      <c r="W221" s="396"/>
      <c r="X221" s="396"/>
      <c r="Y221" s="396"/>
      <c r="Z221" s="396"/>
      <c r="AA221" s="396"/>
      <c r="AB221" s="658"/>
      <c r="AC221" s="658"/>
      <c r="AD221" s="658"/>
      <c r="AE221" s="658"/>
      <c r="AF221" s="658"/>
      <c r="AG221" s="658"/>
    </row>
    <row r="222" spans="1:33" x14ac:dyDescent="0.25">
      <c r="A222" s="396"/>
      <c r="B222" s="396"/>
      <c r="C222" s="396"/>
      <c r="D222" s="396"/>
      <c r="E222" s="396"/>
      <c r="F222" s="396"/>
      <c r="G222" s="396"/>
      <c r="H222" s="396"/>
      <c r="I222" s="396"/>
      <c r="J222" s="396"/>
      <c r="K222" s="396"/>
      <c r="L222" s="396"/>
      <c r="M222" s="396"/>
      <c r="N222" s="396"/>
      <c r="O222" s="396"/>
      <c r="P222" s="396"/>
      <c r="Q222" s="396"/>
      <c r="R222" s="396"/>
      <c r="S222" s="396"/>
      <c r="T222" s="396"/>
      <c r="U222" s="396"/>
      <c r="V222" s="396"/>
      <c r="W222" s="396"/>
      <c r="X222" s="396"/>
      <c r="Y222" s="396"/>
      <c r="Z222" s="396"/>
      <c r="AA222" s="396"/>
      <c r="AB222" s="658"/>
      <c r="AC222" s="658"/>
      <c r="AD222" s="658"/>
      <c r="AE222" s="658"/>
      <c r="AF222" s="658"/>
      <c r="AG222" s="658"/>
    </row>
    <row r="223" spans="1:33" x14ac:dyDescent="0.25">
      <c r="A223" s="396"/>
      <c r="B223" s="396"/>
      <c r="C223" s="396"/>
      <c r="D223" s="396"/>
      <c r="E223" s="396"/>
      <c r="F223" s="396"/>
      <c r="G223" s="396"/>
      <c r="H223" s="396"/>
      <c r="I223" s="396"/>
      <c r="J223" s="396"/>
      <c r="K223" s="396"/>
      <c r="L223" s="396"/>
      <c r="M223" s="396"/>
      <c r="N223" s="396"/>
      <c r="O223" s="396"/>
      <c r="P223" s="396"/>
      <c r="Q223" s="396"/>
      <c r="R223" s="396"/>
      <c r="S223" s="396"/>
      <c r="T223" s="396"/>
      <c r="U223" s="396"/>
      <c r="V223" s="396"/>
      <c r="W223" s="396"/>
      <c r="X223" s="396"/>
      <c r="Y223" s="396"/>
      <c r="Z223" s="396"/>
      <c r="AA223" s="396"/>
      <c r="AB223" s="658"/>
      <c r="AC223" s="658"/>
      <c r="AD223" s="658"/>
      <c r="AE223" s="658"/>
      <c r="AF223" s="658"/>
      <c r="AG223" s="658"/>
    </row>
    <row r="224" spans="1:33" x14ac:dyDescent="0.25">
      <c r="A224" s="396"/>
      <c r="B224" s="396"/>
      <c r="C224" s="396"/>
      <c r="D224" s="396"/>
      <c r="E224" s="396"/>
      <c r="F224" s="396"/>
      <c r="G224" s="396"/>
      <c r="H224" s="396"/>
      <c r="I224" s="396"/>
      <c r="J224" s="396"/>
      <c r="K224" s="396"/>
      <c r="L224" s="396"/>
      <c r="M224" s="396"/>
      <c r="N224" s="396"/>
      <c r="O224" s="396"/>
      <c r="P224" s="396"/>
      <c r="Q224" s="396"/>
      <c r="R224" s="396"/>
      <c r="S224" s="396"/>
      <c r="T224" s="396"/>
      <c r="U224" s="396"/>
      <c r="V224" s="396"/>
      <c r="W224" s="396"/>
      <c r="X224" s="396"/>
      <c r="Y224" s="396"/>
      <c r="Z224" s="396"/>
      <c r="AA224" s="396"/>
      <c r="AB224" s="658"/>
      <c r="AC224" s="658"/>
      <c r="AD224" s="658"/>
      <c r="AE224" s="658"/>
      <c r="AF224" s="658"/>
      <c r="AG224" s="658"/>
    </row>
    <row r="225" spans="1:33" x14ac:dyDescent="0.25">
      <c r="A225" s="396"/>
      <c r="B225" s="396"/>
      <c r="C225" s="396"/>
      <c r="D225" s="396"/>
      <c r="E225" s="396"/>
      <c r="F225" s="396"/>
      <c r="G225" s="396"/>
      <c r="H225" s="396"/>
      <c r="I225" s="396"/>
      <c r="J225" s="396"/>
      <c r="K225" s="396"/>
      <c r="L225" s="396"/>
      <c r="M225" s="396"/>
      <c r="N225" s="396"/>
      <c r="O225" s="396"/>
      <c r="P225" s="396"/>
      <c r="Q225" s="396"/>
      <c r="R225" s="396"/>
      <c r="S225" s="396"/>
      <c r="T225" s="396"/>
      <c r="U225" s="396"/>
      <c r="V225" s="396"/>
      <c r="W225" s="396"/>
      <c r="X225" s="396"/>
      <c r="Y225" s="396"/>
      <c r="Z225" s="396"/>
      <c r="AA225" s="396"/>
      <c r="AB225" s="658"/>
      <c r="AC225" s="658"/>
      <c r="AD225" s="658"/>
      <c r="AE225" s="658"/>
      <c r="AF225" s="658"/>
      <c r="AG225" s="658"/>
    </row>
    <row r="226" spans="1:33" x14ac:dyDescent="0.25">
      <c r="A226" s="396"/>
      <c r="B226" s="396"/>
      <c r="C226" s="396"/>
      <c r="D226" s="396"/>
      <c r="E226" s="396"/>
      <c r="F226" s="396"/>
      <c r="G226" s="396"/>
      <c r="H226" s="396"/>
      <c r="I226" s="396"/>
      <c r="J226" s="396"/>
      <c r="K226" s="396"/>
      <c r="L226" s="396"/>
      <c r="M226" s="396"/>
      <c r="N226" s="396"/>
      <c r="O226" s="396"/>
      <c r="P226" s="396"/>
      <c r="Q226" s="396"/>
      <c r="R226" s="396"/>
      <c r="S226" s="396"/>
      <c r="T226" s="396"/>
      <c r="U226" s="396"/>
      <c r="V226" s="396"/>
      <c r="W226" s="396"/>
      <c r="X226" s="396"/>
      <c r="Y226" s="396"/>
      <c r="Z226" s="396"/>
      <c r="AA226" s="396"/>
      <c r="AB226" s="658"/>
      <c r="AC226" s="658"/>
      <c r="AD226" s="658"/>
      <c r="AE226" s="658"/>
      <c r="AF226" s="658"/>
      <c r="AG226" s="658"/>
    </row>
    <row r="227" spans="1:33" x14ac:dyDescent="0.25">
      <c r="A227" s="396"/>
      <c r="B227" s="396"/>
      <c r="C227" s="396"/>
      <c r="D227" s="396"/>
      <c r="E227" s="396"/>
      <c r="F227" s="396"/>
      <c r="G227" s="396"/>
      <c r="H227" s="396"/>
      <c r="I227" s="396"/>
      <c r="J227" s="396"/>
      <c r="K227" s="396"/>
      <c r="L227" s="396"/>
      <c r="M227" s="396"/>
      <c r="N227" s="396"/>
      <c r="O227" s="396"/>
      <c r="P227" s="396"/>
      <c r="Q227" s="396"/>
      <c r="R227" s="396"/>
      <c r="S227" s="396"/>
      <c r="T227" s="396"/>
      <c r="U227" s="396"/>
      <c r="V227" s="396"/>
      <c r="W227" s="396"/>
      <c r="X227" s="396"/>
      <c r="Y227" s="396"/>
      <c r="Z227" s="396"/>
      <c r="AA227" s="396"/>
      <c r="AB227" s="658"/>
      <c r="AC227" s="658"/>
      <c r="AD227" s="658"/>
      <c r="AE227" s="658"/>
      <c r="AF227" s="658"/>
      <c r="AG227" s="658"/>
    </row>
    <row r="228" spans="1:33" x14ac:dyDescent="0.25">
      <c r="A228" s="396"/>
      <c r="B228" s="396"/>
      <c r="C228" s="396"/>
      <c r="D228" s="396"/>
      <c r="E228" s="396"/>
      <c r="F228" s="396"/>
      <c r="G228" s="396"/>
      <c r="H228" s="396"/>
      <c r="I228" s="396"/>
      <c r="J228" s="396"/>
      <c r="K228" s="396"/>
      <c r="L228" s="396"/>
      <c r="M228" s="396"/>
      <c r="N228" s="396"/>
      <c r="O228" s="396"/>
      <c r="P228" s="396"/>
      <c r="Q228" s="396"/>
      <c r="R228" s="396"/>
      <c r="S228" s="396"/>
      <c r="T228" s="396"/>
      <c r="U228" s="396"/>
      <c r="V228" s="396"/>
      <c r="W228" s="396"/>
      <c r="X228" s="396"/>
      <c r="Y228" s="396"/>
      <c r="Z228" s="396"/>
      <c r="AA228" s="396"/>
      <c r="AB228" s="658"/>
      <c r="AC228" s="658"/>
      <c r="AD228" s="658"/>
      <c r="AE228" s="658"/>
      <c r="AF228" s="658"/>
      <c r="AG228" s="658"/>
    </row>
    <row r="229" spans="1:33" x14ac:dyDescent="0.25">
      <c r="A229" s="396"/>
      <c r="B229" s="396"/>
      <c r="C229" s="396"/>
      <c r="D229" s="396"/>
      <c r="E229" s="396"/>
      <c r="F229" s="396"/>
      <c r="G229" s="396"/>
      <c r="H229" s="396"/>
      <c r="I229" s="396"/>
      <c r="J229" s="396"/>
      <c r="K229" s="396"/>
      <c r="L229" s="396"/>
      <c r="M229" s="396"/>
      <c r="N229" s="396"/>
      <c r="O229" s="396"/>
      <c r="P229" s="396"/>
      <c r="Q229" s="396"/>
      <c r="R229" s="396"/>
      <c r="S229" s="396"/>
      <c r="T229" s="396"/>
      <c r="U229" s="396"/>
      <c r="V229" s="396"/>
      <c r="W229" s="396"/>
      <c r="X229" s="396"/>
      <c r="Y229" s="396"/>
      <c r="Z229" s="396"/>
      <c r="AA229" s="396"/>
      <c r="AB229" s="658"/>
      <c r="AC229" s="658"/>
      <c r="AD229" s="658"/>
      <c r="AE229" s="658"/>
      <c r="AF229" s="658"/>
      <c r="AG229" s="658"/>
    </row>
    <row r="230" spans="1:33" x14ac:dyDescent="0.25">
      <c r="A230" s="396"/>
      <c r="B230" s="396"/>
      <c r="C230" s="396"/>
      <c r="D230" s="396"/>
      <c r="E230" s="396"/>
      <c r="F230" s="396"/>
      <c r="G230" s="396"/>
      <c r="H230" s="396"/>
      <c r="I230" s="396"/>
      <c r="J230" s="396"/>
      <c r="K230" s="396"/>
      <c r="L230" s="396"/>
      <c r="M230" s="396"/>
      <c r="N230" s="396"/>
      <c r="O230" s="396"/>
      <c r="P230" s="396"/>
      <c r="Q230" s="396"/>
      <c r="R230" s="396"/>
      <c r="S230" s="396"/>
      <c r="T230" s="396"/>
      <c r="U230" s="396"/>
      <c r="V230" s="396"/>
      <c r="W230" s="396"/>
      <c r="X230" s="396"/>
      <c r="Y230" s="396"/>
      <c r="Z230" s="396"/>
      <c r="AA230" s="396"/>
      <c r="AB230" s="658"/>
      <c r="AC230" s="658"/>
      <c r="AD230" s="658"/>
      <c r="AE230" s="658"/>
      <c r="AF230" s="658"/>
      <c r="AG230" s="658"/>
    </row>
    <row r="231" spans="1:33" x14ac:dyDescent="0.25">
      <c r="A231" s="396"/>
      <c r="B231" s="396"/>
      <c r="C231" s="396"/>
      <c r="D231" s="396"/>
      <c r="E231" s="396"/>
      <c r="F231" s="396"/>
      <c r="G231" s="396"/>
      <c r="H231" s="396"/>
      <c r="I231" s="396"/>
      <c r="J231" s="396"/>
      <c r="K231" s="396"/>
      <c r="L231" s="396"/>
      <c r="M231" s="396"/>
      <c r="N231" s="396"/>
      <c r="O231" s="396"/>
      <c r="P231" s="396"/>
      <c r="Q231" s="396"/>
      <c r="R231" s="396"/>
      <c r="S231" s="396"/>
      <c r="T231" s="396"/>
      <c r="U231" s="396"/>
      <c r="V231" s="396"/>
      <c r="W231" s="396"/>
      <c r="X231" s="396"/>
      <c r="Y231" s="396"/>
      <c r="Z231" s="396"/>
      <c r="AA231" s="396"/>
      <c r="AB231" s="658"/>
      <c r="AC231" s="658"/>
      <c r="AD231" s="658"/>
      <c r="AE231" s="658"/>
      <c r="AF231" s="658"/>
      <c r="AG231" s="658"/>
    </row>
    <row r="232" spans="1:33" x14ac:dyDescent="0.25">
      <c r="A232" s="396"/>
      <c r="B232" s="396"/>
      <c r="C232" s="396"/>
      <c r="D232" s="396"/>
      <c r="E232" s="396"/>
      <c r="F232" s="396"/>
      <c r="G232" s="396"/>
      <c r="H232" s="396"/>
      <c r="I232" s="396"/>
      <c r="J232" s="396"/>
      <c r="K232" s="396"/>
      <c r="L232" s="396"/>
      <c r="M232" s="396"/>
      <c r="N232" s="396"/>
      <c r="O232" s="396"/>
      <c r="P232" s="396"/>
      <c r="Q232" s="396"/>
      <c r="R232" s="396"/>
      <c r="S232" s="396"/>
      <c r="T232" s="396"/>
      <c r="U232" s="396"/>
      <c r="V232" s="396"/>
      <c r="W232" s="396"/>
      <c r="X232" s="396"/>
      <c r="Y232" s="396"/>
      <c r="Z232" s="396"/>
      <c r="AA232" s="396"/>
      <c r="AB232" s="658"/>
      <c r="AC232" s="658"/>
      <c r="AD232" s="658"/>
      <c r="AE232" s="658"/>
      <c r="AF232" s="658"/>
      <c r="AG232" s="658"/>
    </row>
    <row r="233" spans="1:33" x14ac:dyDescent="0.25">
      <c r="A233" s="396"/>
      <c r="B233" s="396"/>
      <c r="C233" s="396"/>
      <c r="D233" s="396"/>
      <c r="E233" s="396"/>
      <c r="F233" s="396"/>
      <c r="G233" s="396"/>
      <c r="H233" s="396"/>
      <c r="I233" s="396"/>
      <c r="J233" s="396"/>
      <c r="K233" s="396"/>
      <c r="L233" s="396"/>
      <c r="M233" s="396"/>
      <c r="N233" s="396"/>
      <c r="O233" s="396"/>
      <c r="P233" s="396"/>
      <c r="Q233" s="396"/>
      <c r="R233" s="396"/>
      <c r="S233" s="396"/>
      <c r="T233" s="396"/>
      <c r="U233" s="396"/>
      <c r="V233" s="396"/>
      <c r="W233" s="396"/>
      <c r="X233" s="396"/>
      <c r="Y233" s="396"/>
      <c r="Z233" s="396"/>
      <c r="AA233" s="396"/>
      <c r="AB233" s="658"/>
      <c r="AC233" s="658"/>
      <c r="AD233" s="658"/>
      <c r="AE233" s="658"/>
      <c r="AF233" s="658"/>
      <c r="AG233" s="658"/>
    </row>
    <row r="234" spans="1:33" x14ac:dyDescent="0.25">
      <c r="A234" s="396"/>
      <c r="B234" s="396"/>
      <c r="C234" s="396"/>
      <c r="D234" s="396"/>
      <c r="E234" s="396"/>
      <c r="F234" s="396"/>
      <c r="G234" s="396"/>
      <c r="H234" s="396"/>
      <c r="I234" s="396"/>
      <c r="J234" s="396"/>
      <c r="K234" s="396"/>
      <c r="L234" s="396"/>
      <c r="M234" s="396"/>
      <c r="N234" s="396"/>
      <c r="O234" s="396"/>
      <c r="P234" s="396"/>
      <c r="Q234" s="396"/>
      <c r="R234" s="396"/>
      <c r="S234" s="396"/>
      <c r="T234" s="396"/>
      <c r="U234" s="396"/>
      <c r="V234" s="396"/>
      <c r="W234" s="396"/>
      <c r="X234" s="396"/>
      <c r="Y234" s="396"/>
      <c r="Z234" s="396"/>
      <c r="AA234" s="396"/>
      <c r="AB234" s="658"/>
      <c r="AC234" s="658"/>
      <c r="AD234" s="658"/>
      <c r="AE234" s="658"/>
      <c r="AF234" s="658"/>
      <c r="AG234" s="658"/>
    </row>
    <row r="235" spans="1:33" x14ac:dyDescent="0.25">
      <c r="A235" s="396"/>
      <c r="B235" s="396"/>
      <c r="C235" s="396"/>
      <c r="D235" s="396"/>
      <c r="E235" s="396"/>
      <c r="F235" s="396"/>
      <c r="G235" s="396"/>
      <c r="H235" s="396"/>
      <c r="I235" s="396"/>
      <c r="J235" s="396"/>
      <c r="K235" s="396"/>
      <c r="L235" s="396"/>
      <c r="M235" s="396"/>
      <c r="N235" s="396"/>
      <c r="O235" s="396"/>
      <c r="P235" s="396"/>
      <c r="Q235" s="396"/>
      <c r="R235" s="396"/>
      <c r="S235" s="396"/>
      <c r="T235" s="396"/>
      <c r="U235" s="396"/>
      <c r="V235" s="396"/>
      <c r="W235" s="396"/>
      <c r="X235" s="396"/>
      <c r="Y235" s="396"/>
      <c r="Z235" s="396"/>
      <c r="AA235" s="396"/>
      <c r="AB235" s="658"/>
      <c r="AC235" s="658"/>
      <c r="AD235" s="658"/>
      <c r="AE235" s="658"/>
      <c r="AF235" s="658"/>
      <c r="AG235" s="658"/>
    </row>
    <row r="236" spans="1:33" x14ac:dyDescent="0.25">
      <c r="A236" s="396"/>
      <c r="B236" s="396"/>
      <c r="C236" s="396"/>
      <c r="D236" s="396"/>
      <c r="E236" s="396"/>
      <c r="F236" s="396"/>
      <c r="G236" s="396"/>
      <c r="H236" s="396"/>
      <c r="I236" s="396"/>
      <c r="J236" s="396"/>
      <c r="K236" s="396"/>
      <c r="L236" s="396"/>
      <c r="M236" s="396"/>
      <c r="N236" s="396"/>
      <c r="O236" s="396"/>
      <c r="P236" s="396"/>
      <c r="Q236" s="396"/>
      <c r="R236" s="396"/>
      <c r="S236" s="396"/>
      <c r="T236" s="396"/>
      <c r="U236" s="396"/>
      <c r="V236" s="396"/>
      <c r="W236" s="396"/>
      <c r="X236" s="396"/>
      <c r="Y236" s="396"/>
      <c r="Z236" s="396"/>
      <c r="AA236" s="396"/>
      <c r="AB236" s="658"/>
      <c r="AC236" s="658"/>
      <c r="AD236" s="658"/>
      <c r="AE236" s="658"/>
      <c r="AF236" s="658"/>
      <c r="AG236" s="658"/>
    </row>
    <row r="237" spans="1:33" x14ac:dyDescent="0.25">
      <c r="A237" s="396"/>
      <c r="B237" s="396"/>
      <c r="C237" s="396"/>
      <c r="D237" s="396"/>
      <c r="E237" s="396"/>
      <c r="F237" s="396"/>
      <c r="G237" s="396"/>
      <c r="H237" s="396"/>
      <c r="I237" s="396"/>
      <c r="J237" s="396"/>
      <c r="K237" s="396"/>
      <c r="L237" s="396"/>
      <c r="M237" s="396"/>
      <c r="N237" s="396"/>
      <c r="O237" s="396"/>
      <c r="P237" s="396"/>
      <c r="Q237" s="396"/>
      <c r="R237" s="396"/>
      <c r="S237" s="396"/>
      <c r="T237" s="396"/>
      <c r="U237" s="396"/>
      <c r="V237" s="396"/>
      <c r="W237" s="396"/>
      <c r="X237" s="396"/>
      <c r="Y237" s="396"/>
      <c r="Z237" s="396"/>
      <c r="AA237" s="396"/>
      <c r="AB237" s="658"/>
      <c r="AC237" s="658"/>
      <c r="AD237" s="658"/>
      <c r="AE237" s="658"/>
      <c r="AF237" s="658"/>
      <c r="AG237" s="658"/>
    </row>
    <row r="238" spans="1:33" x14ac:dyDescent="0.25">
      <c r="A238" s="396"/>
      <c r="B238" s="396"/>
      <c r="C238" s="396"/>
      <c r="D238" s="396"/>
      <c r="E238" s="396"/>
      <c r="F238" s="396"/>
      <c r="G238" s="396"/>
      <c r="H238" s="396"/>
      <c r="I238" s="396"/>
      <c r="J238" s="396"/>
      <c r="K238" s="396"/>
      <c r="L238" s="396"/>
      <c r="M238" s="396"/>
      <c r="N238" s="396"/>
      <c r="O238" s="396"/>
      <c r="P238" s="396"/>
      <c r="Q238" s="396"/>
      <c r="R238" s="396"/>
      <c r="S238" s="396"/>
      <c r="T238" s="396"/>
      <c r="U238" s="396"/>
      <c r="V238" s="396"/>
      <c r="W238" s="396"/>
      <c r="X238" s="396"/>
      <c r="Y238" s="396"/>
      <c r="Z238" s="396"/>
      <c r="AA238" s="396"/>
      <c r="AB238" s="658"/>
      <c r="AC238" s="658"/>
      <c r="AD238" s="658"/>
      <c r="AE238" s="658"/>
      <c r="AF238" s="658"/>
      <c r="AG238" s="658"/>
    </row>
    <row r="239" spans="1:33" x14ac:dyDescent="0.25">
      <c r="A239" s="396"/>
      <c r="B239" s="396"/>
      <c r="C239" s="396"/>
      <c r="D239" s="396"/>
      <c r="E239" s="396"/>
      <c r="F239" s="396"/>
      <c r="G239" s="396"/>
      <c r="H239" s="396"/>
      <c r="I239" s="396"/>
      <c r="J239" s="396"/>
      <c r="K239" s="396"/>
      <c r="L239" s="396"/>
      <c r="M239" s="396"/>
      <c r="N239" s="396"/>
      <c r="O239" s="396"/>
      <c r="P239" s="396"/>
      <c r="Q239" s="396"/>
      <c r="R239" s="396"/>
      <c r="S239" s="396"/>
      <c r="T239" s="396"/>
      <c r="U239" s="396"/>
      <c r="V239" s="396"/>
      <c r="W239" s="396"/>
      <c r="X239" s="396"/>
      <c r="Y239" s="396"/>
      <c r="Z239" s="396"/>
      <c r="AA239" s="396"/>
      <c r="AB239" s="658"/>
      <c r="AC239" s="658"/>
      <c r="AD239" s="658"/>
      <c r="AE239" s="658"/>
      <c r="AF239" s="658"/>
      <c r="AG239" s="658"/>
    </row>
    <row r="240" spans="1:33" x14ac:dyDescent="0.25">
      <c r="A240" s="396"/>
      <c r="B240" s="396"/>
      <c r="C240" s="396"/>
      <c r="D240" s="396"/>
      <c r="E240" s="396"/>
      <c r="F240" s="396"/>
      <c r="G240" s="396"/>
      <c r="H240" s="396"/>
      <c r="I240" s="396"/>
      <c r="J240" s="396"/>
      <c r="K240" s="396"/>
      <c r="L240" s="396"/>
      <c r="M240" s="396"/>
      <c r="N240" s="396"/>
      <c r="O240" s="396"/>
      <c r="P240" s="396"/>
      <c r="Q240" s="396"/>
      <c r="R240" s="396"/>
      <c r="S240" s="396"/>
      <c r="T240" s="396"/>
      <c r="U240" s="396"/>
      <c r="V240" s="396"/>
      <c r="W240" s="396"/>
      <c r="X240" s="396"/>
      <c r="Y240" s="396"/>
      <c r="Z240" s="396"/>
      <c r="AA240" s="396"/>
      <c r="AB240" s="658"/>
      <c r="AC240" s="658"/>
      <c r="AD240" s="658"/>
      <c r="AE240" s="658"/>
      <c r="AF240" s="658"/>
      <c r="AG240" s="658"/>
    </row>
    <row r="241" spans="1:33" x14ac:dyDescent="0.25">
      <c r="A241" s="396"/>
      <c r="B241" s="396"/>
      <c r="C241" s="396"/>
      <c r="D241" s="396"/>
      <c r="E241" s="396"/>
      <c r="F241" s="396"/>
      <c r="G241" s="396"/>
      <c r="H241" s="396"/>
      <c r="I241" s="396"/>
      <c r="J241" s="396"/>
      <c r="K241" s="396"/>
      <c r="L241" s="396"/>
      <c r="M241" s="396"/>
      <c r="N241" s="396"/>
      <c r="O241" s="396"/>
      <c r="P241" s="396"/>
      <c r="Q241" s="396"/>
      <c r="R241" s="396"/>
      <c r="S241" s="396"/>
      <c r="T241" s="396"/>
      <c r="U241" s="396"/>
      <c r="V241" s="396"/>
      <c r="W241" s="396"/>
      <c r="X241" s="396"/>
      <c r="Y241" s="396"/>
      <c r="Z241" s="396"/>
      <c r="AA241" s="396"/>
      <c r="AB241" s="658"/>
      <c r="AC241" s="658"/>
      <c r="AD241" s="658"/>
      <c r="AE241" s="658"/>
      <c r="AF241" s="658"/>
      <c r="AG241" s="658"/>
    </row>
    <row r="242" spans="1:33" x14ac:dyDescent="0.25">
      <c r="A242" s="396"/>
      <c r="B242" s="396"/>
      <c r="C242" s="396"/>
      <c r="D242" s="396"/>
      <c r="E242" s="396"/>
      <c r="F242" s="396"/>
      <c r="G242" s="396"/>
      <c r="H242" s="396"/>
      <c r="I242" s="396"/>
      <c r="J242" s="396"/>
      <c r="K242" s="396"/>
      <c r="L242" s="396"/>
      <c r="M242" s="396"/>
      <c r="N242" s="396"/>
      <c r="O242" s="396"/>
      <c r="P242" s="396"/>
      <c r="Q242" s="396"/>
      <c r="R242" s="396"/>
      <c r="S242" s="396"/>
      <c r="T242" s="396"/>
      <c r="U242" s="396"/>
      <c r="V242" s="396"/>
      <c r="W242" s="396"/>
      <c r="X242" s="396"/>
      <c r="Y242" s="396"/>
      <c r="Z242" s="396"/>
      <c r="AA242" s="396"/>
      <c r="AB242" s="658"/>
      <c r="AC242" s="658"/>
      <c r="AD242" s="658"/>
      <c r="AE242" s="658"/>
      <c r="AF242" s="658"/>
      <c r="AG242" s="658"/>
    </row>
    <row r="243" spans="1:33" x14ac:dyDescent="0.25">
      <c r="A243" s="396"/>
      <c r="B243" s="396"/>
      <c r="C243" s="396"/>
      <c r="D243" s="396"/>
      <c r="E243" s="396"/>
      <c r="F243" s="396"/>
      <c r="G243" s="396"/>
      <c r="H243" s="396"/>
      <c r="I243" s="396"/>
      <c r="J243" s="396"/>
      <c r="K243" s="396"/>
      <c r="L243" s="396"/>
      <c r="M243" s="396"/>
      <c r="N243" s="396"/>
      <c r="O243" s="396"/>
      <c r="P243" s="396"/>
      <c r="Q243" s="396"/>
      <c r="R243" s="396"/>
      <c r="S243" s="396"/>
      <c r="T243" s="396"/>
      <c r="U243" s="396"/>
      <c r="V243" s="396"/>
      <c r="W243" s="396"/>
      <c r="X243" s="396"/>
      <c r="Y243" s="396"/>
      <c r="Z243" s="396"/>
      <c r="AA243" s="396"/>
      <c r="AB243" s="658"/>
      <c r="AC243" s="658"/>
      <c r="AD243" s="658"/>
      <c r="AE243" s="658"/>
      <c r="AF243" s="658"/>
      <c r="AG243" s="658"/>
    </row>
    <row r="244" spans="1:33" x14ac:dyDescent="0.25">
      <c r="A244" s="396"/>
      <c r="B244" s="396"/>
      <c r="C244" s="396"/>
      <c r="D244" s="396"/>
      <c r="E244" s="396"/>
      <c r="F244" s="396"/>
      <c r="G244" s="396"/>
      <c r="H244" s="396"/>
      <c r="I244" s="396"/>
      <c r="J244" s="396"/>
      <c r="K244" s="396"/>
      <c r="L244" s="396"/>
      <c r="M244" s="396"/>
      <c r="N244" s="396"/>
      <c r="O244" s="396"/>
      <c r="P244" s="396"/>
      <c r="Q244" s="396"/>
      <c r="R244" s="396"/>
      <c r="S244" s="396"/>
      <c r="T244" s="396"/>
      <c r="U244" s="396"/>
      <c r="V244" s="396"/>
      <c r="W244" s="396"/>
      <c r="X244" s="396"/>
      <c r="Y244" s="396"/>
      <c r="Z244" s="396"/>
      <c r="AA244" s="396"/>
      <c r="AB244" s="658"/>
      <c r="AC244" s="658"/>
      <c r="AD244" s="658"/>
      <c r="AE244" s="658"/>
      <c r="AF244" s="658"/>
      <c r="AG244" s="658"/>
    </row>
    <row r="245" spans="1:33" x14ac:dyDescent="0.25">
      <c r="A245" s="396"/>
      <c r="B245" s="396"/>
      <c r="C245" s="396"/>
      <c r="D245" s="396"/>
      <c r="E245" s="396"/>
      <c r="F245" s="396"/>
      <c r="G245" s="396"/>
      <c r="H245" s="396"/>
      <c r="I245" s="396"/>
      <c r="J245" s="396"/>
      <c r="K245" s="396"/>
      <c r="L245" s="396"/>
      <c r="M245" s="396"/>
      <c r="N245" s="396"/>
      <c r="O245" s="396"/>
      <c r="P245" s="396"/>
      <c r="Q245" s="396"/>
      <c r="R245" s="396"/>
      <c r="S245" s="396"/>
      <c r="T245" s="396"/>
      <c r="U245" s="396"/>
      <c r="V245" s="396"/>
      <c r="W245" s="396"/>
      <c r="X245" s="396"/>
      <c r="Y245" s="396"/>
      <c r="Z245" s="396"/>
      <c r="AA245" s="396"/>
      <c r="AB245" s="658"/>
      <c r="AC245" s="658"/>
      <c r="AD245" s="658"/>
      <c r="AE245" s="658"/>
      <c r="AF245" s="658"/>
      <c r="AG245" s="658"/>
    </row>
    <row r="246" spans="1:33" x14ac:dyDescent="0.25">
      <c r="A246" s="396"/>
      <c r="B246" s="396"/>
      <c r="C246" s="396"/>
      <c r="D246" s="396"/>
      <c r="E246" s="396"/>
      <c r="F246" s="396"/>
      <c r="G246" s="396"/>
      <c r="H246" s="396"/>
      <c r="I246" s="396"/>
      <c r="J246" s="396"/>
      <c r="K246" s="396"/>
      <c r="L246" s="396"/>
      <c r="M246" s="396"/>
      <c r="N246" s="396"/>
      <c r="O246" s="396"/>
      <c r="P246" s="396"/>
      <c r="Q246" s="396"/>
      <c r="R246" s="396"/>
      <c r="S246" s="396"/>
      <c r="T246" s="396"/>
      <c r="U246" s="396"/>
      <c r="V246" s="396"/>
      <c r="W246" s="396"/>
      <c r="X246" s="396"/>
      <c r="Y246" s="396"/>
      <c r="Z246" s="396"/>
      <c r="AA246" s="396"/>
      <c r="AB246" s="658"/>
      <c r="AC246" s="658"/>
      <c r="AD246" s="658"/>
      <c r="AE246" s="658"/>
      <c r="AF246" s="658"/>
      <c r="AG246" s="658"/>
    </row>
    <row r="247" spans="1:33" x14ac:dyDescent="0.25">
      <c r="A247" s="396"/>
      <c r="B247" s="396"/>
      <c r="C247" s="396"/>
      <c r="D247" s="396"/>
      <c r="E247" s="396"/>
      <c r="F247" s="396"/>
      <c r="G247" s="396"/>
      <c r="H247" s="396"/>
      <c r="I247" s="396"/>
      <c r="J247" s="396"/>
      <c r="K247" s="396"/>
      <c r="L247" s="396"/>
      <c r="M247" s="396"/>
      <c r="N247" s="396"/>
      <c r="O247" s="396"/>
      <c r="P247" s="396"/>
      <c r="Q247" s="396"/>
      <c r="R247" s="396"/>
      <c r="S247" s="396"/>
      <c r="T247" s="396"/>
      <c r="U247" s="396"/>
      <c r="V247" s="396"/>
      <c r="W247" s="396"/>
      <c r="X247" s="396"/>
      <c r="Y247" s="396"/>
      <c r="Z247" s="396"/>
      <c r="AA247" s="396"/>
      <c r="AB247" s="658"/>
      <c r="AC247" s="658"/>
      <c r="AD247" s="658"/>
      <c r="AE247" s="658"/>
      <c r="AF247" s="658"/>
      <c r="AG247" s="658"/>
    </row>
    <row r="248" spans="1:33" x14ac:dyDescent="0.25">
      <c r="A248" s="396"/>
      <c r="B248" s="396"/>
      <c r="C248" s="396"/>
      <c r="D248" s="396"/>
      <c r="E248" s="396"/>
      <c r="F248" s="396"/>
      <c r="G248" s="396"/>
      <c r="H248" s="396"/>
      <c r="I248" s="396"/>
      <c r="J248" s="396"/>
      <c r="K248" s="396"/>
      <c r="L248" s="396"/>
      <c r="M248" s="396"/>
      <c r="N248" s="396"/>
      <c r="O248" s="396"/>
      <c r="P248" s="396"/>
      <c r="Q248" s="396"/>
      <c r="R248" s="396"/>
      <c r="S248" s="396"/>
      <c r="T248" s="396"/>
      <c r="U248" s="396"/>
      <c r="V248" s="396"/>
      <c r="W248" s="396"/>
      <c r="X248" s="396"/>
      <c r="Y248" s="396"/>
      <c r="Z248" s="396"/>
      <c r="AA248" s="396"/>
      <c r="AB248" s="658"/>
      <c r="AC248" s="658"/>
      <c r="AD248" s="658"/>
      <c r="AE248" s="658"/>
      <c r="AF248" s="658"/>
      <c r="AG248" s="658"/>
    </row>
    <row r="249" spans="1:33" x14ac:dyDescent="0.25">
      <c r="A249" s="396"/>
      <c r="B249" s="396"/>
      <c r="C249" s="396"/>
      <c r="D249" s="396"/>
      <c r="E249" s="396"/>
      <c r="F249" s="396"/>
      <c r="G249" s="396"/>
      <c r="H249" s="396"/>
      <c r="I249" s="396"/>
      <c r="J249" s="396"/>
      <c r="K249" s="396"/>
      <c r="L249" s="396"/>
      <c r="M249" s="396"/>
      <c r="N249" s="396"/>
      <c r="O249" s="396"/>
      <c r="P249" s="396"/>
      <c r="Q249" s="396"/>
      <c r="R249" s="396"/>
      <c r="S249" s="396"/>
      <c r="T249" s="396"/>
      <c r="U249" s="396"/>
      <c r="V249" s="396"/>
      <c r="W249" s="396"/>
      <c r="X249" s="396"/>
      <c r="Y249" s="396"/>
      <c r="Z249" s="396"/>
      <c r="AA249" s="396"/>
      <c r="AB249" s="658"/>
      <c r="AC249" s="658"/>
      <c r="AD249" s="658"/>
      <c r="AE249" s="658"/>
      <c r="AF249" s="658"/>
      <c r="AG249" s="658"/>
    </row>
    <row r="250" spans="1:33" x14ac:dyDescent="0.25">
      <c r="A250" s="396"/>
      <c r="B250" s="396"/>
      <c r="C250" s="396"/>
      <c r="D250" s="396"/>
      <c r="E250" s="396"/>
      <c r="F250" s="396"/>
      <c r="G250" s="396"/>
      <c r="H250" s="396"/>
      <c r="I250" s="396"/>
      <c r="J250" s="396"/>
      <c r="K250" s="396"/>
      <c r="L250" s="396"/>
      <c r="M250" s="396"/>
      <c r="N250" s="396"/>
      <c r="O250" s="396"/>
      <c r="P250" s="396"/>
      <c r="Q250" s="396"/>
      <c r="R250" s="396"/>
      <c r="S250" s="396"/>
      <c r="T250" s="396"/>
      <c r="U250" s="396"/>
      <c r="V250" s="396"/>
      <c r="W250" s="396"/>
      <c r="X250" s="396"/>
      <c r="Y250" s="396"/>
      <c r="Z250" s="396"/>
      <c r="AA250" s="396"/>
    </row>
    <row r="251" spans="1:33" x14ac:dyDescent="0.25">
      <c r="A251" s="396"/>
      <c r="B251" s="396"/>
      <c r="C251" s="396"/>
      <c r="D251" s="396"/>
      <c r="E251" s="396"/>
      <c r="F251" s="396"/>
      <c r="G251" s="396"/>
      <c r="H251" s="396"/>
      <c r="I251" s="396"/>
      <c r="J251" s="396"/>
      <c r="K251" s="396"/>
      <c r="L251" s="396"/>
      <c r="M251" s="396"/>
      <c r="N251" s="396"/>
      <c r="O251" s="396"/>
      <c r="P251" s="396"/>
      <c r="Q251" s="396"/>
      <c r="R251" s="396"/>
      <c r="S251" s="396"/>
      <c r="T251" s="396"/>
      <c r="U251" s="396"/>
      <c r="V251" s="396"/>
      <c r="W251" s="396"/>
      <c r="X251" s="396"/>
      <c r="Y251" s="396"/>
      <c r="Z251" s="396"/>
      <c r="AA251" s="396"/>
    </row>
    <row r="252" spans="1:33" x14ac:dyDescent="0.25">
      <c r="A252" s="396"/>
      <c r="B252" s="396"/>
      <c r="C252" s="396"/>
      <c r="D252" s="396"/>
      <c r="E252" s="396"/>
      <c r="F252" s="396"/>
      <c r="G252" s="396"/>
      <c r="H252" s="396"/>
      <c r="I252" s="396"/>
      <c r="J252" s="396"/>
      <c r="K252" s="396"/>
      <c r="L252" s="396"/>
      <c r="M252" s="396"/>
      <c r="N252" s="396"/>
      <c r="O252" s="396"/>
      <c r="P252" s="396"/>
      <c r="Q252" s="396"/>
      <c r="R252" s="396"/>
      <c r="S252" s="396"/>
      <c r="T252" s="396"/>
      <c r="U252" s="396"/>
      <c r="V252" s="396"/>
      <c r="W252" s="396"/>
      <c r="X252" s="396"/>
      <c r="Y252" s="396"/>
      <c r="Z252" s="396"/>
      <c r="AA252" s="396"/>
    </row>
    <row r="253" spans="1:33" x14ac:dyDescent="0.25">
      <c r="A253" s="396"/>
      <c r="B253" s="396"/>
      <c r="C253" s="396"/>
      <c r="D253" s="396"/>
      <c r="E253" s="396"/>
      <c r="F253" s="396"/>
      <c r="G253" s="396"/>
      <c r="H253" s="396"/>
      <c r="I253" s="396"/>
      <c r="J253" s="396"/>
      <c r="K253" s="396"/>
      <c r="L253" s="396"/>
      <c r="M253" s="396"/>
      <c r="N253" s="396"/>
      <c r="O253" s="396"/>
      <c r="P253" s="396"/>
      <c r="Q253" s="396"/>
      <c r="R253" s="396"/>
      <c r="S253" s="396"/>
      <c r="T253" s="396"/>
      <c r="U253" s="396"/>
      <c r="V253" s="396"/>
      <c r="W253" s="396"/>
      <c r="X253" s="396"/>
      <c r="Y253" s="396"/>
      <c r="Z253" s="396"/>
      <c r="AA253" s="396"/>
    </row>
    <row r="254" spans="1:33" x14ac:dyDescent="0.25">
      <c r="A254" s="396"/>
      <c r="B254" s="396"/>
      <c r="C254" s="396"/>
      <c r="D254" s="396"/>
      <c r="E254" s="396"/>
      <c r="F254" s="396"/>
      <c r="G254" s="396"/>
      <c r="H254" s="396"/>
      <c r="I254" s="396"/>
      <c r="J254" s="396"/>
      <c r="K254" s="396"/>
      <c r="L254" s="396"/>
      <c r="M254" s="396"/>
      <c r="N254" s="396"/>
      <c r="O254" s="396"/>
      <c r="P254" s="396"/>
      <c r="Q254" s="396"/>
      <c r="R254" s="396"/>
      <c r="S254" s="396"/>
      <c r="T254" s="396"/>
      <c r="U254" s="396"/>
      <c r="V254" s="396"/>
      <c r="W254" s="396"/>
      <c r="X254" s="396"/>
      <c r="Y254" s="396"/>
      <c r="Z254" s="396"/>
      <c r="AA254" s="396"/>
    </row>
    <row r="255" spans="1:33" x14ac:dyDescent="0.25">
      <c r="A255" s="396"/>
      <c r="B255" s="396"/>
      <c r="C255" s="396"/>
      <c r="D255" s="396"/>
      <c r="E255" s="396"/>
      <c r="F255" s="396"/>
      <c r="G255" s="396"/>
      <c r="H255" s="396"/>
      <c r="I255" s="396"/>
      <c r="J255" s="396"/>
      <c r="K255" s="396"/>
      <c r="L255" s="396"/>
      <c r="M255" s="396"/>
      <c r="N255" s="396"/>
      <c r="O255" s="396"/>
      <c r="P255" s="396"/>
      <c r="Q255" s="396"/>
      <c r="R255" s="396"/>
      <c r="S255" s="396"/>
      <c r="T255" s="396"/>
      <c r="U255" s="396"/>
      <c r="V255" s="396"/>
      <c r="W255" s="396"/>
      <c r="X255" s="396"/>
      <c r="Y255" s="396"/>
      <c r="Z255" s="396"/>
      <c r="AA255" s="396"/>
    </row>
    <row r="256" spans="1:33" x14ac:dyDescent="0.25">
      <c r="A256" s="396"/>
      <c r="B256" s="396"/>
      <c r="C256" s="396"/>
      <c r="D256" s="396"/>
      <c r="E256" s="396"/>
      <c r="F256" s="396"/>
      <c r="G256" s="396"/>
      <c r="H256" s="396"/>
      <c r="I256" s="396"/>
      <c r="J256" s="396"/>
      <c r="K256" s="396"/>
      <c r="L256" s="396"/>
      <c r="M256" s="396"/>
      <c r="N256" s="396"/>
      <c r="O256" s="396"/>
      <c r="P256" s="396"/>
      <c r="Q256" s="396"/>
      <c r="R256" s="396"/>
      <c r="S256" s="396"/>
      <c r="T256" s="396"/>
      <c r="U256" s="396"/>
      <c r="V256" s="396"/>
      <c r="W256" s="396"/>
      <c r="X256" s="396"/>
      <c r="Y256" s="396"/>
      <c r="Z256" s="396"/>
      <c r="AA256" s="396"/>
    </row>
    <row r="257" spans="1:27" x14ac:dyDescent="0.25">
      <c r="A257" s="396"/>
      <c r="B257" s="396"/>
      <c r="C257" s="396"/>
      <c r="D257" s="396"/>
      <c r="E257" s="396"/>
      <c r="F257" s="396"/>
      <c r="G257" s="396"/>
      <c r="H257" s="396"/>
      <c r="I257" s="396"/>
      <c r="J257" s="396"/>
      <c r="K257" s="396"/>
      <c r="L257" s="396"/>
      <c r="M257" s="396"/>
      <c r="N257" s="396"/>
      <c r="O257" s="396"/>
      <c r="P257" s="396"/>
      <c r="Q257" s="396"/>
      <c r="R257" s="396"/>
      <c r="S257" s="396"/>
      <c r="T257" s="396"/>
      <c r="U257" s="396"/>
      <c r="V257" s="396"/>
      <c r="W257" s="396"/>
      <c r="X257" s="396"/>
      <c r="Y257" s="396"/>
      <c r="Z257" s="396"/>
      <c r="AA257" s="396"/>
    </row>
    <row r="258" spans="1:27" x14ac:dyDescent="0.25">
      <c r="A258" s="396"/>
      <c r="B258" s="396"/>
      <c r="C258" s="396"/>
      <c r="D258" s="396"/>
      <c r="E258" s="396"/>
      <c r="F258" s="396"/>
      <c r="G258" s="396"/>
      <c r="H258" s="396"/>
      <c r="I258" s="396"/>
      <c r="J258" s="396"/>
      <c r="K258" s="396"/>
      <c r="L258" s="396"/>
      <c r="M258" s="396"/>
      <c r="N258" s="396"/>
      <c r="O258" s="396"/>
      <c r="P258" s="396"/>
      <c r="Q258" s="396"/>
      <c r="R258" s="396"/>
      <c r="S258" s="396"/>
      <c r="T258" s="396"/>
      <c r="U258" s="396"/>
      <c r="V258" s="396"/>
      <c r="W258" s="396"/>
      <c r="X258" s="396"/>
      <c r="Y258" s="396"/>
      <c r="Z258" s="396"/>
      <c r="AA258" s="396"/>
    </row>
    <row r="259" spans="1:27" x14ac:dyDescent="0.25">
      <c r="A259" s="396"/>
      <c r="B259" s="396"/>
      <c r="C259" s="396"/>
      <c r="D259" s="396"/>
      <c r="E259" s="396"/>
      <c r="F259" s="396"/>
      <c r="G259" s="396"/>
      <c r="H259" s="396"/>
      <c r="I259" s="396"/>
      <c r="J259" s="396"/>
      <c r="K259" s="396"/>
      <c r="L259" s="396"/>
      <c r="M259" s="396"/>
      <c r="N259" s="396"/>
      <c r="O259" s="396"/>
      <c r="P259" s="396"/>
      <c r="Q259" s="396"/>
      <c r="R259" s="396"/>
      <c r="S259" s="396"/>
      <c r="T259" s="396"/>
      <c r="U259" s="396"/>
      <c r="V259" s="396"/>
      <c r="W259" s="396"/>
      <c r="X259" s="396"/>
      <c r="Y259" s="396"/>
      <c r="Z259" s="396"/>
      <c r="AA259" s="396"/>
    </row>
    <row r="260" spans="1:27" x14ac:dyDescent="0.25">
      <c r="A260" s="396"/>
      <c r="B260" s="396"/>
      <c r="C260" s="396"/>
      <c r="D260" s="396"/>
      <c r="E260" s="396"/>
      <c r="F260" s="396"/>
      <c r="G260" s="396"/>
      <c r="H260" s="396"/>
      <c r="I260" s="396"/>
      <c r="J260" s="396"/>
      <c r="K260" s="396"/>
      <c r="L260" s="396"/>
      <c r="M260" s="396"/>
      <c r="N260" s="396"/>
      <c r="O260" s="396"/>
      <c r="P260" s="396"/>
      <c r="Q260" s="396"/>
      <c r="R260" s="396"/>
      <c r="S260" s="396"/>
      <c r="T260" s="396"/>
      <c r="U260" s="396"/>
      <c r="V260" s="396"/>
      <c r="W260" s="396"/>
      <c r="X260" s="396"/>
      <c r="Y260" s="396"/>
      <c r="Z260" s="396"/>
      <c r="AA260" s="396"/>
    </row>
    <row r="261" spans="1:27" x14ac:dyDescent="0.25">
      <c r="A261" s="396"/>
      <c r="B261" s="396"/>
      <c r="C261" s="396"/>
      <c r="D261" s="396"/>
      <c r="E261" s="396"/>
      <c r="F261" s="396"/>
      <c r="G261" s="396"/>
      <c r="H261" s="396"/>
      <c r="I261" s="396"/>
      <c r="J261" s="396"/>
      <c r="K261" s="396"/>
      <c r="L261" s="396"/>
      <c r="M261" s="396"/>
      <c r="N261" s="396"/>
      <c r="O261" s="396"/>
      <c r="P261" s="396"/>
      <c r="Q261" s="396"/>
      <c r="R261" s="396"/>
      <c r="S261" s="396"/>
      <c r="T261" s="396"/>
      <c r="U261" s="396"/>
      <c r="V261" s="396"/>
      <c r="W261" s="396"/>
      <c r="X261" s="396"/>
      <c r="Y261" s="396"/>
      <c r="Z261" s="396"/>
      <c r="AA261" s="396"/>
    </row>
    <row r="262" spans="1:27" x14ac:dyDescent="0.25">
      <c r="A262" s="396"/>
      <c r="B262" s="396"/>
      <c r="C262" s="396"/>
      <c r="D262" s="396"/>
      <c r="E262" s="396"/>
      <c r="F262" s="396"/>
      <c r="G262" s="396"/>
      <c r="H262" s="396"/>
      <c r="I262" s="396"/>
      <c r="J262" s="396"/>
      <c r="K262" s="396"/>
      <c r="L262" s="396"/>
      <c r="M262" s="396"/>
      <c r="N262" s="396"/>
      <c r="O262" s="396"/>
      <c r="P262" s="396"/>
      <c r="Q262" s="396"/>
      <c r="R262" s="396"/>
      <c r="S262" s="396"/>
      <c r="T262" s="396"/>
      <c r="U262" s="396"/>
      <c r="V262" s="396"/>
      <c r="W262" s="396"/>
      <c r="X262" s="396"/>
      <c r="Y262" s="396"/>
      <c r="Z262" s="396"/>
      <c r="AA262" s="396"/>
    </row>
    <row r="263" spans="1:27" x14ac:dyDescent="0.25">
      <c r="A263" s="396"/>
      <c r="B263" s="396"/>
      <c r="C263" s="396"/>
      <c r="D263" s="396"/>
      <c r="E263" s="396"/>
      <c r="F263" s="396"/>
      <c r="G263" s="396"/>
      <c r="H263" s="396"/>
      <c r="I263" s="396"/>
      <c r="J263" s="396"/>
      <c r="K263" s="396"/>
      <c r="L263" s="396"/>
      <c r="M263" s="396"/>
      <c r="N263" s="396"/>
      <c r="O263" s="396"/>
      <c r="P263" s="396"/>
      <c r="Q263" s="396"/>
      <c r="R263" s="396"/>
      <c r="S263" s="396"/>
      <c r="T263" s="396"/>
      <c r="U263" s="396"/>
      <c r="V263" s="396"/>
      <c r="W263" s="396"/>
      <c r="X263" s="396"/>
      <c r="Y263" s="396"/>
      <c r="Z263" s="396"/>
      <c r="AA263" s="396"/>
    </row>
    <row r="264" spans="1:27" x14ac:dyDescent="0.25">
      <c r="A264" s="396"/>
      <c r="B264" s="396"/>
      <c r="C264" s="396"/>
      <c r="D264" s="396"/>
      <c r="E264" s="396"/>
      <c r="F264" s="396"/>
      <c r="G264" s="396"/>
      <c r="H264" s="396"/>
      <c r="I264" s="396"/>
      <c r="J264" s="396"/>
      <c r="K264" s="396"/>
      <c r="L264" s="396"/>
      <c r="M264" s="396"/>
      <c r="N264" s="396"/>
      <c r="O264" s="396"/>
      <c r="P264" s="396"/>
      <c r="Q264" s="396"/>
      <c r="R264" s="396"/>
      <c r="S264" s="396"/>
      <c r="T264" s="396"/>
      <c r="U264" s="396"/>
      <c r="V264" s="396"/>
      <c r="W264" s="396"/>
      <c r="X264" s="396"/>
      <c r="Y264" s="396"/>
      <c r="Z264" s="396"/>
      <c r="AA264" s="396"/>
    </row>
    <row r="265" spans="1:27" x14ac:dyDescent="0.25">
      <c r="A265" s="396"/>
      <c r="B265" s="396"/>
      <c r="C265" s="396"/>
      <c r="D265" s="396"/>
      <c r="E265" s="396"/>
      <c r="F265" s="396"/>
      <c r="G265" s="396"/>
      <c r="H265" s="396"/>
      <c r="I265" s="396"/>
      <c r="J265" s="396"/>
      <c r="K265" s="396"/>
      <c r="L265" s="396"/>
      <c r="M265" s="396"/>
      <c r="N265" s="396"/>
      <c r="O265" s="396"/>
      <c r="P265" s="396"/>
      <c r="Q265" s="396"/>
      <c r="R265" s="396"/>
      <c r="S265" s="396"/>
      <c r="T265" s="396"/>
      <c r="U265" s="396"/>
      <c r="V265" s="396"/>
      <c r="W265" s="396"/>
      <c r="X265" s="396"/>
      <c r="Y265" s="396"/>
      <c r="Z265" s="396"/>
      <c r="AA265" s="396"/>
    </row>
    <row r="266" spans="1:27" x14ac:dyDescent="0.25">
      <c r="A266" s="396"/>
      <c r="B266" s="396"/>
      <c r="C266" s="396"/>
      <c r="D266" s="396"/>
      <c r="E266" s="396"/>
      <c r="F266" s="396"/>
      <c r="G266" s="396"/>
      <c r="H266" s="396"/>
      <c r="I266" s="396"/>
      <c r="J266" s="396"/>
      <c r="K266" s="396"/>
      <c r="L266" s="396"/>
      <c r="M266" s="396"/>
      <c r="N266" s="396"/>
      <c r="O266" s="396"/>
      <c r="P266" s="396"/>
      <c r="Q266" s="396"/>
      <c r="R266" s="396"/>
      <c r="S266" s="396"/>
      <c r="T266" s="396"/>
      <c r="U266" s="396"/>
      <c r="V266" s="396"/>
      <c r="W266" s="396"/>
      <c r="X266" s="396"/>
      <c r="Y266" s="396"/>
      <c r="Z266" s="396"/>
      <c r="AA266" s="396"/>
    </row>
    <row r="267" spans="1:27" x14ac:dyDescent="0.25">
      <c r="A267" s="396"/>
      <c r="B267" s="396"/>
      <c r="C267" s="396"/>
      <c r="D267" s="396"/>
      <c r="E267" s="396"/>
      <c r="F267" s="396"/>
      <c r="G267" s="396"/>
      <c r="H267" s="396"/>
      <c r="I267" s="396"/>
      <c r="J267" s="396"/>
      <c r="K267" s="396"/>
      <c r="L267" s="396"/>
      <c r="M267" s="396"/>
      <c r="N267" s="396"/>
      <c r="O267" s="396"/>
      <c r="P267" s="396"/>
      <c r="Q267" s="396"/>
      <c r="R267" s="396"/>
      <c r="S267" s="396"/>
      <c r="T267" s="396"/>
      <c r="U267" s="396"/>
      <c r="V267" s="396"/>
      <c r="W267" s="396"/>
      <c r="X267" s="396"/>
      <c r="Y267" s="396"/>
      <c r="Z267" s="396"/>
      <c r="AA267" s="396"/>
    </row>
    <row r="268" spans="1:27" x14ac:dyDescent="0.25">
      <c r="A268" s="396"/>
      <c r="B268" s="396"/>
      <c r="C268" s="396"/>
      <c r="D268" s="396"/>
      <c r="E268" s="396"/>
      <c r="F268" s="396"/>
      <c r="G268" s="396"/>
      <c r="H268" s="396"/>
      <c r="I268" s="396"/>
      <c r="J268" s="396"/>
      <c r="K268" s="396"/>
      <c r="L268" s="396"/>
      <c r="M268" s="396"/>
      <c r="N268" s="396"/>
      <c r="O268" s="396"/>
      <c r="P268" s="396"/>
      <c r="Q268" s="396"/>
      <c r="R268" s="396"/>
      <c r="S268" s="396"/>
      <c r="T268" s="396"/>
      <c r="U268" s="396"/>
      <c r="V268" s="396"/>
      <c r="W268" s="396"/>
      <c r="X268" s="396"/>
      <c r="Y268" s="396"/>
      <c r="Z268" s="396"/>
      <c r="AA268" s="396"/>
    </row>
    <row r="269" spans="1:27" x14ac:dyDescent="0.25">
      <c r="A269" s="396"/>
      <c r="B269" s="396"/>
      <c r="C269" s="396"/>
      <c r="D269" s="396"/>
      <c r="E269" s="396"/>
      <c r="F269" s="396"/>
      <c r="G269" s="396"/>
      <c r="H269" s="396"/>
      <c r="I269" s="396"/>
      <c r="J269" s="396"/>
      <c r="K269" s="396"/>
      <c r="L269" s="396"/>
      <c r="M269" s="396"/>
      <c r="N269" s="396"/>
      <c r="O269" s="396"/>
      <c r="P269" s="396"/>
      <c r="Q269" s="396"/>
      <c r="R269" s="396"/>
      <c r="S269" s="396"/>
      <c r="T269" s="396"/>
      <c r="U269" s="396"/>
      <c r="V269" s="396"/>
      <c r="W269" s="396"/>
      <c r="X269" s="396"/>
      <c r="Y269" s="396"/>
      <c r="Z269" s="396"/>
      <c r="AA269" s="396"/>
    </row>
    <row r="270" spans="1:27" x14ac:dyDescent="0.25">
      <c r="A270" s="396"/>
      <c r="B270" s="396"/>
      <c r="C270" s="396"/>
      <c r="D270" s="396"/>
      <c r="E270" s="396"/>
      <c r="F270" s="396"/>
      <c r="G270" s="396"/>
      <c r="H270" s="396"/>
      <c r="I270" s="396"/>
      <c r="J270" s="396"/>
      <c r="K270" s="396"/>
      <c r="L270" s="396"/>
      <c r="M270" s="396"/>
      <c r="N270" s="396"/>
      <c r="O270" s="396"/>
      <c r="P270" s="396"/>
      <c r="Q270" s="396"/>
      <c r="R270" s="396"/>
      <c r="S270" s="396"/>
      <c r="T270" s="396"/>
      <c r="U270" s="396"/>
      <c r="V270" s="396"/>
      <c r="W270" s="396"/>
      <c r="X270" s="396"/>
      <c r="Y270" s="396"/>
      <c r="Z270" s="396"/>
      <c r="AA270" s="396"/>
    </row>
    <row r="271" spans="1:27" x14ac:dyDescent="0.25">
      <c r="A271" s="396"/>
      <c r="B271" s="396"/>
      <c r="C271" s="396"/>
      <c r="D271" s="396"/>
      <c r="E271" s="396"/>
      <c r="F271" s="396"/>
      <c r="G271" s="396"/>
      <c r="H271" s="396"/>
      <c r="I271" s="396"/>
      <c r="J271" s="396"/>
      <c r="K271" s="396"/>
      <c r="L271" s="396"/>
      <c r="M271" s="396"/>
      <c r="N271" s="396"/>
      <c r="O271" s="396"/>
      <c r="P271" s="396"/>
      <c r="Q271" s="396"/>
      <c r="R271" s="396"/>
      <c r="S271" s="396"/>
      <c r="T271" s="396"/>
      <c r="U271" s="396"/>
      <c r="V271" s="396"/>
      <c r="W271" s="396"/>
      <c r="X271" s="396"/>
      <c r="Y271" s="396"/>
      <c r="Z271" s="396"/>
      <c r="AA271" s="396"/>
    </row>
    <row r="272" spans="1:27" x14ac:dyDescent="0.25">
      <c r="A272" s="396"/>
      <c r="B272" s="396"/>
      <c r="C272" s="396"/>
      <c r="D272" s="396"/>
      <c r="E272" s="396"/>
      <c r="F272" s="396"/>
      <c r="G272" s="396"/>
      <c r="H272" s="396"/>
      <c r="I272" s="396"/>
      <c r="J272" s="396"/>
      <c r="K272" s="396"/>
      <c r="L272" s="396"/>
      <c r="M272" s="396"/>
      <c r="N272" s="396"/>
      <c r="O272" s="396"/>
      <c r="P272" s="396"/>
      <c r="Q272" s="396"/>
      <c r="R272" s="396"/>
      <c r="S272" s="396"/>
      <c r="T272" s="396"/>
      <c r="U272" s="396"/>
      <c r="V272" s="396"/>
      <c r="W272" s="396"/>
      <c r="X272" s="396"/>
      <c r="Y272" s="396"/>
      <c r="Z272" s="396"/>
      <c r="AA272" s="396"/>
    </row>
    <row r="273" spans="1:27" x14ac:dyDescent="0.25">
      <c r="A273" s="396"/>
      <c r="B273" s="396"/>
      <c r="C273" s="396"/>
      <c r="D273" s="396"/>
      <c r="E273" s="396"/>
      <c r="F273" s="396"/>
      <c r="G273" s="396"/>
      <c r="H273" s="396"/>
      <c r="I273" s="396"/>
      <c r="J273" s="396"/>
      <c r="K273" s="396"/>
      <c r="L273" s="396"/>
      <c r="M273" s="396"/>
      <c r="N273" s="396"/>
      <c r="O273" s="396"/>
      <c r="P273" s="396"/>
      <c r="Q273" s="396"/>
      <c r="R273" s="396"/>
      <c r="S273" s="396"/>
      <c r="T273" s="396"/>
      <c r="U273" s="396"/>
      <c r="V273" s="396"/>
      <c r="W273" s="396"/>
      <c r="X273" s="396"/>
      <c r="Y273" s="396"/>
      <c r="Z273" s="396"/>
      <c r="AA273" s="396"/>
    </row>
    <row r="274" spans="1:27" x14ac:dyDescent="0.25">
      <c r="A274" s="396"/>
      <c r="B274" s="396"/>
      <c r="C274" s="396"/>
      <c r="D274" s="396"/>
      <c r="E274" s="396"/>
      <c r="F274" s="396"/>
      <c r="G274" s="396"/>
      <c r="H274" s="396"/>
      <c r="I274" s="396"/>
      <c r="J274" s="396"/>
      <c r="K274" s="396"/>
      <c r="L274" s="396"/>
      <c r="M274" s="396"/>
      <c r="N274" s="396"/>
      <c r="O274" s="396"/>
      <c r="P274" s="396"/>
      <c r="Q274" s="396"/>
      <c r="R274" s="396"/>
      <c r="S274" s="396"/>
      <c r="T274" s="396"/>
      <c r="U274" s="396"/>
      <c r="V274" s="396"/>
      <c r="W274" s="396"/>
      <c r="X274" s="396"/>
      <c r="Y274" s="396"/>
      <c r="Z274" s="396"/>
      <c r="AA274" s="396"/>
    </row>
    <row r="275" spans="1:27" x14ac:dyDescent="0.25">
      <c r="A275" s="396"/>
      <c r="B275" s="396"/>
      <c r="C275" s="396"/>
      <c r="D275" s="396"/>
      <c r="E275" s="396"/>
      <c r="F275" s="396"/>
      <c r="G275" s="396"/>
      <c r="H275" s="396"/>
      <c r="I275" s="396"/>
      <c r="J275" s="396"/>
      <c r="K275" s="396"/>
      <c r="L275" s="396"/>
      <c r="M275" s="396"/>
      <c r="N275" s="396"/>
      <c r="O275" s="396"/>
      <c r="P275" s="396"/>
      <c r="Q275" s="396"/>
      <c r="R275" s="396"/>
      <c r="S275" s="396"/>
      <c r="T275" s="396"/>
      <c r="U275" s="396"/>
      <c r="V275" s="396"/>
      <c r="W275" s="396"/>
      <c r="X275" s="396"/>
      <c r="Y275" s="396"/>
      <c r="Z275" s="396"/>
      <c r="AA275" s="396"/>
    </row>
    <row r="276" spans="1:27" x14ac:dyDescent="0.25">
      <c r="A276" s="396"/>
      <c r="B276" s="396"/>
      <c r="C276" s="396"/>
      <c r="D276" s="396"/>
      <c r="E276" s="396"/>
      <c r="F276" s="396"/>
      <c r="G276" s="396"/>
      <c r="H276" s="396"/>
      <c r="I276" s="396"/>
      <c r="J276" s="396"/>
      <c r="K276" s="396"/>
      <c r="L276" s="396"/>
      <c r="M276" s="396"/>
      <c r="N276" s="396"/>
      <c r="O276" s="396"/>
      <c r="P276" s="396"/>
      <c r="Q276" s="396"/>
      <c r="R276" s="396"/>
      <c r="S276" s="396"/>
      <c r="T276" s="396"/>
      <c r="U276" s="396"/>
      <c r="V276" s="396"/>
      <c r="W276" s="396"/>
      <c r="X276" s="396"/>
      <c r="Y276" s="396"/>
      <c r="Z276" s="396"/>
      <c r="AA276" s="396"/>
    </row>
    <row r="277" spans="1:27" x14ac:dyDescent="0.25">
      <c r="A277" s="396"/>
      <c r="B277" s="396"/>
      <c r="C277" s="396"/>
      <c r="D277" s="396"/>
      <c r="E277" s="396"/>
      <c r="F277" s="396"/>
      <c r="G277" s="396"/>
      <c r="H277" s="396"/>
      <c r="I277" s="396"/>
      <c r="J277" s="396"/>
      <c r="K277" s="396"/>
      <c r="L277" s="396"/>
      <c r="M277" s="396"/>
      <c r="N277" s="396"/>
      <c r="O277" s="396"/>
      <c r="P277" s="396"/>
      <c r="Q277" s="396"/>
      <c r="R277" s="396"/>
      <c r="S277" s="396"/>
      <c r="T277" s="396"/>
      <c r="U277" s="396"/>
      <c r="V277" s="396"/>
      <c r="W277" s="396"/>
      <c r="X277" s="396"/>
      <c r="Y277" s="396"/>
      <c r="Z277" s="396"/>
      <c r="AA277" s="396"/>
    </row>
    <row r="278" spans="1:27" x14ac:dyDescent="0.25">
      <c r="A278" s="396"/>
      <c r="B278" s="396"/>
      <c r="C278" s="396"/>
      <c r="D278" s="396"/>
      <c r="E278" s="396"/>
      <c r="F278" s="396"/>
      <c r="G278" s="396"/>
      <c r="H278" s="396"/>
      <c r="I278" s="396"/>
      <c r="J278" s="396"/>
      <c r="K278" s="396"/>
      <c r="L278" s="396"/>
      <c r="M278" s="396"/>
      <c r="N278" s="396"/>
      <c r="O278" s="396"/>
      <c r="P278" s="396"/>
      <c r="Q278" s="396"/>
      <c r="R278" s="396"/>
      <c r="S278" s="396"/>
      <c r="T278" s="396"/>
      <c r="U278" s="396"/>
      <c r="V278" s="396"/>
      <c r="W278" s="396"/>
      <c r="X278" s="396"/>
      <c r="Y278" s="396"/>
      <c r="Z278" s="396"/>
      <c r="AA278" s="396"/>
    </row>
    <row r="279" spans="1:27" x14ac:dyDescent="0.25">
      <c r="A279" s="396"/>
      <c r="B279" s="396"/>
      <c r="C279" s="396"/>
      <c r="D279" s="396"/>
      <c r="E279" s="396"/>
      <c r="F279" s="396"/>
      <c r="G279" s="396"/>
      <c r="H279" s="396"/>
      <c r="I279" s="396"/>
      <c r="J279" s="396"/>
      <c r="K279" s="396"/>
      <c r="L279" s="396"/>
      <c r="M279" s="396"/>
      <c r="N279" s="396"/>
      <c r="O279" s="396"/>
      <c r="P279" s="396"/>
      <c r="Q279" s="396"/>
      <c r="R279" s="396"/>
      <c r="S279" s="396"/>
      <c r="T279" s="396"/>
      <c r="U279" s="396"/>
      <c r="V279" s="396"/>
      <c r="W279" s="396"/>
      <c r="X279" s="396"/>
      <c r="Y279" s="396"/>
      <c r="Z279" s="396"/>
      <c r="AA279" s="396"/>
    </row>
    <row r="280" spans="1:27" x14ac:dyDescent="0.25">
      <c r="A280" s="396"/>
      <c r="B280" s="396"/>
      <c r="C280" s="396"/>
      <c r="D280" s="396"/>
      <c r="E280" s="396"/>
      <c r="F280" s="396"/>
      <c r="G280" s="396"/>
      <c r="H280" s="396"/>
      <c r="I280" s="396"/>
      <c r="J280" s="396"/>
      <c r="K280" s="396"/>
      <c r="L280" s="396"/>
      <c r="M280" s="396"/>
      <c r="N280" s="396"/>
      <c r="O280" s="396"/>
      <c r="P280" s="396"/>
      <c r="Q280" s="396"/>
      <c r="R280" s="396"/>
      <c r="S280" s="396"/>
      <c r="T280" s="396"/>
      <c r="U280" s="396"/>
      <c r="V280" s="396"/>
      <c r="W280" s="396"/>
      <c r="X280" s="396"/>
      <c r="Y280" s="396"/>
      <c r="Z280" s="396"/>
      <c r="AA280" s="396"/>
    </row>
    <row r="281" spans="1:27" x14ac:dyDescent="0.25">
      <c r="A281" s="396"/>
      <c r="B281" s="396"/>
      <c r="C281" s="396"/>
      <c r="D281" s="396"/>
      <c r="E281" s="396"/>
      <c r="F281" s="396"/>
      <c r="G281" s="396"/>
      <c r="H281" s="396"/>
      <c r="I281" s="396"/>
      <c r="J281" s="396"/>
      <c r="K281" s="396"/>
      <c r="L281" s="396"/>
      <c r="M281" s="396"/>
      <c r="N281" s="396"/>
      <c r="O281" s="396"/>
      <c r="P281" s="396"/>
      <c r="Q281" s="396"/>
      <c r="R281" s="396"/>
      <c r="S281" s="396"/>
      <c r="T281" s="396"/>
      <c r="U281" s="396"/>
      <c r="V281" s="396"/>
      <c r="W281" s="396"/>
      <c r="X281" s="396"/>
      <c r="Y281" s="396"/>
      <c r="Z281" s="396"/>
      <c r="AA281" s="396"/>
    </row>
    <row r="282" spans="1:27" x14ac:dyDescent="0.25">
      <c r="A282" s="396"/>
      <c r="B282" s="396"/>
      <c r="C282" s="396"/>
      <c r="D282" s="396"/>
      <c r="E282" s="396"/>
      <c r="F282" s="396"/>
      <c r="G282" s="396"/>
      <c r="H282" s="396"/>
      <c r="I282" s="396"/>
      <c r="J282" s="396"/>
      <c r="K282" s="396"/>
      <c r="L282" s="396"/>
      <c r="M282" s="396"/>
      <c r="N282" s="396"/>
      <c r="O282" s="396"/>
      <c r="P282" s="396"/>
      <c r="Q282" s="396"/>
      <c r="R282" s="396"/>
      <c r="S282" s="396"/>
      <c r="T282" s="396"/>
      <c r="U282" s="396"/>
      <c r="V282" s="396"/>
      <c r="W282" s="396"/>
      <c r="X282" s="396"/>
      <c r="Y282" s="396"/>
      <c r="Z282" s="396"/>
      <c r="AA282" s="396"/>
    </row>
    <row r="283" spans="1:27" x14ac:dyDescent="0.25">
      <c r="A283" s="396"/>
      <c r="B283" s="396"/>
      <c r="C283" s="396"/>
      <c r="D283" s="396"/>
      <c r="E283" s="396"/>
      <c r="F283" s="396"/>
      <c r="G283" s="396"/>
      <c r="H283" s="396"/>
      <c r="I283" s="396"/>
      <c r="J283" s="396"/>
      <c r="K283" s="396"/>
      <c r="L283" s="396"/>
      <c r="M283" s="396"/>
      <c r="N283" s="396"/>
      <c r="O283" s="396"/>
      <c r="P283" s="396"/>
      <c r="Q283" s="396"/>
      <c r="R283" s="396"/>
      <c r="S283" s="396"/>
      <c r="T283" s="396"/>
      <c r="U283" s="396"/>
      <c r="V283" s="396"/>
      <c r="W283" s="396"/>
      <c r="X283" s="396"/>
      <c r="Y283" s="396"/>
      <c r="Z283" s="396"/>
      <c r="AA283" s="396"/>
    </row>
    <row r="284" spans="1:27" x14ac:dyDescent="0.25">
      <c r="A284" s="396"/>
      <c r="B284" s="396"/>
      <c r="C284" s="396"/>
      <c r="D284" s="396"/>
      <c r="E284" s="396"/>
      <c r="F284" s="396"/>
      <c r="G284" s="396"/>
      <c r="H284" s="396"/>
      <c r="I284" s="396"/>
      <c r="J284" s="396"/>
      <c r="K284" s="396"/>
      <c r="L284" s="396"/>
      <c r="M284" s="396"/>
      <c r="N284" s="396"/>
      <c r="O284" s="396"/>
      <c r="P284" s="396"/>
      <c r="Q284" s="396"/>
      <c r="R284" s="396"/>
      <c r="S284" s="396"/>
      <c r="T284" s="396"/>
      <c r="U284" s="396"/>
      <c r="V284" s="396"/>
      <c r="W284" s="396"/>
      <c r="X284" s="396"/>
      <c r="Y284" s="396"/>
      <c r="Z284" s="396"/>
      <c r="AA284" s="396"/>
    </row>
    <row r="285" spans="1:27" x14ac:dyDescent="0.25">
      <c r="A285" s="396"/>
      <c r="B285" s="396"/>
      <c r="C285" s="396"/>
      <c r="D285" s="396"/>
      <c r="E285" s="396"/>
      <c r="F285" s="396"/>
      <c r="G285" s="396"/>
      <c r="H285" s="396"/>
      <c r="I285" s="396"/>
      <c r="J285" s="396"/>
      <c r="K285" s="396"/>
      <c r="L285" s="396"/>
      <c r="M285" s="396"/>
      <c r="N285" s="396"/>
      <c r="O285" s="396"/>
      <c r="P285" s="396"/>
      <c r="Q285" s="396"/>
      <c r="R285" s="396"/>
      <c r="S285" s="396"/>
      <c r="T285" s="396"/>
      <c r="U285" s="396"/>
      <c r="V285" s="396"/>
      <c r="W285" s="396"/>
      <c r="X285" s="396"/>
      <c r="Y285" s="396"/>
      <c r="Z285" s="396"/>
      <c r="AA285" s="396"/>
    </row>
    <row r="286" spans="1:27" x14ac:dyDescent="0.25">
      <c r="A286" s="396"/>
      <c r="B286" s="396"/>
      <c r="C286" s="396"/>
      <c r="D286" s="396"/>
      <c r="E286" s="396"/>
      <c r="F286" s="396"/>
      <c r="G286" s="396"/>
      <c r="H286" s="396"/>
      <c r="I286" s="396"/>
      <c r="J286" s="396"/>
      <c r="K286" s="396"/>
      <c r="L286" s="396"/>
      <c r="M286" s="396"/>
      <c r="N286" s="396"/>
      <c r="O286" s="396"/>
      <c r="P286" s="396"/>
      <c r="Q286" s="396"/>
      <c r="R286" s="396"/>
      <c r="S286" s="396"/>
      <c r="T286" s="396"/>
      <c r="U286" s="396"/>
      <c r="V286" s="396"/>
      <c r="W286" s="396"/>
      <c r="X286" s="396"/>
      <c r="Y286" s="396"/>
      <c r="Z286" s="396"/>
      <c r="AA286" s="396"/>
    </row>
    <row r="287" spans="1:27" x14ac:dyDescent="0.25">
      <c r="A287" s="396"/>
      <c r="B287" s="396"/>
      <c r="C287" s="396"/>
      <c r="D287" s="396"/>
      <c r="E287" s="396"/>
      <c r="F287" s="396"/>
      <c r="G287" s="396"/>
      <c r="H287" s="396"/>
      <c r="I287" s="396"/>
      <c r="J287" s="396"/>
      <c r="K287" s="396"/>
      <c r="L287" s="396"/>
      <c r="M287" s="396"/>
      <c r="N287" s="396"/>
      <c r="O287" s="396"/>
      <c r="P287" s="396"/>
      <c r="Q287" s="396"/>
      <c r="R287" s="396"/>
      <c r="S287" s="396"/>
      <c r="T287" s="396"/>
      <c r="U287" s="396"/>
      <c r="V287" s="396"/>
      <c r="W287" s="396"/>
      <c r="X287" s="396"/>
      <c r="Y287" s="396"/>
      <c r="Z287" s="396"/>
      <c r="AA287" s="396"/>
    </row>
    <row r="288" spans="1:27" x14ac:dyDescent="0.25">
      <c r="A288" s="396"/>
      <c r="B288" s="396"/>
      <c r="C288" s="396"/>
      <c r="D288" s="396"/>
      <c r="E288" s="396"/>
      <c r="F288" s="396"/>
      <c r="G288" s="396"/>
      <c r="H288" s="396"/>
      <c r="I288" s="396"/>
      <c r="J288" s="396"/>
      <c r="K288" s="396"/>
      <c r="L288" s="396"/>
      <c r="M288" s="396"/>
      <c r="N288" s="396"/>
      <c r="O288" s="396"/>
      <c r="P288" s="396"/>
      <c r="Q288" s="396"/>
      <c r="R288" s="396"/>
      <c r="S288" s="396"/>
      <c r="T288" s="396"/>
      <c r="U288" s="396"/>
      <c r="V288" s="396"/>
      <c r="W288" s="396"/>
      <c r="X288" s="396"/>
      <c r="Y288" s="396"/>
      <c r="Z288" s="396"/>
      <c r="AA288" s="396"/>
    </row>
    <row r="289" spans="1:27" x14ac:dyDescent="0.25">
      <c r="A289" s="396"/>
      <c r="B289" s="396"/>
      <c r="C289" s="396"/>
      <c r="D289" s="396"/>
      <c r="E289" s="396"/>
      <c r="F289" s="396"/>
      <c r="G289" s="396"/>
      <c r="H289" s="396"/>
      <c r="I289" s="396"/>
      <c r="J289" s="396"/>
      <c r="K289" s="396"/>
      <c r="L289" s="396"/>
      <c r="M289" s="396"/>
      <c r="N289" s="396"/>
      <c r="O289" s="396"/>
      <c r="P289" s="396"/>
      <c r="Q289" s="396"/>
      <c r="R289" s="396"/>
      <c r="S289" s="396"/>
      <c r="T289" s="396"/>
      <c r="U289" s="396"/>
      <c r="V289" s="396"/>
      <c r="W289" s="396"/>
      <c r="X289" s="396"/>
      <c r="Y289" s="396"/>
      <c r="Z289" s="396"/>
      <c r="AA289" s="396"/>
    </row>
    <row r="290" spans="1:27" x14ac:dyDescent="0.25">
      <c r="A290" s="396"/>
      <c r="B290" s="396"/>
      <c r="C290" s="396"/>
      <c r="D290" s="396"/>
      <c r="E290" s="396"/>
      <c r="F290" s="396"/>
      <c r="G290" s="396"/>
      <c r="H290" s="396"/>
      <c r="I290" s="396"/>
      <c r="J290" s="396"/>
      <c r="K290" s="396"/>
      <c r="L290" s="396"/>
      <c r="M290" s="396"/>
      <c r="N290" s="396"/>
      <c r="O290" s="396"/>
      <c r="P290" s="396"/>
      <c r="Q290" s="396"/>
      <c r="R290" s="396"/>
      <c r="S290" s="396"/>
      <c r="T290" s="396"/>
      <c r="U290" s="396"/>
      <c r="V290" s="396"/>
      <c r="W290" s="396"/>
      <c r="X290" s="396"/>
      <c r="Y290" s="396"/>
      <c r="Z290" s="396"/>
      <c r="AA290" s="396"/>
    </row>
    <row r="291" spans="1:27" x14ac:dyDescent="0.25">
      <c r="A291" s="396"/>
      <c r="B291" s="396"/>
      <c r="C291" s="396"/>
      <c r="D291" s="396"/>
      <c r="E291" s="396"/>
      <c r="F291" s="396"/>
      <c r="G291" s="396"/>
      <c r="H291" s="396"/>
      <c r="I291" s="396"/>
      <c r="J291" s="396"/>
      <c r="K291" s="396"/>
      <c r="L291" s="396"/>
      <c r="M291" s="396"/>
      <c r="N291" s="396"/>
      <c r="O291" s="396"/>
      <c r="P291" s="396"/>
      <c r="Q291" s="396"/>
      <c r="R291" s="396"/>
      <c r="S291" s="396"/>
      <c r="T291" s="396"/>
      <c r="U291" s="396"/>
      <c r="V291" s="396"/>
      <c r="W291" s="396"/>
      <c r="X291" s="396"/>
      <c r="Y291" s="396"/>
      <c r="Z291" s="396"/>
      <c r="AA291" s="396"/>
    </row>
    <row r="292" spans="1:27" x14ac:dyDescent="0.25">
      <c r="A292" s="396"/>
      <c r="B292" s="396"/>
      <c r="C292" s="396"/>
      <c r="D292" s="396"/>
      <c r="E292" s="396"/>
      <c r="F292" s="396"/>
      <c r="G292" s="396"/>
      <c r="H292" s="396"/>
      <c r="I292" s="396"/>
      <c r="J292" s="396"/>
      <c r="K292" s="396"/>
      <c r="L292" s="396"/>
      <c r="M292" s="396"/>
      <c r="N292" s="396"/>
      <c r="O292" s="396"/>
      <c r="P292" s="396"/>
      <c r="Q292" s="396"/>
      <c r="R292" s="396"/>
      <c r="S292" s="396"/>
      <c r="T292" s="396"/>
      <c r="U292" s="396"/>
      <c r="V292" s="396"/>
      <c r="W292" s="396"/>
      <c r="X292" s="396"/>
      <c r="Y292" s="396"/>
      <c r="Z292" s="396"/>
      <c r="AA292" s="396"/>
    </row>
    <row r="293" spans="1:27" x14ac:dyDescent="0.25">
      <c r="A293" s="396"/>
      <c r="B293" s="396"/>
      <c r="C293" s="396"/>
      <c r="D293" s="396"/>
      <c r="E293" s="396"/>
      <c r="F293" s="396"/>
      <c r="G293" s="396"/>
      <c r="H293" s="396"/>
      <c r="I293" s="396"/>
      <c r="J293" s="396"/>
      <c r="K293" s="396"/>
      <c r="L293" s="396"/>
      <c r="M293" s="396"/>
      <c r="N293" s="396"/>
      <c r="O293" s="396"/>
      <c r="P293" s="396"/>
      <c r="Q293" s="396"/>
      <c r="R293" s="396"/>
      <c r="S293" s="396"/>
      <c r="T293" s="396"/>
      <c r="U293" s="396"/>
      <c r="V293" s="396"/>
      <c r="W293" s="396"/>
      <c r="X293" s="396"/>
      <c r="Y293" s="396"/>
      <c r="Z293" s="396"/>
      <c r="AA293" s="396"/>
    </row>
    <row r="294" spans="1:27" x14ac:dyDescent="0.25">
      <c r="A294" s="396"/>
      <c r="B294" s="396"/>
      <c r="C294" s="396"/>
      <c r="D294" s="396"/>
      <c r="E294" s="396"/>
      <c r="F294" s="396"/>
      <c r="G294" s="396"/>
      <c r="H294" s="396"/>
      <c r="I294" s="396"/>
      <c r="J294" s="396"/>
      <c r="K294" s="396"/>
      <c r="L294" s="396"/>
      <c r="M294" s="396"/>
      <c r="N294" s="396"/>
      <c r="O294" s="396"/>
      <c r="P294" s="396"/>
      <c r="Q294" s="396"/>
      <c r="R294" s="396"/>
      <c r="S294" s="396"/>
      <c r="T294" s="396"/>
      <c r="U294" s="396"/>
      <c r="V294" s="396"/>
      <c r="W294" s="396"/>
      <c r="X294" s="396"/>
      <c r="Y294" s="396"/>
      <c r="Z294" s="396"/>
      <c r="AA294" s="396"/>
    </row>
    <row r="295" spans="1:27" x14ac:dyDescent="0.25">
      <c r="A295" s="396"/>
      <c r="B295" s="396"/>
      <c r="C295" s="396"/>
      <c r="D295" s="396"/>
      <c r="E295" s="396"/>
      <c r="F295" s="396"/>
      <c r="G295" s="396"/>
      <c r="H295" s="396"/>
      <c r="I295" s="396"/>
      <c r="J295" s="396"/>
      <c r="K295" s="396"/>
      <c r="L295" s="396"/>
      <c r="M295" s="396"/>
      <c r="N295" s="396"/>
      <c r="O295" s="396"/>
      <c r="P295" s="396"/>
      <c r="Q295" s="396"/>
      <c r="R295" s="396"/>
      <c r="S295" s="396"/>
      <c r="T295" s="396"/>
      <c r="U295" s="396"/>
      <c r="V295" s="396"/>
      <c r="W295" s="396"/>
      <c r="X295" s="396"/>
      <c r="Y295" s="396"/>
      <c r="Z295" s="396"/>
      <c r="AA295" s="396"/>
    </row>
    <row r="296" spans="1:27" x14ac:dyDescent="0.25">
      <c r="A296" s="396"/>
      <c r="B296" s="396"/>
      <c r="C296" s="396"/>
      <c r="D296" s="396"/>
      <c r="E296" s="396"/>
      <c r="F296" s="396"/>
      <c r="G296" s="396"/>
      <c r="H296" s="396"/>
      <c r="I296" s="396"/>
      <c r="J296" s="396"/>
      <c r="K296" s="396"/>
      <c r="L296" s="396"/>
      <c r="M296" s="396"/>
      <c r="N296" s="396"/>
      <c r="O296" s="396"/>
      <c r="P296" s="396"/>
      <c r="Q296" s="396"/>
      <c r="R296" s="396"/>
      <c r="S296" s="396"/>
      <c r="T296" s="396"/>
      <c r="U296" s="396"/>
      <c r="V296" s="396"/>
      <c r="W296" s="396"/>
      <c r="X296" s="396"/>
      <c r="Y296" s="396"/>
      <c r="Z296" s="396"/>
      <c r="AA296" s="396"/>
    </row>
    <row r="297" spans="1:27" x14ac:dyDescent="0.25">
      <c r="A297" s="396"/>
      <c r="B297" s="396"/>
      <c r="C297" s="396"/>
      <c r="D297" s="396"/>
      <c r="E297" s="396"/>
      <c r="F297" s="396"/>
      <c r="G297" s="396"/>
      <c r="H297" s="396"/>
      <c r="I297" s="396"/>
      <c r="J297" s="396"/>
      <c r="K297" s="396"/>
      <c r="L297" s="396"/>
      <c r="M297" s="396"/>
      <c r="N297" s="396"/>
      <c r="O297" s="396"/>
      <c r="P297" s="396"/>
      <c r="Q297" s="396"/>
      <c r="R297" s="396"/>
      <c r="S297" s="396"/>
      <c r="T297" s="396"/>
      <c r="U297" s="396"/>
      <c r="V297" s="396"/>
      <c r="W297" s="396"/>
      <c r="X297" s="396"/>
      <c r="Y297" s="396"/>
      <c r="Z297" s="396"/>
      <c r="AA297" s="396"/>
    </row>
    <row r="298" spans="1:27" x14ac:dyDescent="0.25">
      <c r="A298" s="396"/>
      <c r="B298" s="396"/>
      <c r="C298" s="396"/>
      <c r="D298" s="396"/>
      <c r="E298" s="396"/>
      <c r="F298" s="396"/>
      <c r="G298" s="396"/>
      <c r="H298" s="396"/>
      <c r="I298" s="396"/>
      <c r="J298" s="396"/>
      <c r="K298" s="396"/>
      <c r="L298" s="396"/>
      <c r="M298" s="396"/>
      <c r="N298" s="396"/>
      <c r="O298" s="396"/>
      <c r="P298" s="396"/>
      <c r="Q298" s="396"/>
      <c r="R298" s="396"/>
      <c r="S298" s="396"/>
      <c r="T298" s="396"/>
      <c r="U298" s="396"/>
      <c r="V298" s="396"/>
      <c r="W298" s="396"/>
      <c r="X298" s="396"/>
      <c r="Y298" s="396"/>
      <c r="Z298" s="396"/>
      <c r="AA298" s="396"/>
    </row>
    <row r="299" spans="1:27" x14ac:dyDescent="0.25">
      <c r="A299" s="396"/>
      <c r="B299" s="396"/>
      <c r="C299" s="396"/>
      <c r="D299" s="396"/>
      <c r="E299" s="396"/>
      <c r="F299" s="396"/>
      <c r="G299" s="396"/>
      <c r="H299" s="396"/>
      <c r="I299" s="396"/>
      <c r="J299" s="396"/>
      <c r="K299" s="396"/>
      <c r="L299" s="396"/>
      <c r="M299" s="396"/>
      <c r="N299" s="396"/>
      <c r="O299" s="396"/>
      <c r="P299" s="396"/>
      <c r="Q299" s="396"/>
      <c r="R299" s="396"/>
      <c r="S299" s="396"/>
      <c r="T299" s="396"/>
      <c r="U299" s="396"/>
      <c r="V299" s="396"/>
      <c r="W299" s="396"/>
      <c r="X299" s="396"/>
      <c r="Y299" s="396"/>
      <c r="Z299" s="396"/>
      <c r="AA299" s="396"/>
    </row>
    <row r="300" spans="1:27" x14ac:dyDescent="0.25">
      <c r="A300" s="396"/>
      <c r="B300" s="396"/>
      <c r="C300" s="396"/>
      <c r="D300" s="396"/>
      <c r="E300" s="396"/>
      <c r="F300" s="396"/>
      <c r="G300" s="396"/>
      <c r="H300" s="396"/>
      <c r="I300" s="396"/>
      <c r="J300" s="396"/>
      <c r="K300" s="396"/>
      <c r="L300" s="396"/>
      <c r="M300" s="396"/>
      <c r="N300" s="396"/>
      <c r="O300" s="396"/>
      <c r="P300" s="396"/>
      <c r="Q300" s="396"/>
      <c r="R300" s="396"/>
      <c r="S300" s="396"/>
      <c r="T300" s="396"/>
      <c r="U300" s="396"/>
      <c r="V300" s="396"/>
      <c r="W300" s="396"/>
      <c r="X300" s="396"/>
      <c r="Y300" s="396"/>
      <c r="Z300" s="396"/>
      <c r="AA300" s="396"/>
    </row>
    <row r="301" spans="1:27" x14ac:dyDescent="0.25">
      <c r="A301" s="396"/>
      <c r="B301" s="396"/>
      <c r="C301" s="396"/>
      <c r="D301" s="396"/>
      <c r="E301" s="396"/>
      <c r="F301" s="396"/>
      <c r="G301" s="396"/>
      <c r="H301" s="396"/>
      <c r="I301" s="396"/>
      <c r="J301" s="396"/>
      <c r="K301" s="396"/>
      <c r="L301" s="396"/>
      <c r="M301" s="396"/>
      <c r="N301" s="396"/>
      <c r="O301" s="396"/>
      <c r="P301" s="396"/>
      <c r="Q301" s="396"/>
      <c r="R301" s="396"/>
      <c r="S301" s="396"/>
      <c r="T301" s="396"/>
      <c r="U301" s="396"/>
      <c r="V301" s="396"/>
      <c r="W301" s="396"/>
      <c r="X301" s="396"/>
      <c r="Y301" s="396"/>
      <c r="Z301" s="396"/>
      <c r="AA301" s="396"/>
    </row>
    <row r="302" spans="1:27" x14ac:dyDescent="0.25">
      <c r="A302" s="396"/>
      <c r="B302" s="396"/>
      <c r="C302" s="396"/>
      <c r="D302" s="396"/>
      <c r="E302" s="396"/>
      <c r="F302" s="396"/>
      <c r="G302" s="396"/>
      <c r="H302" s="396"/>
      <c r="I302" s="396"/>
      <c r="J302" s="396"/>
      <c r="K302" s="396"/>
      <c r="L302" s="396"/>
      <c r="M302" s="396"/>
      <c r="N302" s="396"/>
      <c r="O302" s="396"/>
      <c r="P302" s="396"/>
      <c r="Q302" s="396"/>
      <c r="R302" s="396"/>
      <c r="S302" s="396"/>
      <c r="T302" s="396"/>
      <c r="U302" s="396"/>
      <c r="V302" s="396"/>
      <c r="W302" s="396"/>
      <c r="X302" s="396"/>
      <c r="Y302" s="396"/>
      <c r="Z302" s="396"/>
      <c r="AA302" s="396"/>
    </row>
    <row r="303" spans="1:27" x14ac:dyDescent="0.25">
      <c r="A303" s="396"/>
      <c r="B303" s="396"/>
      <c r="C303" s="396"/>
      <c r="D303" s="396"/>
      <c r="E303" s="396"/>
      <c r="F303" s="396"/>
      <c r="G303" s="396"/>
      <c r="H303" s="396"/>
      <c r="I303" s="396"/>
      <c r="J303" s="396"/>
      <c r="K303" s="396"/>
      <c r="L303" s="396"/>
      <c r="M303" s="396"/>
      <c r="N303" s="396"/>
      <c r="O303" s="396"/>
      <c r="P303" s="396"/>
      <c r="Q303" s="396"/>
      <c r="R303" s="396"/>
      <c r="S303" s="396"/>
      <c r="T303" s="396"/>
      <c r="U303" s="396"/>
      <c r="V303" s="396"/>
      <c r="W303" s="396"/>
      <c r="X303" s="396"/>
      <c r="Y303" s="396"/>
      <c r="Z303" s="396"/>
      <c r="AA303" s="396"/>
    </row>
    <row r="304" spans="1:27" x14ac:dyDescent="0.25">
      <c r="A304" s="396"/>
      <c r="B304" s="396"/>
      <c r="C304" s="396"/>
      <c r="D304" s="396"/>
      <c r="E304" s="396"/>
      <c r="F304" s="396"/>
      <c r="G304" s="396"/>
      <c r="H304" s="396"/>
      <c r="I304" s="396"/>
      <c r="J304" s="396"/>
      <c r="K304" s="396"/>
      <c r="L304" s="396"/>
      <c r="M304" s="396"/>
      <c r="N304" s="396"/>
      <c r="O304" s="396"/>
      <c r="P304" s="396"/>
      <c r="Q304" s="396"/>
      <c r="R304" s="396"/>
      <c r="S304" s="396"/>
      <c r="T304" s="396"/>
      <c r="U304" s="396"/>
      <c r="V304" s="396"/>
      <c r="W304" s="396"/>
      <c r="X304" s="396"/>
      <c r="Y304" s="396"/>
      <c r="Z304" s="396"/>
      <c r="AA304" s="396"/>
    </row>
    <row r="305" spans="1:27" x14ac:dyDescent="0.25">
      <c r="A305" s="396"/>
      <c r="B305" s="396"/>
      <c r="C305" s="396"/>
      <c r="D305" s="396"/>
      <c r="E305" s="396"/>
      <c r="F305" s="396"/>
      <c r="G305" s="396"/>
      <c r="H305" s="396"/>
      <c r="I305" s="396"/>
      <c r="J305" s="396"/>
      <c r="K305" s="396"/>
      <c r="L305" s="396"/>
      <c r="M305" s="396"/>
      <c r="N305" s="396"/>
      <c r="O305" s="396"/>
      <c r="P305" s="396"/>
      <c r="Q305" s="396"/>
      <c r="R305" s="396"/>
      <c r="S305" s="396"/>
      <c r="T305" s="396"/>
      <c r="U305" s="396"/>
      <c r="V305" s="396"/>
      <c r="W305" s="396"/>
      <c r="X305" s="396"/>
      <c r="Y305" s="396"/>
      <c r="Z305" s="396"/>
      <c r="AA305" s="396"/>
    </row>
    <row r="306" spans="1:27" x14ac:dyDescent="0.25">
      <c r="A306" s="396"/>
      <c r="B306" s="396"/>
      <c r="C306" s="396"/>
      <c r="D306" s="396"/>
      <c r="E306" s="396"/>
      <c r="F306" s="396"/>
      <c r="G306" s="396"/>
      <c r="H306" s="396"/>
      <c r="I306" s="396"/>
      <c r="J306" s="396"/>
      <c r="K306" s="396"/>
      <c r="L306" s="396"/>
      <c r="M306" s="396"/>
      <c r="N306" s="396"/>
      <c r="O306" s="396"/>
      <c r="P306" s="396"/>
      <c r="Q306" s="396"/>
      <c r="R306" s="396"/>
      <c r="S306" s="396"/>
      <c r="T306" s="396"/>
      <c r="U306" s="396"/>
      <c r="V306" s="396"/>
      <c r="W306" s="396"/>
      <c r="X306" s="396"/>
      <c r="Y306" s="396"/>
      <c r="Z306" s="396"/>
      <c r="AA306" s="396"/>
    </row>
    <row r="307" spans="1:27" x14ac:dyDescent="0.25">
      <c r="A307" s="396"/>
      <c r="B307" s="396"/>
      <c r="C307" s="396"/>
      <c r="D307" s="396"/>
      <c r="E307" s="396"/>
      <c r="F307" s="396"/>
      <c r="G307" s="396"/>
      <c r="H307" s="396"/>
      <c r="I307" s="396"/>
      <c r="J307" s="396"/>
      <c r="K307" s="396"/>
      <c r="L307" s="396"/>
      <c r="M307" s="396"/>
      <c r="N307" s="396"/>
      <c r="O307" s="396"/>
      <c r="P307" s="396"/>
      <c r="Q307" s="396"/>
      <c r="R307" s="396"/>
      <c r="S307" s="396"/>
      <c r="T307" s="396"/>
      <c r="U307" s="396"/>
      <c r="V307" s="396"/>
      <c r="W307" s="396"/>
      <c r="X307" s="396"/>
      <c r="Y307" s="396"/>
      <c r="Z307" s="396"/>
      <c r="AA307" s="396"/>
    </row>
    <row r="308" spans="1:27" x14ac:dyDescent="0.25">
      <c r="A308" s="396"/>
      <c r="B308" s="396"/>
      <c r="C308" s="396"/>
      <c r="D308" s="396"/>
      <c r="E308" s="396"/>
      <c r="F308" s="396"/>
      <c r="G308" s="396"/>
      <c r="H308" s="396"/>
      <c r="I308" s="396"/>
      <c r="J308" s="396"/>
      <c r="K308" s="396"/>
      <c r="L308" s="396"/>
      <c r="M308" s="396"/>
      <c r="N308" s="396"/>
      <c r="O308" s="396"/>
      <c r="P308" s="396"/>
      <c r="Q308" s="396"/>
      <c r="R308" s="396"/>
      <c r="S308" s="396"/>
      <c r="T308" s="396"/>
      <c r="U308" s="396"/>
      <c r="V308" s="396"/>
      <c r="W308" s="396"/>
      <c r="X308" s="396"/>
      <c r="Y308" s="396"/>
      <c r="Z308" s="396"/>
      <c r="AA308" s="396"/>
    </row>
    <row r="309" spans="1:27" x14ac:dyDescent="0.25">
      <c r="A309" s="396"/>
      <c r="B309" s="396"/>
      <c r="C309" s="396"/>
      <c r="D309" s="396"/>
      <c r="E309" s="396"/>
      <c r="F309" s="396"/>
      <c r="G309" s="396"/>
      <c r="H309" s="396"/>
      <c r="I309" s="396"/>
      <c r="J309" s="396"/>
      <c r="K309" s="396"/>
      <c r="L309" s="396"/>
      <c r="M309" s="396"/>
      <c r="N309" s="396"/>
      <c r="O309" s="396"/>
      <c r="P309" s="396"/>
      <c r="Q309" s="396"/>
      <c r="R309" s="396"/>
      <c r="S309" s="396"/>
      <c r="T309" s="396"/>
      <c r="U309" s="396"/>
      <c r="V309" s="396"/>
      <c r="W309" s="396"/>
      <c r="X309" s="396"/>
      <c r="Y309" s="396"/>
      <c r="Z309" s="396"/>
      <c r="AA309" s="396"/>
    </row>
    <row r="310" spans="1:27" x14ac:dyDescent="0.25">
      <c r="A310" s="396"/>
      <c r="B310" s="396"/>
      <c r="C310" s="396"/>
      <c r="D310" s="396"/>
      <c r="E310" s="396"/>
      <c r="F310" s="396"/>
      <c r="G310" s="396"/>
      <c r="H310" s="396"/>
      <c r="I310" s="396"/>
      <c r="J310" s="396"/>
      <c r="K310" s="396"/>
      <c r="L310" s="396"/>
      <c r="M310" s="396"/>
      <c r="N310" s="396"/>
      <c r="O310" s="396"/>
      <c r="P310" s="396"/>
      <c r="Q310" s="396"/>
      <c r="R310" s="396"/>
      <c r="S310" s="396"/>
      <c r="T310" s="396"/>
      <c r="U310" s="396"/>
      <c r="V310" s="396"/>
      <c r="W310" s="396"/>
      <c r="X310" s="396"/>
      <c r="Y310" s="396"/>
      <c r="Z310" s="396"/>
      <c r="AA310" s="396"/>
    </row>
    <row r="311" spans="1:27" x14ac:dyDescent="0.25">
      <c r="A311" s="396"/>
      <c r="B311" s="396"/>
      <c r="C311" s="396"/>
      <c r="D311" s="396"/>
      <c r="E311" s="396"/>
      <c r="F311" s="396"/>
      <c r="G311" s="396"/>
      <c r="H311" s="396"/>
      <c r="I311" s="396"/>
      <c r="J311" s="396"/>
      <c r="K311" s="396"/>
      <c r="L311" s="396"/>
      <c r="M311" s="396"/>
      <c r="N311" s="396"/>
      <c r="O311" s="396"/>
      <c r="P311" s="396"/>
      <c r="Q311" s="396"/>
      <c r="R311" s="396"/>
      <c r="S311" s="396"/>
      <c r="T311" s="396"/>
      <c r="U311" s="396"/>
      <c r="V311" s="396"/>
      <c r="W311" s="396"/>
      <c r="X311" s="396"/>
      <c r="Y311" s="396"/>
      <c r="Z311" s="396"/>
      <c r="AA311" s="396"/>
    </row>
    <row r="312" spans="1:27" x14ac:dyDescent="0.25">
      <c r="A312" s="396"/>
      <c r="B312" s="396"/>
      <c r="C312" s="396"/>
      <c r="D312" s="396"/>
      <c r="E312" s="396"/>
      <c r="F312" s="396"/>
      <c r="G312" s="396"/>
      <c r="H312" s="396"/>
      <c r="I312" s="396"/>
      <c r="J312" s="396"/>
      <c r="K312" s="396"/>
      <c r="L312" s="396"/>
      <c r="M312" s="396"/>
      <c r="N312" s="396"/>
      <c r="O312" s="396"/>
      <c r="P312" s="396"/>
      <c r="Q312" s="396"/>
      <c r="R312" s="396"/>
      <c r="S312" s="396"/>
      <c r="T312" s="396"/>
      <c r="U312" s="396"/>
      <c r="V312" s="396"/>
      <c r="W312" s="396"/>
      <c r="X312" s="396"/>
      <c r="Y312" s="396"/>
      <c r="Z312" s="396"/>
      <c r="AA312" s="396"/>
    </row>
    <row r="313" spans="1:27" x14ac:dyDescent="0.25">
      <c r="A313" s="396"/>
      <c r="B313" s="396"/>
      <c r="C313" s="396"/>
      <c r="D313" s="396"/>
      <c r="E313" s="396"/>
      <c r="F313" s="396"/>
      <c r="G313" s="396"/>
      <c r="H313" s="396"/>
      <c r="I313" s="396"/>
      <c r="J313" s="396"/>
      <c r="K313" s="396"/>
      <c r="L313" s="396"/>
      <c r="M313" s="396"/>
      <c r="N313" s="396"/>
      <c r="O313" s="396"/>
      <c r="P313" s="396"/>
      <c r="Q313" s="396"/>
      <c r="R313" s="396"/>
      <c r="S313" s="396"/>
      <c r="T313" s="396"/>
      <c r="U313" s="396"/>
      <c r="V313" s="396"/>
      <c r="W313" s="396"/>
      <c r="X313" s="396"/>
      <c r="Y313" s="396"/>
      <c r="Z313" s="396"/>
      <c r="AA313" s="396"/>
    </row>
    <row r="314" spans="1:27" x14ac:dyDescent="0.25">
      <c r="A314" s="396"/>
      <c r="B314" s="396"/>
      <c r="C314" s="396"/>
      <c r="D314" s="396"/>
      <c r="E314" s="396"/>
      <c r="F314" s="396"/>
      <c r="G314" s="396"/>
      <c r="H314" s="396"/>
      <c r="I314" s="396"/>
      <c r="J314" s="396"/>
      <c r="K314" s="396"/>
      <c r="L314" s="396"/>
      <c r="M314" s="396"/>
      <c r="N314" s="396"/>
      <c r="O314" s="396"/>
      <c r="P314" s="396"/>
      <c r="Q314" s="396"/>
      <c r="R314" s="396"/>
      <c r="S314" s="396"/>
      <c r="T314" s="396"/>
      <c r="U314" s="396"/>
      <c r="V314" s="396"/>
      <c r="W314" s="396"/>
      <c r="X314" s="396"/>
      <c r="Y314" s="396"/>
      <c r="Z314" s="396"/>
      <c r="AA314" s="396"/>
    </row>
    <row r="315" spans="1:27" x14ac:dyDescent="0.25">
      <c r="A315" s="396"/>
      <c r="B315" s="396"/>
      <c r="C315" s="396"/>
      <c r="D315" s="396"/>
      <c r="E315" s="396"/>
      <c r="F315" s="396"/>
      <c r="G315" s="396"/>
      <c r="H315" s="396"/>
      <c r="I315" s="396"/>
      <c r="J315" s="396"/>
      <c r="K315" s="396"/>
      <c r="L315" s="396"/>
      <c r="M315" s="396"/>
      <c r="N315" s="396"/>
      <c r="O315" s="396"/>
      <c r="P315" s="396"/>
      <c r="Q315" s="396"/>
      <c r="R315" s="396"/>
      <c r="S315" s="396"/>
      <c r="T315" s="396"/>
      <c r="U315" s="396"/>
      <c r="V315" s="396"/>
      <c r="W315" s="396"/>
      <c r="X315" s="396"/>
      <c r="Y315" s="396"/>
      <c r="Z315" s="396"/>
      <c r="AA315" s="396"/>
    </row>
    <row r="316" spans="1:27" x14ac:dyDescent="0.25">
      <c r="A316" s="396"/>
      <c r="B316" s="396"/>
      <c r="C316" s="396"/>
      <c r="D316" s="396"/>
      <c r="E316" s="396"/>
      <c r="F316" s="396"/>
      <c r="G316" s="396"/>
      <c r="H316" s="396"/>
      <c r="I316" s="396"/>
      <c r="J316" s="396"/>
      <c r="K316" s="396"/>
      <c r="L316" s="396"/>
      <c r="M316" s="396"/>
      <c r="N316" s="396"/>
      <c r="O316" s="396"/>
      <c r="P316" s="396"/>
      <c r="Q316" s="396"/>
      <c r="R316" s="396"/>
      <c r="S316" s="396"/>
      <c r="T316" s="396"/>
      <c r="U316" s="396"/>
      <c r="V316" s="396"/>
      <c r="W316" s="396"/>
      <c r="X316" s="396"/>
      <c r="Y316" s="396"/>
      <c r="Z316" s="396"/>
      <c r="AA316" s="396"/>
    </row>
    <row r="317" spans="1:27" x14ac:dyDescent="0.25">
      <c r="A317" s="396"/>
      <c r="B317" s="396"/>
      <c r="C317" s="396"/>
      <c r="D317" s="396"/>
      <c r="E317" s="396"/>
      <c r="F317" s="396"/>
      <c r="G317" s="396"/>
      <c r="H317" s="396"/>
      <c r="I317" s="396"/>
      <c r="J317" s="396"/>
      <c r="K317" s="396"/>
      <c r="L317" s="396"/>
      <c r="M317" s="396"/>
      <c r="N317" s="396"/>
      <c r="O317" s="396"/>
      <c r="P317" s="396"/>
      <c r="Q317" s="396"/>
      <c r="R317" s="396"/>
      <c r="S317" s="396"/>
      <c r="T317" s="396"/>
      <c r="U317" s="396"/>
      <c r="V317" s="396"/>
      <c r="W317" s="396"/>
      <c r="X317" s="396"/>
      <c r="Y317" s="396"/>
      <c r="Z317" s="396"/>
      <c r="AA317" s="396"/>
    </row>
    <row r="318" spans="1:27" x14ac:dyDescent="0.25">
      <c r="A318" s="396"/>
      <c r="B318" s="396"/>
      <c r="C318" s="396"/>
      <c r="D318" s="396"/>
      <c r="E318" s="396"/>
      <c r="F318" s="396"/>
      <c r="G318" s="396"/>
      <c r="H318" s="396"/>
      <c r="I318" s="396"/>
      <c r="J318" s="396"/>
      <c r="K318" s="396"/>
      <c r="L318" s="396"/>
      <c r="M318" s="396"/>
      <c r="N318" s="396"/>
      <c r="O318" s="396"/>
      <c r="P318" s="396"/>
      <c r="Q318" s="396"/>
      <c r="R318" s="396"/>
      <c r="S318" s="396"/>
      <c r="T318" s="396"/>
      <c r="U318" s="396"/>
      <c r="V318" s="396"/>
      <c r="W318" s="396"/>
      <c r="X318" s="396"/>
      <c r="Y318" s="396"/>
      <c r="Z318" s="396"/>
      <c r="AA318" s="396"/>
    </row>
    <row r="319" spans="1:27" x14ac:dyDescent="0.25">
      <c r="A319" s="396"/>
      <c r="B319" s="396"/>
      <c r="C319" s="396"/>
      <c r="D319" s="396"/>
      <c r="E319" s="396"/>
      <c r="F319" s="396"/>
      <c r="G319" s="396"/>
      <c r="H319" s="396"/>
      <c r="I319" s="396"/>
      <c r="J319" s="396"/>
      <c r="K319" s="396"/>
      <c r="L319" s="396"/>
      <c r="M319" s="396"/>
      <c r="N319" s="396"/>
      <c r="O319" s="396"/>
      <c r="P319" s="396"/>
      <c r="Q319" s="396"/>
      <c r="R319" s="396"/>
      <c r="S319" s="396"/>
      <c r="T319" s="396"/>
      <c r="U319" s="396"/>
      <c r="V319" s="396"/>
      <c r="W319" s="396"/>
      <c r="X319" s="396"/>
      <c r="Y319" s="396"/>
      <c r="Z319" s="396"/>
      <c r="AA319" s="396"/>
    </row>
    <row r="320" spans="1:27" x14ac:dyDescent="0.25">
      <c r="A320" s="396"/>
      <c r="B320" s="396"/>
      <c r="C320" s="396"/>
      <c r="D320" s="396"/>
      <c r="E320" s="396"/>
      <c r="F320" s="396"/>
      <c r="G320" s="396"/>
      <c r="H320" s="396"/>
      <c r="I320" s="396"/>
      <c r="J320" s="396"/>
      <c r="K320" s="396"/>
      <c r="L320" s="396"/>
      <c r="M320" s="396"/>
      <c r="N320" s="396"/>
      <c r="O320" s="396"/>
      <c r="P320" s="396"/>
      <c r="Q320" s="396"/>
      <c r="R320" s="396"/>
      <c r="S320" s="396"/>
      <c r="T320" s="396"/>
      <c r="U320" s="396"/>
      <c r="V320" s="396"/>
      <c r="W320" s="396"/>
      <c r="X320" s="396"/>
      <c r="Y320" s="396"/>
      <c r="Z320" s="396"/>
      <c r="AA320" s="396"/>
    </row>
    <row r="321" spans="1:27" x14ac:dyDescent="0.25">
      <c r="A321" s="396"/>
      <c r="B321" s="396"/>
      <c r="C321" s="396"/>
      <c r="D321" s="396"/>
      <c r="E321" s="396"/>
      <c r="F321" s="396"/>
      <c r="G321" s="396"/>
      <c r="H321" s="396"/>
      <c r="I321" s="396"/>
      <c r="J321" s="396"/>
      <c r="K321" s="396"/>
      <c r="L321" s="396"/>
      <c r="M321" s="396"/>
      <c r="N321" s="396"/>
      <c r="O321" s="396"/>
      <c r="P321" s="396"/>
      <c r="Q321" s="396"/>
      <c r="R321" s="396"/>
      <c r="S321" s="396"/>
      <c r="T321" s="396"/>
      <c r="U321" s="396"/>
      <c r="V321" s="396"/>
      <c r="W321" s="396"/>
      <c r="X321" s="396"/>
      <c r="Y321" s="396"/>
      <c r="Z321" s="396"/>
      <c r="AA321" s="396"/>
    </row>
    <row r="322" spans="1:27" x14ac:dyDescent="0.25">
      <c r="A322" s="396"/>
      <c r="B322" s="396"/>
      <c r="C322" s="396"/>
      <c r="D322" s="396"/>
      <c r="E322" s="396"/>
      <c r="F322" s="396"/>
      <c r="G322" s="396"/>
      <c r="H322" s="396"/>
      <c r="I322" s="396"/>
      <c r="J322" s="396"/>
      <c r="K322" s="396"/>
      <c r="L322" s="396"/>
      <c r="M322" s="396"/>
      <c r="N322" s="396"/>
      <c r="O322" s="396"/>
      <c r="P322" s="396"/>
      <c r="Q322" s="396"/>
      <c r="R322" s="396"/>
      <c r="S322" s="396"/>
      <c r="T322" s="396"/>
      <c r="U322" s="396"/>
      <c r="V322" s="396"/>
      <c r="W322" s="396"/>
      <c r="X322" s="396"/>
      <c r="Y322" s="396"/>
      <c r="Z322" s="396"/>
      <c r="AA322" s="396"/>
    </row>
    <row r="323" spans="1:27" x14ac:dyDescent="0.25">
      <c r="A323" s="396"/>
      <c r="B323" s="396"/>
      <c r="C323" s="396"/>
      <c r="D323" s="396"/>
      <c r="E323" s="396"/>
      <c r="F323" s="396"/>
      <c r="G323" s="396"/>
      <c r="H323" s="396"/>
      <c r="I323" s="396"/>
      <c r="J323" s="396"/>
      <c r="K323" s="396"/>
      <c r="L323" s="396"/>
      <c r="M323" s="396"/>
      <c r="N323" s="396"/>
      <c r="O323" s="396"/>
      <c r="P323" s="396"/>
      <c r="Q323" s="396"/>
      <c r="R323" s="396"/>
      <c r="S323" s="396"/>
      <c r="T323" s="396"/>
      <c r="U323" s="396"/>
      <c r="V323" s="396"/>
      <c r="W323" s="396"/>
      <c r="X323" s="396"/>
      <c r="Y323" s="396"/>
      <c r="Z323" s="396"/>
      <c r="AA323" s="396"/>
    </row>
    <row r="324" spans="1:27" x14ac:dyDescent="0.25">
      <c r="A324" s="396"/>
      <c r="B324" s="396"/>
      <c r="C324" s="396"/>
      <c r="D324" s="396"/>
      <c r="E324" s="396"/>
      <c r="F324" s="396"/>
      <c r="G324" s="396"/>
      <c r="H324" s="396"/>
      <c r="I324" s="396"/>
      <c r="J324" s="396"/>
      <c r="K324" s="396"/>
      <c r="L324" s="396"/>
      <c r="M324" s="396"/>
      <c r="N324" s="396"/>
      <c r="O324" s="396"/>
      <c r="P324" s="396"/>
      <c r="Q324" s="396"/>
      <c r="R324" s="396"/>
      <c r="S324" s="396"/>
      <c r="T324" s="396"/>
      <c r="U324" s="396"/>
      <c r="V324" s="396"/>
      <c r="W324" s="396"/>
      <c r="X324" s="396"/>
      <c r="Y324" s="396"/>
      <c r="Z324" s="396"/>
      <c r="AA324" s="396"/>
    </row>
    <row r="325" spans="1:27" x14ac:dyDescent="0.25">
      <c r="A325" s="396"/>
      <c r="B325" s="396"/>
      <c r="C325" s="396"/>
      <c r="D325" s="396"/>
      <c r="E325" s="396"/>
      <c r="F325" s="396"/>
      <c r="G325" s="396"/>
      <c r="H325" s="396"/>
      <c r="I325" s="396"/>
      <c r="J325" s="396"/>
      <c r="K325" s="396"/>
      <c r="L325" s="396"/>
      <c r="M325" s="396"/>
      <c r="N325" s="396"/>
      <c r="O325" s="396"/>
      <c r="P325" s="396"/>
      <c r="Q325" s="396"/>
      <c r="R325" s="396"/>
      <c r="S325" s="396"/>
      <c r="T325" s="396"/>
      <c r="U325" s="396"/>
      <c r="V325" s="396"/>
      <c r="W325" s="396"/>
      <c r="X325" s="396"/>
      <c r="Y325" s="396"/>
      <c r="Z325" s="396"/>
      <c r="AA325" s="396"/>
    </row>
    <row r="326" spans="1:27" x14ac:dyDescent="0.25">
      <c r="A326" s="396"/>
      <c r="B326" s="396"/>
      <c r="C326" s="396"/>
      <c r="D326" s="396"/>
      <c r="E326" s="396"/>
      <c r="F326" s="396"/>
      <c r="G326" s="396"/>
      <c r="H326" s="396"/>
      <c r="I326" s="396"/>
      <c r="J326" s="396"/>
      <c r="K326" s="396"/>
      <c r="L326" s="396"/>
      <c r="M326" s="396"/>
      <c r="N326" s="396"/>
      <c r="O326" s="396"/>
      <c r="P326" s="396"/>
      <c r="Q326" s="396"/>
      <c r="R326" s="396"/>
      <c r="S326" s="396"/>
      <c r="T326" s="396"/>
      <c r="U326" s="396"/>
      <c r="V326" s="396"/>
      <c r="W326" s="396"/>
      <c r="X326" s="396"/>
      <c r="Y326" s="396"/>
      <c r="Z326" s="396"/>
      <c r="AA326" s="396"/>
    </row>
    <row r="327" spans="1:27" x14ac:dyDescent="0.25">
      <c r="A327" s="396"/>
      <c r="B327" s="396"/>
      <c r="C327" s="396"/>
      <c r="D327" s="396"/>
      <c r="E327" s="396"/>
      <c r="F327" s="396"/>
      <c r="G327" s="396"/>
      <c r="H327" s="396"/>
      <c r="I327" s="396"/>
      <c r="J327" s="396"/>
      <c r="K327" s="396"/>
      <c r="L327" s="396"/>
      <c r="M327" s="396"/>
      <c r="N327" s="396"/>
      <c r="O327" s="396"/>
      <c r="P327" s="396"/>
      <c r="Q327" s="396"/>
      <c r="R327" s="396"/>
      <c r="S327" s="396"/>
      <c r="T327" s="396"/>
      <c r="U327" s="396"/>
      <c r="V327" s="396"/>
      <c r="W327" s="396"/>
      <c r="X327" s="396"/>
      <c r="Y327" s="396"/>
      <c r="Z327" s="396"/>
      <c r="AA327" s="396"/>
    </row>
    <row r="328" spans="1:27" x14ac:dyDescent="0.25">
      <c r="A328" s="396"/>
      <c r="B328" s="396"/>
      <c r="C328" s="396"/>
      <c r="D328" s="396"/>
      <c r="E328" s="396"/>
      <c r="F328" s="396"/>
      <c r="G328" s="396"/>
      <c r="H328" s="396"/>
      <c r="I328" s="396"/>
      <c r="J328" s="396"/>
      <c r="K328" s="396"/>
      <c r="L328" s="396"/>
      <c r="M328" s="396"/>
      <c r="N328" s="396"/>
      <c r="O328" s="396"/>
      <c r="P328" s="396"/>
      <c r="Q328" s="396"/>
      <c r="R328" s="396"/>
      <c r="S328" s="396"/>
      <c r="T328" s="396"/>
      <c r="U328" s="396"/>
      <c r="V328" s="396"/>
      <c r="W328" s="396"/>
      <c r="X328" s="396"/>
      <c r="Y328" s="396"/>
      <c r="Z328" s="396"/>
      <c r="AA328" s="396"/>
    </row>
    <row r="329" spans="1:27" x14ac:dyDescent="0.25">
      <c r="A329" s="396"/>
      <c r="B329" s="396"/>
      <c r="C329" s="396"/>
      <c r="D329" s="396"/>
      <c r="E329" s="396"/>
      <c r="F329" s="396"/>
      <c r="G329" s="396"/>
      <c r="H329" s="396"/>
      <c r="I329" s="396"/>
      <c r="J329" s="396"/>
      <c r="K329" s="396"/>
      <c r="L329" s="396"/>
      <c r="M329" s="396"/>
      <c r="N329" s="396"/>
      <c r="O329" s="396"/>
      <c r="P329" s="396"/>
      <c r="Q329" s="396"/>
      <c r="R329" s="396"/>
      <c r="S329" s="396"/>
      <c r="T329" s="396"/>
      <c r="U329" s="396"/>
      <c r="V329" s="396"/>
      <c r="W329" s="396"/>
      <c r="X329" s="396"/>
      <c r="Y329" s="396"/>
      <c r="Z329" s="396"/>
      <c r="AA329" s="396"/>
    </row>
    <row r="330" spans="1:27" x14ac:dyDescent="0.25">
      <c r="A330" s="396"/>
      <c r="B330" s="396"/>
      <c r="C330" s="396"/>
      <c r="D330" s="396"/>
      <c r="E330" s="396"/>
      <c r="F330" s="396"/>
      <c r="G330" s="396"/>
      <c r="H330" s="396"/>
      <c r="I330" s="396"/>
      <c r="J330" s="396"/>
      <c r="K330" s="396"/>
      <c r="L330" s="396"/>
      <c r="M330" s="396"/>
      <c r="N330" s="396"/>
      <c r="O330" s="396"/>
      <c r="P330" s="396"/>
      <c r="Q330" s="396"/>
      <c r="R330" s="396"/>
      <c r="S330" s="396"/>
      <c r="T330" s="396"/>
      <c r="U330" s="396"/>
      <c r="V330" s="396"/>
      <c r="W330" s="396"/>
      <c r="X330" s="396"/>
      <c r="Y330" s="396"/>
      <c r="Z330" s="396"/>
      <c r="AA330" s="396"/>
    </row>
    <row r="331" spans="1:27" x14ac:dyDescent="0.25">
      <c r="A331" s="396"/>
      <c r="B331" s="396"/>
      <c r="C331" s="396"/>
      <c r="D331" s="396"/>
      <c r="E331" s="396"/>
      <c r="F331" s="396"/>
      <c r="G331" s="396"/>
      <c r="H331" s="396"/>
      <c r="I331" s="396"/>
      <c r="J331" s="396"/>
      <c r="K331" s="396"/>
      <c r="L331" s="396"/>
      <c r="M331" s="396"/>
      <c r="N331" s="396"/>
      <c r="O331" s="396"/>
      <c r="P331" s="396"/>
      <c r="Q331" s="396"/>
      <c r="R331" s="396"/>
      <c r="S331" s="396"/>
      <c r="T331" s="396"/>
      <c r="U331" s="396"/>
      <c r="V331" s="396"/>
      <c r="W331" s="396"/>
      <c r="X331" s="396"/>
      <c r="Y331" s="396"/>
      <c r="Z331" s="396"/>
      <c r="AA331" s="396"/>
    </row>
    <row r="332" spans="1:27" x14ac:dyDescent="0.25">
      <c r="A332" s="396"/>
      <c r="B332" s="396"/>
      <c r="C332" s="396"/>
      <c r="D332" s="396"/>
      <c r="E332" s="396"/>
      <c r="F332" s="396"/>
      <c r="G332" s="396"/>
      <c r="H332" s="396"/>
      <c r="I332" s="396"/>
      <c r="J332" s="396"/>
      <c r="K332" s="396"/>
      <c r="L332" s="396"/>
      <c r="M332" s="396"/>
      <c r="N332" s="396"/>
      <c r="O332" s="396"/>
      <c r="P332" s="396"/>
      <c r="Q332" s="396"/>
      <c r="R332" s="396"/>
      <c r="S332" s="396"/>
      <c r="T332" s="396"/>
      <c r="U332" s="396"/>
      <c r="V332" s="396"/>
      <c r="W332" s="396"/>
      <c r="X332" s="396"/>
      <c r="Y332" s="396"/>
      <c r="Z332" s="396"/>
      <c r="AA332" s="396"/>
    </row>
    <row r="333" spans="1:27" x14ac:dyDescent="0.25">
      <c r="A333" s="396"/>
      <c r="B333" s="396"/>
      <c r="C333" s="396"/>
      <c r="D333" s="396"/>
      <c r="E333" s="396"/>
      <c r="F333" s="396"/>
      <c r="G333" s="396"/>
      <c r="H333" s="396"/>
      <c r="I333" s="396"/>
      <c r="J333" s="396"/>
      <c r="K333" s="396"/>
      <c r="L333" s="396"/>
      <c r="M333" s="396"/>
      <c r="N333" s="396"/>
      <c r="O333" s="396"/>
      <c r="P333" s="396"/>
      <c r="Q333" s="396"/>
      <c r="R333" s="396"/>
      <c r="S333" s="396"/>
      <c r="T333" s="396"/>
      <c r="U333" s="396"/>
      <c r="V333" s="396"/>
      <c r="W333" s="396"/>
      <c r="X333" s="396"/>
      <c r="Y333" s="396"/>
      <c r="Z333" s="396"/>
      <c r="AA333" s="396"/>
    </row>
    <row r="334" spans="1:27" x14ac:dyDescent="0.25">
      <c r="A334" s="396"/>
      <c r="B334" s="396"/>
      <c r="C334" s="396"/>
      <c r="D334" s="396"/>
      <c r="E334" s="396"/>
      <c r="F334" s="396"/>
      <c r="G334" s="396"/>
      <c r="H334" s="396"/>
      <c r="I334" s="396"/>
      <c r="J334" s="396"/>
      <c r="K334" s="396"/>
      <c r="L334" s="396"/>
      <c r="M334" s="396"/>
      <c r="N334" s="396"/>
      <c r="O334" s="396"/>
      <c r="P334" s="396"/>
      <c r="Q334" s="396"/>
      <c r="R334" s="396"/>
      <c r="S334" s="396"/>
      <c r="T334" s="396"/>
      <c r="U334" s="396"/>
      <c r="V334" s="396"/>
      <c r="W334" s="396"/>
      <c r="X334" s="396"/>
      <c r="Y334" s="396"/>
      <c r="Z334" s="396"/>
      <c r="AA334" s="396"/>
    </row>
    <row r="335" spans="1:27" x14ac:dyDescent="0.25">
      <c r="A335" s="396"/>
      <c r="B335" s="396"/>
      <c r="C335" s="396"/>
      <c r="D335" s="396"/>
      <c r="E335" s="396"/>
      <c r="F335" s="396"/>
      <c r="G335" s="396"/>
      <c r="H335" s="396"/>
      <c r="I335" s="396"/>
      <c r="J335" s="396"/>
      <c r="K335" s="396"/>
      <c r="L335" s="396"/>
      <c r="M335" s="396"/>
      <c r="N335" s="396"/>
      <c r="O335" s="396"/>
      <c r="P335" s="396"/>
      <c r="Q335" s="396"/>
      <c r="R335" s="396"/>
      <c r="S335" s="396"/>
      <c r="T335" s="396"/>
      <c r="U335" s="396"/>
      <c r="V335" s="396"/>
      <c r="W335" s="396"/>
      <c r="X335" s="396"/>
      <c r="Y335" s="396"/>
      <c r="Z335" s="396"/>
      <c r="AA335" s="396"/>
    </row>
    <row r="336" spans="1:27" x14ac:dyDescent="0.25">
      <c r="A336" s="396"/>
      <c r="B336" s="396"/>
      <c r="C336" s="396"/>
      <c r="D336" s="396"/>
      <c r="E336" s="396"/>
      <c r="F336" s="396"/>
      <c r="G336" s="396"/>
      <c r="H336" s="396"/>
      <c r="I336" s="396"/>
      <c r="J336" s="396"/>
      <c r="K336" s="396"/>
      <c r="L336" s="396"/>
      <c r="M336" s="396"/>
      <c r="N336" s="396"/>
      <c r="O336" s="396"/>
      <c r="P336" s="396"/>
      <c r="Q336" s="396"/>
      <c r="R336" s="396"/>
      <c r="S336" s="396"/>
      <c r="T336" s="396"/>
      <c r="U336" s="396"/>
      <c r="V336" s="396"/>
      <c r="W336" s="396"/>
      <c r="X336" s="396"/>
      <c r="Y336" s="396"/>
      <c r="Z336" s="396"/>
      <c r="AA336" s="396"/>
    </row>
    <row r="337" spans="1:27" x14ac:dyDescent="0.25">
      <c r="A337" s="396"/>
      <c r="B337" s="396"/>
      <c r="C337" s="396"/>
      <c r="D337" s="396"/>
      <c r="E337" s="396"/>
      <c r="F337" s="396"/>
      <c r="G337" s="396"/>
      <c r="H337" s="396"/>
      <c r="I337" s="396"/>
      <c r="J337" s="396"/>
      <c r="K337" s="396"/>
      <c r="L337" s="396"/>
      <c r="M337" s="396"/>
      <c r="N337" s="396"/>
      <c r="O337" s="396"/>
      <c r="P337" s="396"/>
      <c r="Q337" s="396"/>
      <c r="R337" s="396"/>
      <c r="S337" s="396"/>
      <c r="T337" s="396"/>
      <c r="U337" s="396"/>
      <c r="V337" s="396"/>
      <c r="W337" s="396"/>
      <c r="X337" s="396"/>
      <c r="Y337" s="396"/>
      <c r="Z337" s="396"/>
      <c r="AA337" s="396"/>
    </row>
    <row r="338" spans="1:27" x14ac:dyDescent="0.25">
      <c r="A338" s="396"/>
      <c r="B338" s="396"/>
      <c r="C338" s="396"/>
      <c r="D338" s="396"/>
      <c r="E338" s="396"/>
      <c r="F338" s="396"/>
      <c r="G338" s="396"/>
      <c r="H338" s="396"/>
      <c r="I338" s="396"/>
      <c r="J338" s="396"/>
      <c r="K338" s="396"/>
      <c r="L338" s="396"/>
      <c r="M338" s="396"/>
      <c r="N338" s="396"/>
      <c r="O338" s="396"/>
      <c r="P338" s="396"/>
      <c r="Q338" s="396"/>
      <c r="R338" s="396"/>
      <c r="S338" s="396"/>
      <c r="T338" s="396"/>
      <c r="U338" s="396"/>
      <c r="V338" s="396"/>
      <c r="W338" s="396"/>
      <c r="X338" s="396"/>
      <c r="Y338" s="396"/>
      <c r="Z338" s="396"/>
      <c r="AA338" s="396"/>
    </row>
    <row r="339" spans="1:27" x14ac:dyDescent="0.25">
      <c r="A339" s="396"/>
      <c r="B339" s="396"/>
      <c r="C339" s="396"/>
      <c r="D339" s="396"/>
      <c r="E339" s="396"/>
      <c r="F339" s="396"/>
      <c r="G339" s="396"/>
      <c r="H339" s="396"/>
      <c r="I339" s="396"/>
      <c r="J339" s="396"/>
      <c r="K339" s="396"/>
      <c r="L339" s="396"/>
      <c r="M339" s="396"/>
      <c r="N339" s="396"/>
      <c r="O339" s="396"/>
      <c r="P339" s="396"/>
      <c r="Q339" s="396"/>
      <c r="R339" s="396"/>
      <c r="S339" s="396"/>
      <c r="T339" s="396"/>
      <c r="U339" s="396"/>
      <c r="V339" s="396"/>
      <c r="W339" s="396"/>
      <c r="X339" s="396"/>
      <c r="Y339" s="396"/>
      <c r="Z339" s="396"/>
      <c r="AA339" s="396"/>
    </row>
    <row r="340" spans="1:27" x14ac:dyDescent="0.25">
      <c r="A340" s="396"/>
      <c r="B340" s="396"/>
      <c r="C340" s="396"/>
      <c r="D340" s="396"/>
      <c r="E340" s="396"/>
      <c r="F340" s="396"/>
      <c r="G340" s="396"/>
      <c r="H340" s="396"/>
      <c r="I340" s="396"/>
      <c r="J340" s="396"/>
      <c r="K340" s="396"/>
      <c r="L340" s="396"/>
      <c r="M340" s="396"/>
      <c r="N340" s="396"/>
      <c r="O340" s="396"/>
      <c r="P340" s="396"/>
      <c r="Q340" s="396"/>
      <c r="R340" s="396"/>
      <c r="S340" s="396"/>
      <c r="T340" s="396"/>
      <c r="U340" s="396"/>
      <c r="V340" s="396"/>
      <c r="W340" s="396"/>
      <c r="X340" s="396"/>
      <c r="Y340" s="396"/>
      <c r="Z340" s="396"/>
      <c r="AA340" s="396"/>
    </row>
    <row r="341" spans="1:27" x14ac:dyDescent="0.25">
      <c r="A341" s="396"/>
      <c r="B341" s="396"/>
      <c r="C341" s="396"/>
      <c r="D341" s="396"/>
      <c r="E341" s="396"/>
      <c r="F341" s="396"/>
      <c r="G341" s="396"/>
      <c r="H341" s="396"/>
      <c r="I341" s="396"/>
      <c r="J341" s="396"/>
      <c r="K341" s="396"/>
      <c r="L341" s="396"/>
      <c r="M341" s="396"/>
      <c r="N341" s="396"/>
      <c r="O341" s="396"/>
      <c r="P341" s="396"/>
      <c r="Q341" s="396"/>
      <c r="R341" s="396"/>
      <c r="S341" s="396"/>
      <c r="T341" s="396"/>
      <c r="U341" s="396"/>
      <c r="V341" s="396"/>
      <c r="W341" s="396"/>
      <c r="X341" s="396"/>
      <c r="Y341" s="396"/>
      <c r="Z341" s="396"/>
      <c r="AA341" s="396"/>
    </row>
    <row r="342" spans="1:27" x14ac:dyDescent="0.25">
      <c r="A342" s="396"/>
      <c r="B342" s="396"/>
      <c r="C342" s="396"/>
      <c r="D342" s="396"/>
      <c r="E342" s="396"/>
      <c r="F342" s="396"/>
      <c r="G342" s="396"/>
      <c r="H342" s="396"/>
      <c r="I342" s="396"/>
      <c r="J342" s="396"/>
      <c r="K342" s="396"/>
      <c r="L342" s="396"/>
      <c r="M342" s="396"/>
      <c r="N342" s="396"/>
      <c r="O342" s="396"/>
      <c r="P342" s="396"/>
      <c r="Q342" s="396"/>
      <c r="R342" s="396"/>
      <c r="S342" s="396"/>
      <c r="T342" s="396"/>
      <c r="U342" s="396"/>
      <c r="V342" s="396"/>
      <c r="W342" s="396"/>
      <c r="X342" s="396"/>
      <c r="Y342" s="396"/>
      <c r="Z342" s="396"/>
      <c r="AA342" s="396"/>
    </row>
    <row r="343" spans="1:27" x14ac:dyDescent="0.25">
      <c r="A343" s="396"/>
      <c r="B343" s="396"/>
      <c r="C343" s="396"/>
      <c r="D343" s="396"/>
      <c r="E343" s="396"/>
      <c r="F343" s="396"/>
      <c r="G343" s="396"/>
      <c r="H343" s="396"/>
      <c r="I343" s="396"/>
      <c r="J343" s="396"/>
      <c r="K343" s="396"/>
      <c r="L343" s="396"/>
      <c r="M343" s="396"/>
      <c r="N343" s="396"/>
      <c r="O343" s="396"/>
      <c r="P343" s="396"/>
      <c r="Q343" s="396"/>
      <c r="R343" s="396"/>
      <c r="S343" s="396"/>
      <c r="T343" s="396"/>
      <c r="U343" s="396"/>
      <c r="V343" s="396"/>
      <c r="W343" s="396"/>
      <c r="X343" s="396"/>
      <c r="Y343" s="396"/>
      <c r="Z343" s="396"/>
      <c r="AA343" s="396"/>
    </row>
    <row r="344" spans="1:27" x14ac:dyDescent="0.25">
      <c r="A344" s="396"/>
      <c r="B344" s="396"/>
      <c r="C344" s="396"/>
      <c r="D344" s="396"/>
      <c r="E344" s="396"/>
      <c r="F344" s="396"/>
      <c r="G344" s="396"/>
      <c r="H344" s="396"/>
      <c r="I344" s="396"/>
      <c r="J344" s="396"/>
      <c r="K344" s="396"/>
      <c r="L344" s="396"/>
      <c r="M344" s="396"/>
      <c r="N344" s="396"/>
      <c r="O344" s="396"/>
      <c r="P344" s="396"/>
      <c r="Q344" s="396"/>
      <c r="R344" s="396"/>
      <c r="S344" s="396"/>
      <c r="T344" s="396"/>
      <c r="U344" s="396"/>
      <c r="V344" s="396"/>
      <c r="W344" s="396"/>
      <c r="X344" s="396"/>
      <c r="Y344" s="396"/>
      <c r="Z344" s="396"/>
      <c r="AA344" s="396"/>
    </row>
    <row r="345" spans="1:27" x14ac:dyDescent="0.25">
      <c r="A345" s="396"/>
      <c r="B345" s="396"/>
      <c r="C345" s="396"/>
      <c r="D345" s="396"/>
      <c r="E345" s="396"/>
      <c r="F345" s="396"/>
      <c r="G345" s="396"/>
      <c r="H345" s="396"/>
      <c r="I345" s="396"/>
      <c r="J345" s="396"/>
      <c r="K345" s="396"/>
      <c r="L345" s="396"/>
      <c r="M345" s="396"/>
      <c r="N345" s="396"/>
      <c r="O345" s="396"/>
      <c r="P345" s="396"/>
      <c r="Q345" s="396"/>
      <c r="R345" s="396"/>
      <c r="S345" s="396"/>
      <c r="T345" s="396"/>
      <c r="U345" s="396"/>
      <c r="V345" s="396"/>
      <c r="W345" s="396"/>
      <c r="X345" s="396"/>
      <c r="Y345" s="396"/>
      <c r="Z345" s="396"/>
      <c r="AA345" s="396"/>
    </row>
    <row r="346" spans="1:27" x14ac:dyDescent="0.25">
      <c r="A346" s="396"/>
      <c r="B346" s="396"/>
      <c r="C346" s="396"/>
      <c r="D346" s="396"/>
      <c r="E346" s="396"/>
      <c r="F346" s="396"/>
      <c r="G346" s="396"/>
      <c r="H346" s="396"/>
      <c r="I346" s="396"/>
      <c r="J346" s="396"/>
      <c r="K346" s="396"/>
      <c r="L346" s="396"/>
      <c r="M346" s="396"/>
      <c r="N346" s="396"/>
      <c r="O346" s="396"/>
      <c r="P346" s="396"/>
      <c r="Q346" s="396"/>
      <c r="R346" s="396"/>
      <c r="S346" s="396"/>
      <c r="T346" s="396"/>
      <c r="U346" s="396"/>
      <c r="V346" s="396"/>
      <c r="W346" s="396"/>
      <c r="X346" s="396"/>
      <c r="Y346" s="396"/>
      <c r="Z346" s="396"/>
      <c r="AA346" s="396"/>
    </row>
    <row r="347" spans="1:27" x14ac:dyDescent="0.25">
      <c r="A347" s="396"/>
      <c r="B347" s="396"/>
      <c r="C347" s="396"/>
      <c r="D347" s="396"/>
      <c r="E347" s="396"/>
      <c r="F347" s="396"/>
      <c r="G347" s="396"/>
      <c r="H347" s="396"/>
      <c r="I347" s="396"/>
      <c r="J347" s="396"/>
      <c r="K347" s="396"/>
      <c r="L347" s="396"/>
      <c r="M347" s="396"/>
      <c r="N347" s="396"/>
      <c r="O347" s="396"/>
      <c r="P347" s="396"/>
      <c r="Q347" s="396"/>
      <c r="R347" s="396"/>
      <c r="S347" s="396"/>
      <c r="T347" s="396"/>
      <c r="U347" s="396"/>
      <c r="V347" s="396"/>
      <c r="W347" s="396"/>
      <c r="X347" s="396"/>
      <c r="Y347" s="396"/>
      <c r="Z347" s="396"/>
      <c r="AA347" s="396"/>
    </row>
    <row r="348" spans="1:27" x14ac:dyDescent="0.25">
      <c r="A348" s="396"/>
      <c r="B348" s="396"/>
      <c r="C348" s="396"/>
      <c r="D348" s="396"/>
      <c r="E348" s="396"/>
      <c r="F348" s="396"/>
      <c r="G348" s="396"/>
      <c r="H348" s="396"/>
      <c r="I348" s="396"/>
      <c r="J348" s="396"/>
      <c r="K348" s="396"/>
      <c r="L348" s="396"/>
      <c r="M348" s="396"/>
      <c r="N348" s="396"/>
      <c r="O348" s="396"/>
      <c r="P348" s="396"/>
      <c r="Q348" s="396"/>
      <c r="R348" s="396"/>
      <c r="S348" s="396"/>
      <c r="T348" s="396"/>
      <c r="U348" s="396"/>
      <c r="V348" s="396"/>
      <c r="W348" s="396"/>
      <c r="X348" s="396"/>
      <c r="Y348" s="396"/>
      <c r="Z348" s="396"/>
      <c r="AA348" s="396"/>
    </row>
    <row r="349" spans="1:27" x14ac:dyDescent="0.25">
      <c r="A349" s="396"/>
      <c r="B349" s="396"/>
      <c r="C349" s="396"/>
      <c r="D349" s="396"/>
      <c r="E349" s="396"/>
      <c r="F349" s="396"/>
      <c r="G349" s="396"/>
      <c r="H349" s="396"/>
      <c r="I349" s="396"/>
      <c r="J349" s="396"/>
      <c r="K349" s="396"/>
      <c r="L349" s="396"/>
      <c r="M349" s="396"/>
      <c r="N349" s="396"/>
      <c r="O349" s="396"/>
      <c r="P349" s="396"/>
      <c r="Q349" s="396"/>
      <c r="R349" s="396"/>
      <c r="S349" s="396"/>
      <c r="T349" s="396"/>
      <c r="U349" s="396"/>
      <c r="V349" s="396"/>
      <c r="W349" s="396"/>
      <c r="X349" s="396"/>
      <c r="Y349" s="396"/>
      <c r="Z349" s="396"/>
      <c r="AA349" s="396"/>
    </row>
    <row r="350" spans="1:27" x14ac:dyDescent="0.25">
      <c r="A350" s="396"/>
      <c r="B350" s="396"/>
      <c r="C350" s="396"/>
      <c r="D350" s="396"/>
      <c r="E350" s="396"/>
      <c r="F350" s="396"/>
      <c r="G350" s="396"/>
      <c r="H350" s="396"/>
      <c r="I350" s="396"/>
      <c r="J350" s="396"/>
      <c r="K350" s="396"/>
      <c r="L350" s="396"/>
      <c r="M350" s="396"/>
      <c r="N350" s="396"/>
      <c r="O350" s="396"/>
      <c r="P350" s="396"/>
      <c r="Q350" s="396"/>
      <c r="R350" s="396"/>
      <c r="S350" s="396"/>
      <c r="T350" s="396"/>
      <c r="U350" s="396"/>
      <c r="V350" s="396"/>
      <c r="W350" s="396"/>
      <c r="X350" s="396"/>
      <c r="Y350" s="396"/>
      <c r="Z350" s="396"/>
      <c r="AA350" s="396"/>
    </row>
    <row r="351" spans="1:27" x14ac:dyDescent="0.25">
      <c r="A351" s="396"/>
      <c r="B351" s="396"/>
      <c r="C351" s="396"/>
      <c r="D351" s="396"/>
      <c r="E351" s="396"/>
      <c r="F351" s="396"/>
      <c r="G351" s="396"/>
      <c r="H351" s="396"/>
      <c r="I351" s="396"/>
      <c r="J351" s="396"/>
      <c r="K351" s="396"/>
      <c r="L351" s="396"/>
      <c r="M351" s="396"/>
      <c r="N351" s="396"/>
      <c r="O351" s="396"/>
      <c r="P351" s="396"/>
      <c r="Q351" s="396"/>
      <c r="R351" s="396"/>
      <c r="S351" s="396"/>
      <c r="T351" s="396"/>
      <c r="U351" s="396"/>
      <c r="V351" s="396"/>
      <c r="W351" s="396"/>
      <c r="X351" s="396"/>
      <c r="Y351" s="396"/>
      <c r="Z351" s="396"/>
      <c r="AA351" s="396"/>
    </row>
    <row r="352" spans="1:27" x14ac:dyDescent="0.25">
      <c r="A352" s="396"/>
      <c r="B352" s="396"/>
      <c r="C352" s="396"/>
      <c r="D352" s="396"/>
      <c r="E352" s="396"/>
      <c r="F352" s="396"/>
      <c r="G352" s="396"/>
      <c r="H352" s="396"/>
      <c r="I352" s="396"/>
      <c r="J352" s="396"/>
      <c r="K352" s="396"/>
      <c r="L352" s="396"/>
      <c r="M352" s="396"/>
      <c r="N352" s="396"/>
      <c r="O352" s="396"/>
      <c r="P352" s="396"/>
      <c r="Q352" s="396"/>
      <c r="R352" s="396"/>
      <c r="S352" s="396"/>
      <c r="T352" s="396"/>
      <c r="U352" s="396"/>
      <c r="V352" s="396"/>
      <c r="W352" s="396"/>
      <c r="X352" s="396"/>
      <c r="Y352" s="396"/>
      <c r="Z352" s="396"/>
      <c r="AA352" s="396"/>
    </row>
    <row r="353" spans="1:27" x14ac:dyDescent="0.25">
      <c r="A353" s="396"/>
      <c r="B353" s="396"/>
      <c r="C353" s="396"/>
      <c r="D353" s="396"/>
      <c r="E353" s="396"/>
      <c r="F353" s="396"/>
      <c r="G353" s="396"/>
      <c r="H353" s="396"/>
      <c r="I353" s="396"/>
      <c r="J353" s="396"/>
      <c r="K353" s="396"/>
      <c r="L353" s="396"/>
      <c r="M353" s="396"/>
      <c r="N353" s="396"/>
      <c r="O353" s="396"/>
      <c r="P353" s="396"/>
      <c r="Q353" s="396"/>
      <c r="R353" s="396"/>
      <c r="S353" s="396"/>
      <c r="T353" s="396"/>
      <c r="U353" s="396"/>
      <c r="V353" s="396"/>
      <c r="W353" s="396"/>
      <c r="X353" s="396"/>
      <c r="Y353" s="396"/>
      <c r="Z353" s="396"/>
      <c r="AA353" s="396"/>
    </row>
    <row r="354" spans="1:27" x14ac:dyDescent="0.25">
      <c r="A354" s="396"/>
      <c r="B354" s="396"/>
      <c r="C354" s="396"/>
      <c r="D354" s="396"/>
      <c r="E354" s="396"/>
      <c r="F354" s="396"/>
      <c r="G354" s="396"/>
      <c r="H354" s="396"/>
      <c r="I354" s="396"/>
      <c r="J354" s="396"/>
      <c r="K354" s="396"/>
      <c r="L354" s="396"/>
      <c r="M354" s="396"/>
      <c r="N354" s="396"/>
      <c r="O354" s="396"/>
      <c r="P354" s="396"/>
      <c r="Q354" s="396"/>
      <c r="R354" s="396"/>
      <c r="S354" s="396"/>
      <c r="T354" s="396"/>
      <c r="U354" s="396"/>
      <c r="V354" s="396"/>
      <c r="W354" s="396"/>
      <c r="X354" s="396"/>
      <c r="Y354" s="396"/>
      <c r="Z354" s="396"/>
      <c r="AA354" s="396"/>
    </row>
    <row r="355" spans="1:27" x14ac:dyDescent="0.25">
      <c r="A355" s="396"/>
      <c r="B355" s="396"/>
      <c r="C355" s="396"/>
      <c r="D355" s="396"/>
      <c r="E355" s="396"/>
      <c r="F355" s="396"/>
      <c r="G355" s="396"/>
      <c r="H355" s="396"/>
      <c r="I355" s="396"/>
      <c r="J355" s="396"/>
      <c r="K355" s="396"/>
      <c r="L355" s="396"/>
      <c r="M355" s="396"/>
      <c r="N355" s="396"/>
      <c r="O355" s="396"/>
      <c r="P355" s="396"/>
      <c r="Q355" s="396"/>
      <c r="R355" s="396"/>
      <c r="S355" s="396"/>
      <c r="T355" s="396"/>
      <c r="U355" s="396"/>
      <c r="V355" s="396"/>
      <c r="W355" s="396"/>
      <c r="X355" s="396"/>
      <c r="Y355" s="396"/>
      <c r="Z355" s="396"/>
      <c r="AA355" s="396"/>
    </row>
    <row r="356" spans="1:27" x14ac:dyDescent="0.25">
      <c r="A356" s="396"/>
      <c r="B356" s="396"/>
      <c r="C356" s="396"/>
      <c r="D356" s="396"/>
      <c r="E356" s="396"/>
      <c r="F356" s="396"/>
      <c r="G356" s="396"/>
      <c r="H356" s="396"/>
      <c r="I356" s="396"/>
      <c r="J356" s="396"/>
      <c r="K356" s="396"/>
      <c r="L356" s="396"/>
      <c r="M356" s="396"/>
      <c r="N356" s="396"/>
      <c r="O356" s="396"/>
      <c r="P356" s="396"/>
      <c r="Q356" s="396"/>
      <c r="R356" s="396"/>
      <c r="S356" s="396"/>
      <c r="T356" s="396"/>
      <c r="U356" s="396"/>
      <c r="V356" s="396"/>
      <c r="W356" s="396"/>
      <c r="X356" s="396"/>
      <c r="Y356" s="396"/>
      <c r="Z356" s="396"/>
      <c r="AA356" s="396"/>
    </row>
    <row r="357" spans="1:27" x14ac:dyDescent="0.25">
      <c r="A357" s="396"/>
      <c r="B357" s="396"/>
      <c r="C357" s="396"/>
      <c r="D357" s="396"/>
      <c r="E357" s="396"/>
      <c r="F357" s="396"/>
      <c r="G357" s="396"/>
      <c r="H357" s="396"/>
      <c r="I357" s="396"/>
      <c r="J357" s="396"/>
      <c r="K357" s="396"/>
      <c r="L357" s="396"/>
      <c r="M357" s="396"/>
      <c r="N357" s="396"/>
      <c r="O357" s="396"/>
      <c r="P357" s="396"/>
      <c r="Q357" s="396"/>
      <c r="R357" s="396"/>
      <c r="S357" s="396"/>
      <c r="T357" s="396"/>
      <c r="U357" s="396"/>
      <c r="V357" s="396"/>
      <c r="W357" s="396"/>
      <c r="X357" s="396"/>
      <c r="Y357" s="396"/>
      <c r="Z357" s="396"/>
      <c r="AA357" s="396"/>
    </row>
    <row r="358" spans="1:27" x14ac:dyDescent="0.25">
      <c r="A358" s="396"/>
      <c r="B358" s="396"/>
      <c r="C358" s="396"/>
      <c r="D358" s="396"/>
      <c r="E358" s="396"/>
      <c r="F358" s="396"/>
      <c r="G358" s="396"/>
      <c r="H358" s="396"/>
      <c r="I358" s="396"/>
      <c r="J358" s="396"/>
      <c r="K358" s="396"/>
      <c r="L358" s="396"/>
      <c r="M358" s="396"/>
      <c r="N358" s="396"/>
      <c r="O358" s="396"/>
      <c r="P358" s="396"/>
      <c r="Q358" s="396"/>
      <c r="R358" s="396"/>
      <c r="S358" s="396"/>
      <c r="T358" s="396"/>
      <c r="U358" s="396"/>
      <c r="V358" s="396"/>
      <c r="W358" s="396"/>
      <c r="X358" s="396"/>
      <c r="Y358" s="396"/>
      <c r="Z358" s="396"/>
      <c r="AA358" s="396"/>
    </row>
    <row r="359" spans="1:27" x14ac:dyDescent="0.25">
      <c r="A359" s="396"/>
      <c r="B359" s="396"/>
      <c r="C359" s="396"/>
      <c r="D359" s="396"/>
      <c r="E359" s="396"/>
      <c r="F359" s="396"/>
      <c r="G359" s="396"/>
      <c r="H359" s="396"/>
      <c r="I359" s="396"/>
      <c r="J359" s="396"/>
      <c r="K359" s="396"/>
      <c r="L359" s="396"/>
      <c r="M359" s="396"/>
      <c r="N359" s="396"/>
      <c r="O359" s="396"/>
      <c r="P359" s="396"/>
      <c r="Q359" s="396"/>
      <c r="R359" s="396"/>
      <c r="S359" s="396"/>
      <c r="T359" s="396"/>
      <c r="U359" s="396"/>
      <c r="V359" s="396"/>
      <c r="W359" s="396"/>
      <c r="X359" s="396"/>
      <c r="Y359" s="396"/>
      <c r="Z359" s="396"/>
      <c r="AA359" s="396"/>
    </row>
    <row r="360" spans="1:27" x14ac:dyDescent="0.25">
      <c r="A360" s="396"/>
      <c r="B360" s="396"/>
      <c r="C360" s="396"/>
      <c r="D360" s="396"/>
      <c r="E360" s="396"/>
      <c r="F360" s="396"/>
      <c r="G360" s="396"/>
      <c r="H360" s="396"/>
      <c r="I360" s="396"/>
      <c r="J360" s="396"/>
      <c r="K360" s="396"/>
      <c r="L360" s="396"/>
      <c r="M360" s="396"/>
      <c r="N360" s="396"/>
      <c r="O360" s="396"/>
      <c r="P360" s="396"/>
      <c r="Q360" s="396"/>
      <c r="R360" s="396"/>
      <c r="S360" s="396"/>
      <c r="T360" s="396"/>
      <c r="U360" s="396"/>
      <c r="V360" s="396"/>
      <c r="W360" s="396"/>
      <c r="X360" s="396"/>
      <c r="Y360" s="396"/>
      <c r="Z360" s="396"/>
      <c r="AA360" s="396"/>
    </row>
    <row r="361" spans="1:27" x14ac:dyDescent="0.25">
      <c r="A361" s="396"/>
      <c r="B361" s="396"/>
      <c r="C361" s="396"/>
      <c r="D361" s="396"/>
      <c r="E361" s="396"/>
      <c r="F361" s="396"/>
      <c r="G361" s="396"/>
      <c r="H361" s="396"/>
      <c r="I361" s="396"/>
      <c r="J361" s="396"/>
      <c r="K361" s="396"/>
      <c r="L361" s="396"/>
      <c r="M361" s="396"/>
      <c r="N361" s="396"/>
      <c r="O361" s="396"/>
      <c r="P361" s="396"/>
      <c r="Q361" s="396"/>
      <c r="R361" s="396"/>
      <c r="S361" s="396"/>
      <c r="T361" s="396"/>
      <c r="U361" s="396"/>
      <c r="V361" s="396"/>
      <c r="W361" s="396"/>
      <c r="X361" s="396"/>
      <c r="Y361" s="396"/>
      <c r="Z361" s="396"/>
      <c r="AA361" s="396"/>
    </row>
    <row r="362" spans="1:27" x14ac:dyDescent="0.25">
      <c r="A362" s="396"/>
      <c r="B362" s="396"/>
      <c r="C362" s="396"/>
      <c r="D362" s="396"/>
      <c r="E362" s="396"/>
      <c r="F362" s="396"/>
      <c r="G362" s="396"/>
      <c r="H362" s="396"/>
      <c r="I362" s="396"/>
      <c r="J362" s="396"/>
      <c r="K362" s="396"/>
      <c r="L362" s="396"/>
      <c r="M362" s="396"/>
      <c r="N362" s="396"/>
      <c r="O362" s="396"/>
      <c r="P362" s="396"/>
      <c r="Q362" s="396"/>
      <c r="R362" s="396"/>
      <c r="S362" s="396"/>
      <c r="T362" s="396"/>
      <c r="U362" s="396"/>
      <c r="V362" s="396"/>
      <c r="W362" s="396"/>
      <c r="X362" s="396"/>
      <c r="Y362" s="396"/>
      <c r="Z362" s="396"/>
      <c r="AA362" s="396"/>
    </row>
    <row r="363" spans="1:27" x14ac:dyDescent="0.25">
      <c r="A363" s="396"/>
      <c r="B363" s="396"/>
      <c r="C363" s="396"/>
      <c r="D363" s="396"/>
      <c r="E363" s="396"/>
      <c r="F363" s="396"/>
      <c r="G363" s="396"/>
      <c r="H363" s="396"/>
      <c r="I363" s="396"/>
      <c r="J363" s="396"/>
      <c r="K363" s="396"/>
      <c r="L363" s="396"/>
      <c r="M363" s="396"/>
      <c r="N363" s="396"/>
      <c r="O363" s="396"/>
      <c r="P363" s="396"/>
      <c r="Q363" s="396"/>
      <c r="R363" s="396"/>
      <c r="S363" s="396"/>
      <c r="T363" s="396"/>
      <c r="U363" s="396"/>
      <c r="V363" s="396"/>
      <c r="W363" s="396"/>
      <c r="X363" s="396"/>
      <c r="Y363" s="396"/>
      <c r="Z363" s="396"/>
      <c r="AA363" s="396"/>
    </row>
    <row r="364" spans="1:27" x14ac:dyDescent="0.25">
      <c r="A364" s="396"/>
      <c r="B364" s="396"/>
      <c r="C364" s="396"/>
      <c r="D364" s="396"/>
      <c r="E364" s="396"/>
      <c r="F364" s="396"/>
      <c r="G364" s="396"/>
      <c r="H364" s="396"/>
      <c r="I364" s="396"/>
      <c r="J364" s="396"/>
      <c r="K364" s="396"/>
      <c r="L364" s="396"/>
      <c r="M364" s="396"/>
      <c r="N364" s="396"/>
      <c r="O364" s="396"/>
      <c r="P364" s="396"/>
      <c r="Q364" s="396"/>
      <c r="R364" s="396"/>
      <c r="S364" s="396"/>
      <c r="T364" s="396"/>
      <c r="U364" s="396"/>
      <c r="V364" s="396"/>
      <c r="W364" s="396"/>
      <c r="X364" s="396"/>
      <c r="Y364" s="396"/>
      <c r="Z364" s="396"/>
      <c r="AA364" s="396"/>
    </row>
    <row r="365" spans="1:27" x14ac:dyDescent="0.25">
      <c r="A365" s="396"/>
      <c r="B365" s="396"/>
      <c r="C365" s="396"/>
      <c r="D365" s="396"/>
      <c r="E365" s="396"/>
      <c r="F365" s="396"/>
      <c r="G365" s="396"/>
      <c r="H365" s="396"/>
      <c r="I365" s="396"/>
      <c r="J365" s="396"/>
      <c r="K365" s="396"/>
      <c r="L365" s="396"/>
      <c r="M365" s="396"/>
      <c r="N365" s="396"/>
      <c r="O365" s="396"/>
      <c r="P365" s="396"/>
      <c r="Q365" s="396"/>
      <c r="R365" s="396"/>
      <c r="S365" s="396"/>
      <c r="T365" s="396"/>
      <c r="U365" s="396"/>
      <c r="V365" s="396"/>
      <c r="W365" s="396"/>
      <c r="X365" s="396"/>
      <c r="Y365" s="396"/>
      <c r="Z365" s="396"/>
      <c r="AA365" s="396"/>
    </row>
    <row r="366" spans="1:27" x14ac:dyDescent="0.25">
      <c r="A366" s="396"/>
      <c r="B366" s="396"/>
      <c r="C366" s="396"/>
      <c r="D366" s="396"/>
      <c r="E366" s="396"/>
      <c r="F366" s="396"/>
      <c r="G366" s="396"/>
      <c r="H366" s="396"/>
      <c r="I366" s="396"/>
      <c r="J366" s="396"/>
      <c r="K366" s="396"/>
      <c r="L366" s="396"/>
      <c r="M366" s="396"/>
      <c r="N366" s="396"/>
      <c r="O366" s="396"/>
      <c r="P366" s="396"/>
      <c r="Q366" s="396"/>
      <c r="R366" s="396"/>
      <c r="S366" s="396"/>
      <c r="T366" s="396"/>
      <c r="U366" s="396"/>
      <c r="V366" s="396"/>
      <c r="W366" s="396"/>
      <c r="X366" s="396"/>
      <c r="Y366" s="396"/>
      <c r="Z366" s="396"/>
      <c r="AA366" s="396"/>
    </row>
    <row r="367" spans="1:27" x14ac:dyDescent="0.25">
      <c r="A367" s="396"/>
      <c r="B367" s="396"/>
      <c r="C367" s="396"/>
      <c r="D367" s="396"/>
      <c r="E367" s="396"/>
      <c r="F367" s="396"/>
      <c r="G367" s="396"/>
      <c r="H367" s="396"/>
      <c r="I367" s="396"/>
      <c r="J367" s="396"/>
      <c r="K367" s="396"/>
      <c r="L367" s="396"/>
      <c r="M367" s="396"/>
      <c r="N367" s="396"/>
      <c r="O367" s="396"/>
      <c r="P367" s="396"/>
      <c r="Q367" s="396"/>
      <c r="R367" s="396"/>
      <c r="S367" s="396"/>
      <c r="T367" s="396"/>
      <c r="U367" s="396"/>
      <c r="V367" s="396"/>
      <c r="W367" s="396"/>
      <c r="X367" s="396"/>
      <c r="Y367" s="396"/>
      <c r="Z367" s="396"/>
      <c r="AA367" s="396"/>
    </row>
    <row r="368" spans="1:27" x14ac:dyDescent="0.25">
      <c r="A368" s="396"/>
      <c r="B368" s="396"/>
      <c r="C368" s="396"/>
      <c r="D368" s="396"/>
      <c r="E368" s="396"/>
      <c r="F368" s="396"/>
      <c r="G368" s="396"/>
      <c r="H368" s="396"/>
      <c r="I368" s="396"/>
      <c r="J368" s="396"/>
      <c r="K368" s="396"/>
      <c r="L368" s="396"/>
      <c r="M368" s="396"/>
      <c r="N368" s="396"/>
      <c r="O368" s="396"/>
      <c r="P368" s="396"/>
      <c r="Q368" s="396"/>
      <c r="R368" s="396"/>
      <c r="S368" s="396"/>
      <c r="T368" s="396"/>
      <c r="U368" s="396"/>
      <c r="V368" s="396"/>
      <c r="W368" s="396"/>
      <c r="X368" s="396"/>
      <c r="Y368" s="396"/>
      <c r="Z368" s="396"/>
      <c r="AA368" s="396"/>
    </row>
    <row r="369" spans="1:27" x14ac:dyDescent="0.25">
      <c r="A369" s="396"/>
      <c r="B369" s="396"/>
      <c r="C369" s="396"/>
      <c r="D369" s="396"/>
      <c r="E369" s="396"/>
      <c r="F369" s="396"/>
      <c r="G369" s="396"/>
      <c r="H369" s="396"/>
      <c r="I369" s="396"/>
      <c r="J369" s="396"/>
      <c r="K369" s="396"/>
      <c r="L369" s="396"/>
      <c r="M369" s="396"/>
      <c r="N369" s="396"/>
      <c r="O369" s="396"/>
      <c r="P369" s="396"/>
      <c r="Q369" s="396"/>
      <c r="R369" s="396"/>
      <c r="S369" s="396"/>
      <c r="T369" s="396"/>
      <c r="U369" s="396"/>
      <c r="V369" s="396"/>
      <c r="W369" s="396"/>
      <c r="X369" s="396"/>
      <c r="Y369" s="396"/>
      <c r="Z369" s="396"/>
      <c r="AA369" s="396"/>
    </row>
    <row r="370" spans="1:27" x14ac:dyDescent="0.25">
      <c r="A370" s="396"/>
      <c r="B370" s="396"/>
      <c r="C370" s="396"/>
      <c r="D370" s="396"/>
      <c r="E370" s="396"/>
      <c r="F370" s="396"/>
      <c r="G370" s="396"/>
      <c r="H370" s="396"/>
      <c r="I370" s="396"/>
      <c r="J370" s="396"/>
      <c r="K370" s="396"/>
      <c r="L370" s="396"/>
      <c r="M370" s="396"/>
      <c r="N370" s="396"/>
      <c r="O370" s="396"/>
      <c r="P370" s="396"/>
      <c r="Q370" s="396"/>
      <c r="R370" s="396"/>
      <c r="S370" s="396"/>
      <c r="T370" s="396"/>
      <c r="U370" s="396"/>
      <c r="V370" s="396"/>
      <c r="W370" s="396"/>
      <c r="X370" s="396"/>
      <c r="Y370" s="396"/>
      <c r="Z370" s="396"/>
      <c r="AA370" s="396"/>
    </row>
    <row r="371" spans="1:27" x14ac:dyDescent="0.25">
      <c r="A371" s="396"/>
      <c r="B371" s="396"/>
      <c r="C371" s="396"/>
      <c r="D371" s="396"/>
      <c r="E371" s="396"/>
      <c r="F371" s="396"/>
      <c r="G371" s="396"/>
      <c r="H371" s="396"/>
      <c r="I371" s="396"/>
      <c r="J371" s="396"/>
      <c r="K371" s="396"/>
      <c r="L371" s="396"/>
      <c r="M371" s="396"/>
      <c r="N371" s="396"/>
      <c r="O371" s="396"/>
      <c r="P371" s="396"/>
      <c r="Q371" s="396"/>
      <c r="R371" s="396"/>
      <c r="S371" s="396"/>
      <c r="T371" s="396"/>
      <c r="U371" s="396"/>
      <c r="V371" s="396"/>
      <c r="W371" s="396"/>
      <c r="X371" s="396"/>
      <c r="Y371" s="396"/>
      <c r="Z371" s="396"/>
      <c r="AA371" s="396"/>
    </row>
    <row r="372" spans="1:27" x14ac:dyDescent="0.25">
      <c r="A372" s="396"/>
      <c r="B372" s="396"/>
      <c r="C372" s="396"/>
      <c r="D372" s="396"/>
      <c r="E372" s="396"/>
      <c r="F372" s="396"/>
      <c r="G372" s="396"/>
      <c r="H372" s="396"/>
      <c r="I372" s="396"/>
      <c r="J372" s="396"/>
      <c r="K372" s="396"/>
      <c r="L372" s="396"/>
      <c r="M372" s="396"/>
      <c r="N372" s="396"/>
      <c r="O372" s="396"/>
      <c r="P372" s="396"/>
      <c r="Q372" s="396"/>
      <c r="R372" s="396"/>
      <c r="S372" s="396"/>
      <c r="T372" s="396"/>
      <c r="U372" s="396"/>
      <c r="V372" s="396"/>
      <c r="W372" s="396"/>
      <c r="X372" s="396"/>
      <c r="Y372" s="396"/>
      <c r="Z372" s="396"/>
      <c r="AA372" s="396"/>
    </row>
    <row r="373" spans="1:27" x14ac:dyDescent="0.25">
      <c r="A373" s="396"/>
      <c r="B373" s="396"/>
      <c r="C373" s="396"/>
      <c r="D373" s="396"/>
      <c r="E373" s="396"/>
      <c r="F373" s="396"/>
      <c r="G373" s="396"/>
      <c r="H373" s="396"/>
      <c r="I373" s="396"/>
      <c r="J373" s="396"/>
      <c r="K373" s="396"/>
      <c r="L373" s="396"/>
      <c r="M373" s="396"/>
      <c r="N373" s="396"/>
      <c r="O373" s="396"/>
      <c r="P373" s="396"/>
      <c r="Q373" s="396"/>
      <c r="R373" s="396"/>
      <c r="S373" s="396"/>
      <c r="T373" s="396"/>
      <c r="U373" s="396"/>
      <c r="V373" s="396"/>
      <c r="W373" s="396"/>
      <c r="X373" s="396"/>
      <c r="Y373" s="396"/>
      <c r="Z373" s="396"/>
      <c r="AA373" s="396"/>
    </row>
    <row r="374" spans="1:27" x14ac:dyDescent="0.25">
      <c r="A374" s="396"/>
      <c r="B374" s="396"/>
      <c r="C374" s="396"/>
      <c r="D374" s="396"/>
      <c r="E374" s="396"/>
      <c r="F374" s="396"/>
      <c r="G374" s="396"/>
      <c r="H374" s="396"/>
      <c r="I374" s="396"/>
      <c r="J374" s="396"/>
      <c r="K374" s="396"/>
      <c r="L374" s="396"/>
      <c r="M374" s="396"/>
      <c r="N374" s="396"/>
      <c r="O374" s="396"/>
      <c r="P374" s="396"/>
      <c r="Q374" s="396"/>
      <c r="R374" s="396"/>
      <c r="S374" s="396"/>
      <c r="T374" s="396"/>
      <c r="U374" s="396"/>
      <c r="V374" s="396"/>
      <c r="W374" s="396"/>
      <c r="X374" s="396"/>
      <c r="Y374" s="396"/>
      <c r="Z374" s="396"/>
      <c r="AA374" s="396"/>
    </row>
    <row r="375" spans="1:27" x14ac:dyDescent="0.25">
      <c r="A375" s="396"/>
      <c r="B375" s="396"/>
      <c r="C375" s="396"/>
      <c r="D375" s="396"/>
      <c r="E375" s="396"/>
      <c r="F375" s="396"/>
      <c r="G375" s="396"/>
      <c r="H375" s="396"/>
      <c r="I375" s="396"/>
      <c r="J375" s="396"/>
      <c r="K375" s="396"/>
      <c r="L375" s="396"/>
      <c r="M375" s="396"/>
      <c r="N375" s="396"/>
      <c r="O375" s="396"/>
      <c r="P375" s="396"/>
      <c r="Q375" s="396"/>
      <c r="R375" s="396"/>
      <c r="S375" s="396"/>
      <c r="T375" s="396"/>
      <c r="U375" s="396"/>
      <c r="V375" s="396"/>
      <c r="W375" s="396"/>
      <c r="X375" s="396"/>
      <c r="Y375" s="396"/>
      <c r="Z375" s="396"/>
      <c r="AA375" s="396"/>
    </row>
    <row r="376" spans="1:27" x14ac:dyDescent="0.25">
      <c r="A376" s="396"/>
      <c r="B376" s="396"/>
      <c r="C376" s="396"/>
      <c r="D376" s="396"/>
      <c r="E376" s="396"/>
      <c r="F376" s="396"/>
      <c r="G376" s="396"/>
      <c r="H376" s="396"/>
      <c r="I376" s="396"/>
      <c r="J376" s="396"/>
      <c r="K376" s="396"/>
      <c r="L376" s="396"/>
      <c r="M376" s="396"/>
      <c r="N376" s="396"/>
      <c r="O376" s="396"/>
      <c r="P376" s="396"/>
      <c r="Q376" s="396"/>
      <c r="R376" s="396"/>
      <c r="S376" s="396"/>
      <c r="T376" s="396"/>
      <c r="U376" s="396"/>
      <c r="V376" s="396"/>
      <c r="W376" s="396"/>
      <c r="X376" s="396"/>
      <c r="Y376" s="396"/>
      <c r="Z376" s="396"/>
      <c r="AA376" s="396"/>
    </row>
    <row r="377" spans="1:27" x14ac:dyDescent="0.25">
      <c r="A377" s="396"/>
      <c r="B377" s="396"/>
      <c r="C377" s="396"/>
      <c r="D377" s="396"/>
      <c r="E377" s="396"/>
      <c r="F377" s="396"/>
      <c r="G377" s="396"/>
      <c r="H377" s="396"/>
      <c r="I377" s="396"/>
      <c r="J377" s="396"/>
      <c r="K377" s="396"/>
      <c r="L377" s="396"/>
      <c r="M377" s="396"/>
      <c r="N377" s="396"/>
      <c r="O377" s="396"/>
      <c r="P377" s="396"/>
      <c r="Q377" s="396"/>
      <c r="R377" s="396"/>
      <c r="S377" s="396"/>
      <c r="T377" s="396"/>
      <c r="U377" s="396"/>
      <c r="V377" s="396"/>
      <c r="W377" s="396"/>
      <c r="X377" s="396"/>
      <c r="Y377" s="396"/>
      <c r="Z377" s="396"/>
      <c r="AA377" s="396"/>
    </row>
  </sheetData>
  <dataConsolidate/>
  <mergeCells count="15">
    <mergeCell ref="I27:I39"/>
    <mergeCell ref="S49:S50"/>
    <mergeCell ref="T49:U49"/>
    <mergeCell ref="C62:D62"/>
    <mergeCell ref="E62:F62"/>
    <mergeCell ref="G62:H62"/>
    <mergeCell ref="I62:J62"/>
    <mergeCell ref="C76:D76"/>
    <mergeCell ref="E76:F76"/>
    <mergeCell ref="G76:H76"/>
    <mergeCell ref="I76:J76"/>
    <mergeCell ref="C90:D90"/>
    <mergeCell ref="E90:F90"/>
    <mergeCell ref="G90:H90"/>
    <mergeCell ref="I90:J90"/>
  </mergeCells>
  <conditionalFormatting sqref="D34:D44 D12:D18">
    <cfRule type="iconSet" priority="1">
      <iconSet iconSet="3Arrows" showValue="0">
        <cfvo type="percent" val="0"/>
        <cfvo type="num" val="0"/>
        <cfvo type="num" val="0" gte="0"/>
      </iconSet>
    </cfRule>
  </conditionalFormatting>
  <dataValidations count="3">
    <dataValidation allowBlank="1" showErrorMessage="1" promptTitle="QtPt" prompt="Total cost=quantity multiplied by unit cost" sqref="G24:G39 H40:H44 D12:F12 D14:D18 D34:E44 F24:F44 F13:F22 E13:E19"/>
    <dataValidation allowBlank="1" showInputMessage="1" showErrorMessage="1" promptTitle="QtPt" prompt="Total cost=quantity multiplied by unit cost" sqref="D13"/>
    <dataValidation allowBlank="1" showErrorMessage="1" promptTitle="Qt" prompt="Quantity_x000a_" sqref="C12:C14"/>
  </dataValidations>
  <pageMargins left="0.7" right="0.7" top="0.75" bottom="0.75" header="0.3" footer="0.3"/>
  <pageSetup paperSize="9" orientation="portrait"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4" tint="0.39997558519241921"/>
  </sheetPr>
  <dimension ref="A1:AB146"/>
  <sheetViews>
    <sheetView showGridLines="0" showRowColHeaders="0" topLeftCell="A16" zoomScaleNormal="100" workbookViewId="0"/>
  </sheetViews>
  <sheetFormatPr defaultRowHeight="12.75" x14ac:dyDescent="0.2"/>
  <cols>
    <col min="1" max="1" width="9.140625" style="276"/>
    <col min="2" max="2" width="30.7109375" style="276" customWidth="1"/>
    <col min="3" max="5" width="12.42578125" style="276" customWidth="1"/>
    <col min="6" max="6" width="8.7109375" style="276" customWidth="1"/>
    <col min="7" max="7" width="30.7109375" style="276" customWidth="1"/>
    <col min="8" max="8" width="7.7109375" style="276" customWidth="1"/>
    <col min="9" max="9" width="35.85546875" style="276" customWidth="1"/>
    <col min="10" max="10" width="12.5703125" style="276" customWidth="1"/>
    <col min="11" max="11" width="9.5703125" style="276" customWidth="1"/>
    <col min="12" max="13" width="11.7109375" style="276" customWidth="1"/>
    <col min="14" max="14" width="8.7109375" style="276" customWidth="1"/>
    <col min="15" max="15" width="30.7109375" style="276" customWidth="1"/>
    <col min="16" max="17" width="8" style="276" customWidth="1"/>
    <col min="18" max="18" width="20.7109375" style="276" customWidth="1"/>
    <col min="19" max="16384" width="9.140625" style="276"/>
  </cols>
  <sheetData>
    <row r="1" spans="1:8" x14ac:dyDescent="0.2">
      <c r="A1" s="279"/>
      <c r="B1" s="279"/>
      <c r="C1" s="279"/>
      <c r="D1" s="279"/>
      <c r="E1" s="279"/>
      <c r="F1" s="279"/>
      <c r="G1" s="279"/>
    </row>
    <row r="2" spans="1:8" ht="36" x14ac:dyDescent="0.55000000000000004">
      <c r="A2" s="279"/>
      <c r="B2" s="1014" t="s">
        <v>884</v>
      </c>
      <c r="C2" s="279"/>
      <c r="D2" s="279"/>
      <c r="E2" s="279"/>
      <c r="F2" s="279"/>
    </row>
    <row r="4" spans="1:8" ht="51" x14ac:dyDescent="0.2">
      <c r="B4" s="1874" t="s">
        <v>642</v>
      </c>
    </row>
    <row r="5" spans="1:8" ht="25.5" x14ac:dyDescent="0.2">
      <c r="B5" s="1874" t="s">
        <v>891</v>
      </c>
    </row>
    <row r="6" spans="1:8" x14ac:dyDescent="0.2">
      <c r="B6" s="1874"/>
    </row>
    <row r="7" spans="1:8" x14ac:dyDescent="0.2">
      <c r="B7" s="1889"/>
    </row>
    <row r="8" spans="1:8" ht="39" x14ac:dyDescent="0.25">
      <c r="B8" s="1895" t="s">
        <v>885</v>
      </c>
      <c r="C8" s="705" t="s">
        <v>536</v>
      </c>
      <c r="D8" s="706" t="s">
        <v>506</v>
      </c>
      <c r="E8" s="706" t="s">
        <v>507</v>
      </c>
      <c r="F8" s="1456" t="s">
        <v>556</v>
      </c>
      <c r="G8" s="1871" t="s">
        <v>503</v>
      </c>
      <c r="H8" s="1455" t="s">
        <v>536</v>
      </c>
    </row>
    <row r="9" spans="1:8" x14ac:dyDescent="0.2">
      <c r="B9" s="1889"/>
    </row>
    <row r="10" spans="1:8" ht="24.95" customHeight="1" x14ac:dyDescent="0.2">
      <c r="B10" s="1890" t="s">
        <v>887</v>
      </c>
      <c r="C10" s="1742">
        <f>D142</f>
        <v>40775049.303849995</v>
      </c>
      <c r="D10" s="1742">
        <f>MIN(D135:D142)</f>
        <v>25618723.30074</v>
      </c>
      <c r="E10" s="1742">
        <f>MIN(D135:D142)</f>
        <v>25618723.30074</v>
      </c>
      <c r="F10" s="1891">
        <f>D135/1000000</f>
        <v>25.618723300740001</v>
      </c>
      <c r="H10" s="1892">
        <f>D142/1000000</f>
        <v>40.775049303849997</v>
      </c>
    </row>
    <row r="11" spans="1:8" ht="24.95" customHeight="1" x14ac:dyDescent="0.2">
      <c r="B11" s="1890" t="s">
        <v>888</v>
      </c>
      <c r="C11" s="1742">
        <f>C142</f>
        <v>1872598</v>
      </c>
      <c r="D11" s="1742">
        <f>MIN(C135:C142)</f>
        <v>1185244</v>
      </c>
      <c r="E11" s="1742">
        <f>MIN(C135:C142)</f>
        <v>1185244</v>
      </c>
      <c r="F11" s="1894">
        <f>C135/1000000</f>
        <v>1.5572820000000001</v>
      </c>
      <c r="H11" s="1893">
        <f>C142/1000000</f>
        <v>1.872598</v>
      </c>
    </row>
    <row r="12" spans="1:8" ht="24.95" customHeight="1" x14ac:dyDescent="0.2">
      <c r="B12" s="1890" t="s">
        <v>889</v>
      </c>
      <c r="C12" s="1742">
        <f>B142</f>
        <v>43360622</v>
      </c>
      <c r="D12" s="1742">
        <f>MIN(B135:B142)</f>
        <v>31334252</v>
      </c>
      <c r="E12" s="1742">
        <f>MIN(B135:B142)</f>
        <v>31334252</v>
      </c>
      <c r="F12" s="1891">
        <f>B135/1000000</f>
        <v>31.334251999999999</v>
      </c>
      <c r="H12" s="1892">
        <f>B142/1000000</f>
        <v>43.360621999999999</v>
      </c>
    </row>
    <row r="13" spans="1:8" x14ac:dyDescent="0.2">
      <c r="B13" s="1889"/>
      <c r="F13" s="703"/>
    </row>
    <row r="14" spans="1:8" x14ac:dyDescent="0.2">
      <c r="B14" s="1889"/>
    </row>
    <row r="15" spans="1:8" x14ac:dyDescent="0.2">
      <c r="B15" s="1889"/>
    </row>
    <row r="16" spans="1:8" ht="31.5" x14ac:dyDescent="0.25">
      <c r="B16" s="1895" t="s">
        <v>886</v>
      </c>
    </row>
    <row r="17" spans="1:19" ht="18" customHeight="1" x14ac:dyDescent="0.2">
      <c r="B17" s="627"/>
    </row>
    <row r="18" spans="1:19" ht="18" customHeight="1" x14ac:dyDescent="0.2">
      <c r="B18" s="627" t="s">
        <v>561</v>
      </c>
      <c r="G18" s="627"/>
    </row>
    <row r="19" spans="1:19" ht="18" customHeight="1" x14ac:dyDescent="0.2">
      <c r="D19" s="703"/>
      <c r="E19" s="703"/>
    </row>
    <row r="20" spans="1:19" ht="51" x14ac:dyDescent="0.2">
      <c r="A20" s="595"/>
      <c r="B20" s="704" t="s">
        <v>641</v>
      </c>
      <c r="C20" s="705" t="s">
        <v>645</v>
      </c>
      <c r="D20" s="706" t="s">
        <v>506</v>
      </c>
      <c r="E20" s="706" t="s">
        <v>507</v>
      </c>
      <c r="F20" s="1456" t="s">
        <v>635</v>
      </c>
      <c r="G20" s="600" t="s">
        <v>503</v>
      </c>
      <c r="H20" s="1455" t="s">
        <v>645</v>
      </c>
      <c r="I20" s="704" t="s">
        <v>522</v>
      </c>
      <c r="J20" s="708" t="s">
        <v>531</v>
      </c>
      <c r="K20" s="708" t="s">
        <v>654</v>
      </c>
      <c r="L20" s="600" t="s">
        <v>506</v>
      </c>
      <c r="M20" s="600" t="s">
        <v>507</v>
      </c>
      <c r="N20" s="1457" t="s">
        <v>646</v>
      </c>
      <c r="O20" s="600" t="s">
        <v>521</v>
      </c>
      <c r="P20" s="630" t="s">
        <v>536</v>
      </c>
      <c r="Q20" s="709"/>
      <c r="R20" s="709"/>
      <c r="S20" s="709"/>
    </row>
    <row r="21" spans="1:19" ht="24.95" customHeight="1" x14ac:dyDescent="0.2">
      <c r="B21" s="627" t="s">
        <v>455</v>
      </c>
      <c r="C21" s="723"/>
      <c r="D21" s="1736"/>
      <c r="E21" s="1736"/>
      <c r="F21" s="1020"/>
      <c r="G21" s="279"/>
      <c r="H21" s="1021"/>
      <c r="I21" s="943" t="s">
        <v>514</v>
      </c>
      <c r="J21" s="1019">
        <f t="shared" ref="J21:J28" si="0">Q63</f>
        <v>97367</v>
      </c>
      <c r="K21" s="713">
        <f t="shared" ref="K21:K28" si="1">IF(P63&lt;&gt;0,Q63/P63-1,"")</f>
        <v>2.4085741030953844E-2</v>
      </c>
      <c r="L21" s="641">
        <f t="shared" ref="L21:L28" si="2">MIN(M63:Q63)</f>
        <v>82790</v>
      </c>
      <c r="M21" s="641">
        <f t="shared" ref="M21:M28" si="3">MAX(M63:Q63)</f>
        <v>97367</v>
      </c>
      <c r="N21" s="711">
        <f t="shared" ref="N21:N28" si="4">M63/1000</f>
        <v>82.79</v>
      </c>
      <c r="P21" s="712">
        <f t="shared" ref="P21:P28" si="5">Q63/1000</f>
        <v>97.367000000000004</v>
      </c>
    </row>
    <row r="22" spans="1:19" ht="24.95" customHeight="1" x14ac:dyDescent="0.2">
      <c r="B22" s="276" t="s">
        <v>456</v>
      </c>
      <c r="C22" s="1737">
        <f>K64</f>
        <v>85975.123000000007</v>
      </c>
      <c r="D22" s="1736">
        <f>MIN(G64:K64)</f>
        <v>68260</v>
      </c>
      <c r="E22" s="1736">
        <f>MAX(G64:K64)</f>
        <v>85975.123000000007</v>
      </c>
      <c r="F22" s="1738">
        <f>G64/1000</f>
        <v>68.260000000000005</v>
      </c>
      <c r="G22" s="279"/>
      <c r="H22" s="1021">
        <f>K64/1000</f>
        <v>85.975123000000011</v>
      </c>
      <c r="I22" s="943" t="s">
        <v>530</v>
      </c>
      <c r="J22" s="1019">
        <f t="shared" si="0"/>
        <v>24910</v>
      </c>
      <c r="K22" s="713">
        <f t="shared" si="1"/>
        <v>-5.8269476372924123E-3</v>
      </c>
      <c r="L22" s="641">
        <f t="shared" si="2"/>
        <v>21149</v>
      </c>
      <c r="M22" s="641">
        <f t="shared" si="3"/>
        <v>25056</v>
      </c>
      <c r="N22" s="711">
        <f t="shared" si="4"/>
        <v>21.149000000000001</v>
      </c>
      <c r="P22" s="712">
        <f t="shared" si="5"/>
        <v>24.91</v>
      </c>
    </row>
    <row r="23" spans="1:19" ht="24.95" customHeight="1" x14ac:dyDescent="0.2">
      <c r="B23" s="276" t="s">
        <v>457</v>
      </c>
      <c r="C23" s="1737">
        <f>K65</f>
        <v>76977.109339000002</v>
      </c>
      <c r="D23" s="1736">
        <f t="shared" ref="D23:D28" si="6">MIN(G65:K65)</f>
        <v>67107.280000000057</v>
      </c>
      <c r="E23" s="1736">
        <f t="shared" ref="E23:E28" si="7">MAX(G65:K65)</f>
        <v>76977.109339000002</v>
      </c>
      <c r="F23" s="1738">
        <f t="shared" ref="F23:F28" si="8">G65/1000</f>
        <v>67.10728000000006</v>
      </c>
      <c r="G23" s="279"/>
      <c r="H23" s="1021">
        <f t="shared" ref="H23:H28" si="9">K65/1000</f>
        <v>76.977109339000009</v>
      </c>
      <c r="I23" s="943" t="s">
        <v>515</v>
      </c>
      <c r="J23" s="1019">
        <f t="shared" si="0"/>
        <v>251615</v>
      </c>
      <c r="K23" s="713">
        <f t="shared" si="1"/>
        <v>-4.5911808981393354E-2</v>
      </c>
      <c r="L23" s="641">
        <f t="shared" si="2"/>
        <v>237264</v>
      </c>
      <c r="M23" s="641">
        <f t="shared" si="3"/>
        <v>263723</v>
      </c>
      <c r="N23" s="711">
        <f t="shared" si="4"/>
        <v>237.26400000000001</v>
      </c>
      <c r="P23" s="712">
        <f t="shared" si="5"/>
        <v>251.61500000000001</v>
      </c>
    </row>
    <row r="24" spans="1:19" ht="24.95" customHeight="1" x14ac:dyDescent="0.2">
      <c r="B24" s="276" t="s">
        <v>458</v>
      </c>
      <c r="C24" s="1737">
        <f>K66</f>
        <v>33383.909999999902</v>
      </c>
      <c r="D24" s="1736">
        <f t="shared" si="6"/>
        <v>29155</v>
      </c>
      <c r="E24" s="1736">
        <f t="shared" si="7"/>
        <v>33383.909999999902</v>
      </c>
      <c r="F24" s="1738">
        <f t="shared" si="8"/>
        <v>29.155000000000001</v>
      </c>
      <c r="G24" s="279"/>
      <c r="H24" s="1021">
        <f t="shared" si="9"/>
        <v>33.383909999999901</v>
      </c>
      <c r="I24" s="943" t="s">
        <v>528</v>
      </c>
      <c r="J24" s="1019">
        <f t="shared" si="0"/>
        <v>117270</v>
      </c>
      <c r="K24" s="713">
        <f t="shared" si="1"/>
        <v>2.1640269719303662E-2</v>
      </c>
      <c r="L24" s="641">
        <f t="shared" si="2"/>
        <v>101114</v>
      </c>
      <c r="M24" s="641">
        <f t="shared" si="3"/>
        <v>117270</v>
      </c>
      <c r="N24" s="711">
        <f t="shared" si="4"/>
        <v>101.114</v>
      </c>
      <c r="P24" s="712">
        <f t="shared" si="5"/>
        <v>117.27</v>
      </c>
    </row>
    <row r="25" spans="1:19" ht="24.95" customHeight="1" x14ac:dyDescent="0.2">
      <c r="B25" s="627" t="s">
        <v>459</v>
      </c>
      <c r="C25" s="1737"/>
      <c r="D25" s="1736"/>
      <c r="E25" s="1736"/>
      <c r="F25" s="1020"/>
      <c r="G25" s="279"/>
      <c r="H25" s="1021"/>
      <c r="I25" s="943" t="s">
        <v>516</v>
      </c>
      <c r="J25" s="1019">
        <f t="shared" si="0"/>
        <v>376835</v>
      </c>
      <c r="K25" s="713">
        <f t="shared" si="1"/>
        <v>-2.9184681085256958E-3</v>
      </c>
      <c r="L25" s="641">
        <f t="shared" si="2"/>
        <v>363344</v>
      </c>
      <c r="M25" s="641">
        <f t="shared" si="3"/>
        <v>377938</v>
      </c>
      <c r="N25" s="711">
        <f t="shared" si="4"/>
        <v>363.34399999999999</v>
      </c>
      <c r="P25" s="712">
        <f t="shared" si="5"/>
        <v>376.83499999999998</v>
      </c>
    </row>
    <row r="26" spans="1:19" ht="24.95" customHeight="1" x14ac:dyDescent="0.2">
      <c r="B26" s="276" t="s">
        <v>460</v>
      </c>
      <c r="C26" s="1737">
        <f>K68</f>
        <v>425982.81933300005</v>
      </c>
      <c r="D26" s="1736">
        <f t="shared" si="6"/>
        <v>381588.88146992686</v>
      </c>
      <c r="E26" s="1736">
        <f t="shared" si="7"/>
        <v>425982.81933300005</v>
      </c>
      <c r="F26" s="1738">
        <f t="shared" si="8"/>
        <v>381.58888146992683</v>
      </c>
      <c r="G26" s="279"/>
      <c r="H26" s="1021">
        <f t="shared" si="9"/>
        <v>425.98281933300007</v>
      </c>
      <c r="I26" s="943" t="s">
        <v>529</v>
      </c>
      <c r="J26" s="1019">
        <f t="shared" si="0"/>
        <v>3024</v>
      </c>
      <c r="K26" s="713">
        <f t="shared" si="1"/>
        <v>0.14372163388804848</v>
      </c>
      <c r="L26" s="641">
        <f t="shared" si="2"/>
        <v>2533</v>
      </c>
      <c r="M26" s="641">
        <f t="shared" si="3"/>
        <v>3176</v>
      </c>
      <c r="N26" s="711">
        <f t="shared" si="4"/>
        <v>3.1760000000000002</v>
      </c>
      <c r="P26" s="712">
        <f t="shared" si="5"/>
        <v>3.024</v>
      </c>
    </row>
    <row r="27" spans="1:19" ht="24.95" customHeight="1" x14ac:dyDescent="0.2">
      <c r="B27" s="276" t="s">
        <v>461</v>
      </c>
      <c r="C27" s="1737">
        <f>K69</f>
        <v>273202.03729799914</v>
      </c>
      <c r="D27" s="1736">
        <f t="shared" si="6"/>
        <v>251457.81616399903</v>
      </c>
      <c r="E27" s="1736">
        <f t="shared" si="7"/>
        <v>278993.995</v>
      </c>
      <c r="F27" s="1738">
        <f t="shared" si="8"/>
        <v>251.45781616399904</v>
      </c>
      <c r="G27" s="279"/>
      <c r="H27" s="1021">
        <f t="shared" si="9"/>
        <v>273.20203729799914</v>
      </c>
      <c r="I27" s="943" t="s">
        <v>517</v>
      </c>
      <c r="J27" s="1019">
        <f t="shared" si="0"/>
        <v>128133</v>
      </c>
      <c r="K27" s="713">
        <f t="shared" si="1"/>
        <v>3.4373360242179629E-2</v>
      </c>
      <c r="L27" s="641">
        <f t="shared" si="2"/>
        <v>104866</v>
      </c>
      <c r="M27" s="641">
        <f t="shared" si="3"/>
        <v>128133</v>
      </c>
      <c r="N27" s="711">
        <f t="shared" si="4"/>
        <v>104.866</v>
      </c>
      <c r="P27" s="712">
        <f t="shared" si="5"/>
        <v>128.13300000000001</v>
      </c>
    </row>
    <row r="28" spans="1:19" ht="24.95" customHeight="1" x14ac:dyDescent="0.2">
      <c r="B28" s="276" t="s">
        <v>462</v>
      </c>
      <c r="C28" s="1737">
        <f>K70</f>
        <v>177871.17167499999</v>
      </c>
      <c r="D28" s="1736">
        <f t="shared" si="6"/>
        <v>158026.01029999717</v>
      </c>
      <c r="E28" s="1736">
        <f t="shared" si="7"/>
        <v>186137.03699999998</v>
      </c>
      <c r="F28" s="1738">
        <f t="shared" si="8"/>
        <v>158.02601029999718</v>
      </c>
      <c r="G28" s="279"/>
      <c r="H28" s="1021">
        <f t="shared" si="9"/>
        <v>177.871171675</v>
      </c>
      <c r="I28" s="943" t="s">
        <v>518</v>
      </c>
      <c r="J28" s="1019">
        <f t="shared" si="0"/>
        <v>54389</v>
      </c>
      <c r="K28" s="713">
        <f t="shared" si="1"/>
        <v>0.30934784178723618</v>
      </c>
      <c r="L28" s="641">
        <f t="shared" si="2"/>
        <v>36888</v>
      </c>
      <c r="M28" s="641">
        <f t="shared" si="3"/>
        <v>54389</v>
      </c>
      <c r="N28" s="711">
        <f t="shared" si="4"/>
        <v>36.887999999999998</v>
      </c>
      <c r="P28" s="712">
        <f t="shared" si="5"/>
        <v>54.389000000000003</v>
      </c>
    </row>
    <row r="29" spans="1:19" ht="24.95" customHeight="1" x14ac:dyDescent="0.2">
      <c r="C29" s="279"/>
      <c r="D29" s="1672"/>
      <c r="E29" s="1672"/>
      <c r="F29" s="1020"/>
      <c r="G29" s="279"/>
      <c r="H29" s="1021"/>
      <c r="I29" s="943" t="s">
        <v>519</v>
      </c>
      <c r="J29" s="1019">
        <f>Q71</f>
        <v>14</v>
      </c>
      <c r="K29" s="713">
        <f>IF(P71&lt;&gt;0,Q71/P71-1,"")</f>
        <v>-0.75</v>
      </c>
      <c r="L29" s="641">
        <f>MIN(M71:Q71)</f>
        <v>14</v>
      </c>
      <c r="M29" s="641">
        <f>MAX(M71:Q71)</f>
        <v>1056</v>
      </c>
      <c r="N29" s="711">
        <f>M71/1000</f>
        <v>1.056</v>
      </c>
      <c r="P29" s="712">
        <f>Q71/1000</f>
        <v>1.4E-2</v>
      </c>
    </row>
    <row r="30" spans="1:19" ht="24.95" customHeight="1" x14ac:dyDescent="0.2">
      <c r="A30" s="383"/>
    </row>
    <row r="31" spans="1:19" ht="24.95" customHeight="1" x14ac:dyDescent="0.2">
      <c r="A31" s="383" t="b">
        <v>0</v>
      </c>
    </row>
    <row r="32" spans="1:19" ht="24.95" customHeight="1" x14ac:dyDescent="0.2">
      <c r="A32" s="383"/>
      <c r="H32" s="703"/>
    </row>
    <row r="33" spans="1:28" ht="18" customHeight="1" x14ac:dyDescent="0.2">
      <c r="A33" s="383"/>
      <c r="B33" s="1334" t="str">
        <f t="shared" ref="B33:K33" si="10">IF($A$31=TRUE,B62,"")</f>
        <v/>
      </c>
      <c r="C33" s="600" t="str">
        <f t="shared" si="10"/>
        <v/>
      </c>
      <c r="D33" s="600" t="str">
        <f t="shared" si="10"/>
        <v/>
      </c>
      <c r="E33" s="600" t="str">
        <f t="shared" si="10"/>
        <v/>
      </c>
      <c r="F33" s="600" t="str">
        <f t="shared" si="10"/>
        <v/>
      </c>
      <c r="G33" s="600" t="str">
        <f t="shared" si="10"/>
        <v/>
      </c>
      <c r="H33" s="600" t="str">
        <f t="shared" si="10"/>
        <v/>
      </c>
      <c r="I33" s="600" t="str">
        <f t="shared" si="10"/>
        <v/>
      </c>
      <c r="J33" s="600" t="str">
        <f t="shared" si="10"/>
        <v/>
      </c>
      <c r="K33" s="714" t="str">
        <f t="shared" si="10"/>
        <v/>
      </c>
      <c r="L33" s="714"/>
      <c r="M33" s="600"/>
      <c r="N33" s="600"/>
      <c r="O33" s="600"/>
      <c r="P33" s="600"/>
      <c r="Q33" s="600"/>
      <c r="R33" s="595"/>
    </row>
    <row r="34" spans="1:28" ht="18" customHeight="1" x14ac:dyDescent="0.2">
      <c r="B34" s="714" t="str">
        <f t="shared" ref="B34:B41" si="11">IF($A$31=TRUE,B63,"")</f>
        <v/>
      </c>
      <c r="C34" s="595"/>
      <c r="D34" s="595"/>
      <c r="E34" s="595"/>
      <c r="F34" s="595"/>
      <c r="G34" s="595"/>
      <c r="H34" s="595"/>
      <c r="I34" s="595"/>
      <c r="J34" s="595"/>
      <c r="K34" s="640"/>
      <c r="L34" s="640"/>
      <c r="M34" s="641"/>
      <c r="N34" s="641"/>
      <c r="O34" s="641"/>
      <c r="P34" s="641"/>
      <c r="Q34" s="641"/>
      <c r="R34" s="595"/>
    </row>
    <row r="35" spans="1:28" ht="18" customHeight="1" x14ac:dyDescent="0.2">
      <c r="B35" s="1335" t="str">
        <f t="shared" si="11"/>
        <v/>
      </c>
      <c r="C35" s="641" t="str">
        <f t="shared" ref="C35:H37" si="12">IF($A$31=TRUE,C64,"")</f>
        <v/>
      </c>
      <c r="D35" s="641" t="str">
        <f t="shared" si="12"/>
        <v/>
      </c>
      <c r="E35" s="641" t="str">
        <f t="shared" si="12"/>
        <v/>
      </c>
      <c r="F35" s="641" t="str">
        <f t="shared" si="12"/>
        <v/>
      </c>
      <c r="G35" s="641" t="str">
        <f t="shared" si="12"/>
        <v/>
      </c>
      <c r="H35" s="641" t="str">
        <f t="shared" si="12"/>
        <v/>
      </c>
      <c r="I35" s="641" t="str">
        <f t="shared" ref="I35:K37" si="13">IF($A$31=TRUE,I64,"")</f>
        <v/>
      </c>
      <c r="J35" s="641" t="str">
        <f t="shared" si="13"/>
        <v/>
      </c>
      <c r="K35" s="715" t="str">
        <f t="shared" si="13"/>
        <v/>
      </c>
      <c r="L35" s="640"/>
      <c r="M35" s="641"/>
      <c r="N35" s="641"/>
      <c r="O35" s="641"/>
      <c r="P35" s="641"/>
      <c r="Q35" s="641"/>
      <c r="R35" s="595"/>
    </row>
    <row r="36" spans="1:28" ht="18" customHeight="1" x14ac:dyDescent="0.2">
      <c r="B36" s="1335" t="str">
        <f t="shared" si="11"/>
        <v/>
      </c>
      <c r="C36" s="641" t="str">
        <f t="shared" si="12"/>
        <v/>
      </c>
      <c r="D36" s="641" t="str">
        <f t="shared" si="12"/>
        <v/>
      </c>
      <c r="E36" s="641" t="str">
        <f t="shared" si="12"/>
        <v/>
      </c>
      <c r="F36" s="641" t="str">
        <f t="shared" si="12"/>
        <v/>
      </c>
      <c r="G36" s="641" t="str">
        <f t="shared" si="12"/>
        <v/>
      </c>
      <c r="H36" s="641" t="str">
        <f t="shared" si="12"/>
        <v/>
      </c>
      <c r="I36" s="641" t="str">
        <f t="shared" si="13"/>
        <v/>
      </c>
      <c r="J36" s="641" t="str">
        <f t="shared" si="13"/>
        <v/>
      </c>
      <c r="K36" s="715" t="str">
        <f t="shared" si="13"/>
        <v/>
      </c>
      <c r="L36" s="640"/>
      <c r="M36" s="641"/>
      <c r="N36" s="641"/>
      <c r="O36" s="641"/>
      <c r="P36" s="641"/>
      <c r="Q36" s="641"/>
      <c r="R36" s="595"/>
    </row>
    <row r="37" spans="1:28" ht="18" customHeight="1" x14ac:dyDescent="0.2">
      <c r="B37" s="1335" t="str">
        <f t="shared" si="11"/>
        <v/>
      </c>
      <c r="C37" s="641" t="str">
        <f t="shared" si="12"/>
        <v/>
      </c>
      <c r="D37" s="641" t="str">
        <f t="shared" si="12"/>
        <v/>
      </c>
      <c r="E37" s="641" t="str">
        <f t="shared" si="12"/>
        <v/>
      </c>
      <c r="F37" s="641" t="str">
        <f t="shared" si="12"/>
        <v/>
      </c>
      <c r="G37" s="641" t="str">
        <f t="shared" si="12"/>
        <v/>
      </c>
      <c r="H37" s="641" t="str">
        <f t="shared" si="12"/>
        <v/>
      </c>
      <c r="I37" s="641" t="str">
        <f t="shared" si="13"/>
        <v/>
      </c>
      <c r="J37" s="641" t="str">
        <f t="shared" si="13"/>
        <v/>
      </c>
      <c r="K37" s="715" t="str">
        <f t="shared" si="13"/>
        <v/>
      </c>
      <c r="L37" s="640"/>
      <c r="M37" s="641"/>
      <c r="N37" s="641"/>
      <c r="O37" s="641"/>
      <c r="P37" s="641"/>
      <c r="Q37" s="641"/>
      <c r="R37" s="595"/>
    </row>
    <row r="38" spans="1:28" ht="18" customHeight="1" x14ac:dyDescent="0.2">
      <c r="B38" s="714" t="str">
        <f t="shared" si="11"/>
        <v/>
      </c>
      <c r="C38" s="641"/>
      <c r="D38" s="641"/>
      <c r="E38" s="641"/>
      <c r="F38" s="641"/>
      <c r="G38" s="641"/>
      <c r="H38" s="641"/>
      <c r="I38" s="641"/>
      <c r="J38" s="641"/>
      <c r="K38" s="715"/>
      <c r="L38" s="640"/>
      <c r="M38" s="641"/>
      <c r="N38" s="641"/>
      <c r="O38" s="641"/>
      <c r="P38" s="641"/>
      <c r="Q38" s="641"/>
      <c r="R38" s="595"/>
      <c r="V38" s="279"/>
    </row>
    <row r="39" spans="1:28" ht="18" customHeight="1" x14ac:dyDescent="0.2">
      <c r="B39" s="1335" t="str">
        <f t="shared" si="11"/>
        <v/>
      </c>
      <c r="C39" s="641" t="str">
        <f t="shared" ref="C39:F41" si="14">IF($A$31=TRUE,C68,"")</f>
        <v/>
      </c>
      <c r="D39" s="641" t="str">
        <f t="shared" si="14"/>
        <v/>
      </c>
      <c r="E39" s="641" t="str">
        <f t="shared" si="14"/>
        <v/>
      </c>
      <c r="F39" s="641" t="str">
        <f t="shared" si="14"/>
        <v/>
      </c>
      <c r="G39" s="641" t="str">
        <f t="shared" ref="G39:H41" si="15">IF($A$31=TRUE,G68,"")</f>
        <v/>
      </c>
      <c r="H39" s="641" t="str">
        <f t="shared" si="15"/>
        <v/>
      </c>
      <c r="I39" s="641" t="str">
        <f t="shared" ref="I39:K41" si="16">IF($A$31=TRUE,I68,"")</f>
        <v/>
      </c>
      <c r="J39" s="641" t="str">
        <f t="shared" si="16"/>
        <v/>
      </c>
      <c r="K39" s="715" t="str">
        <f t="shared" si="16"/>
        <v/>
      </c>
      <c r="L39" s="640"/>
      <c r="M39" s="641"/>
      <c r="N39" s="641"/>
      <c r="O39" s="641"/>
      <c r="P39" s="641"/>
      <c r="Q39" s="641"/>
      <c r="R39" s="595"/>
    </row>
    <row r="40" spans="1:28" ht="18" customHeight="1" x14ac:dyDescent="0.2">
      <c r="B40" s="1335" t="str">
        <f t="shared" si="11"/>
        <v/>
      </c>
      <c r="C40" s="641" t="str">
        <f t="shared" si="14"/>
        <v/>
      </c>
      <c r="D40" s="641" t="str">
        <f t="shared" si="14"/>
        <v/>
      </c>
      <c r="E40" s="641" t="str">
        <f t="shared" si="14"/>
        <v/>
      </c>
      <c r="F40" s="641" t="str">
        <f t="shared" si="14"/>
        <v/>
      </c>
      <c r="G40" s="641" t="str">
        <f t="shared" si="15"/>
        <v/>
      </c>
      <c r="H40" s="641" t="str">
        <f t="shared" si="15"/>
        <v/>
      </c>
      <c r="I40" s="641" t="str">
        <f t="shared" si="16"/>
        <v/>
      </c>
      <c r="J40" s="641" t="str">
        <f t="shared" si="16"/>
        <v/>
      </c>
      <c r="K40" s="715" t="str">
        <f t="shared" si="16"/>
        <v/>
      </c>
      <c r="L40" s="640"/>
      <c r="M40" s="641"/>
      <c r="N40" s="641"/>
      <c r="O40" s="641"/>
      <c r="P40" s="641"/>
      <c r="Q40" s="641"/>
      <c r="R40" s="595"/>
      <c r="AB40" s="676"/>
    </row>
    <row r="41" spans="1:28" ht="18" customHeight="1" x14ac:dyDescent="0.2">
      <c r="B41" s="1335" t="str">
        <f t="shared" si="11"/>
        <v/>
      </c>
      <c r="C41" s="641" t="str">
        <f t="shared" si="14"/>
        <v/>
      </c>
      <c r="D41" s="641" t="str">
        <f t="shared" si="14"/>
        <v/>
      </c>
      <c r="E41" s="641" t="str">
        <f t="shared" si="14"/>
        <v/>
      </c>
      <c r="F41" s="641" t="str">
        <f t="shared" si="14"/>
        <v/>
      </c>
      <c r="G41" s="641" t="str">
        <f t="shared" si="15"/>
        <v/>
      </c>
      <c r="H41" s="641" t="str">
        <f t="shared" si="15"/>
        <v/>
      </c>
      <c r="I41" s="641" t="str">
        <f t="shared" si="16"/>
        <v/>
      </c>
      <c r="J41" s="641" t="str">
        <f t="shared" si="16"/>
        <v/>
      </c>
      <c r="K41" s="715" t="str">
        <f t="shared" si="16"/>
        <v/>
      </c>
      <c r="L41" s="640"/>
      <c r="M41" s="641"/>
      <c r="N41" s="641"/>
      <c r="O41" s="641"/>
      <c r="P41" s="641"/>
      <c r="Q41" s="641"/>
      <c r="R41" s="595"/>
    </row>
    <row r="42" spans="1:28" ht="18" customHeight="1" x14ac:dyDescent="0.2">
      <c r="B42" s="1335"/>
      <c r="C42" s="595"/>
      <c r="D42" s="595"/>
      <c r="E42" s="595"/>
      <c r="F42" s="595"/>
      <c r="G42" s="595"/>
      <c r="H42" s="595"/>
      <c r="I42" s="595"/>
      <c r="J42" s="595"/>
      <c r="K42" s="640"/>
      <c r="L42" s="640"/>
      <c r="M42" s="641"/>
      <c r="N42" s="641"/>
      <c r="O42" s="641"/>
      <c r="P42" s="641"/>
      <c r="Q42" s="641"/>
      <c r="R42" s="595"/>
    </row>
    <row r="43" spans="1:28" ht="18" customHeight="1" x14ac:dyDescent="0.2">
      <c r="B43" s="714" t="str">
        <f t="shared" ref="B43:K43" si="17">IF($A$31=TRUE,B73,"")</f>
        <v/>
      </c>
      <c r="C43" s="716" t="str">
        <f t="shared" si="17"/>
        <v/>
      </c>
      <c r="D43" s="716" t="str">
        <f t="shared" si="17"/>
        <v/>
      </c>
      <c r="E43" s="716" t="str">
        <f t="shared" si="17"/>
        <v/>
      </c>
      <c r="F43" s="716" t="str">
        <f t="shared" si="17"/>
        <v/>
      </c>
      <c r="G43" s="716" t="str">
        <f t="shared" si="17"/>
        <v/>
      </c>
      <c r="H43" s="716" t="str">
        <f t="shared" si="17"/>
        <v/>
      </c>
      <c r="I43" s="716" t="str">
        <f t="shared" si="17"/>
        <v/>
      </c>
      <c r="J43" s="716" t="str">
        <f t="shared" si="17"/>
        <v/>
      </c>
      <c r="K43" s="717" t="str">
        <f t="shared" si="17"/>
        <v/>
      </c>
      <c r="L43" s="717"/>
      <c r="M43" s="716"/>
      <c r="N43" s="716"/>
      <c r="O43" s="716"/>
      <c r="P43" s="716"/>
      <c r="Q43" s="716"/>
      <c r="R43" s="595"/>
    </row>
    <row r="44" spans="1:28" ht="18" customHeight="1" x14ac:dyDescent="0.2">
      <c r="B44" s="1334"/>
      <c r="C44" s="716"/>
      <c r="D44" s="716"/>
      <c r="E44" s="716"/>
      <c r="F44" s="716"/>
      <c r="G44" s="716"/>
      <c r="H44" s="716"/>
      <c r="I44" s="716"/>
      <c r="J44" s="716"/>
      <c r="K44" s="717"/>
      <c r="L44" s="717"/>
      <c r="M44" s="716"/>
      <c r="N44" s="716"/>
      <c r="O44" s="716"/>
      <c r="P44" s="716"/>
      <c r="Q44" s="716"/>
      <c r="R44" s="1336"/>
    </row>
    <row r="45" spans="1:28" ht="18" customHeight="1" x14ac:dyDescent="0.2">
      <c r="B45" s="1334"/>
      <c r="C45" s="716"/>
      <c r="D45" s="716"/>
      <c r="E45" s="716"/>
      <c r="F45" s="716"/>
      <c r="G45" s="716"/>
      <c r="H45" s="716"/>
      <c r="I45" s="716"/>
      <c r="J45" s="716"/>
      <c r="K45" s="717"/>
      <c r="L45" s="717"/>
      <c r="M45" s="716"/>
      <c r="N45" s="716"/>
      <c r="O45" s="716"/>
      <c r="P45" s="716"/>
      <c r="Q45" s="716"/>
      <c r="R45" s="1336"/>
    </row>
    <row r="46" spans="1:28" ht="18" customHeight="1" x14ac:dyDescent="0.2">
      <c r="B46" s="1334" t="str">
        <f t="shared" ref="B46:B54" si="18">IF($A$31=TRUE,L62,"")</f>
        <v/>
      </c>
      <c r="C46" s="1430" t="str">
        <f t="shared" ref="C46:C54" si="19">IF($A$31=TRUE,M62,"")</f>
        <v/>
      </c>
      <c r="D46" s="1430" t="str">
        <f t="shared" ref="D46:D54" si="20">IF($A$31=TRUE,N62,"")</f>
        <v/>
      </c>
      <c r="E46" s="1430" t="str">
        <f t="shared" ref="E46:E54" si="21">IF($A$31=TRUE,O62,"")</f>
        <v/>
      </c>
      <c r="F46" s="1430" t="str">
        <f t="shared" ref="F46:F54" si="22">IF($A$31=TRUE,P62,"")</f>
        <v/>
      </c>
      <c r="G46" s="1430" t="str">
        <f t="shared" ref="G46:G54" si="23">IF($A$31=TRUE,Q62,"")</f>
        <v/>
      </c>
      <c r="H46" s="1335"/>
      <c r="I46" s="716"/>
      <c r="J46" s="716"/>
      <c r="K46" s="717"/>
      <c r="L46" s="717"/>
      <c r="M46" s="716"/>
      <c r="N46" s="716"/>
      <c r="O46" s="716"/>
      <c r="P46" s="716"/>
      <c r="Q46" s="716"/>
      <c r="R46" s="1336"/>
    </row>
    <row r="47" spans="1:28" ht="18" customHeight="1" x14ac:dyDescent="0.2">
      <c r="B47" s="1392" t="str">
        <f t="shared" si="18"/>
        <v/>
      </c>
      <c r="C47" s="641" t="str">
        <f t="shared" si="19"/>
        <v/>
      </c>
      <c r="D47" s="641" t="str">
        <f t="shared" si="20"/>
        <v/>
      </c>
      <c r="E47" s="641" t="str">
        <f t="shared" si="21"/>
        <v/>
      </c>
      <c r="F47" s="641" t="str">
        <f t="shared" si="22"/>
        <v/>
      </c>
      <c r="G47" s="641" t="str">
        <f t="shared" si="23"/>
        <v/>
      </c>
      <c r="H47" s="716"/>
      <c r="I47" s="716"/>
      <c r="J47" s="716"/>
      <c r="K47" s="717"/>
      <c r="L47" s="717"/>
      <c r="M47" s="716"/>
      <c r="N47" s="716"/>
      <c r="O47" s="716"/>
      <c r="P47" s="716"/>
      <c r="Q47" s="716"/>
      <c r="R47" s="1336"/>
    </row>
    <row r="48" spans="1:28" ht="18" customHeight="1" x14ac:dyDescent="0.2">
      <c r="B48" s="1392" t="str">
        <f t="shared" si="18"/>
        <v/>
      </c>
      <c r="C48" s="641" t="str">
        <f t="shared" si="19"/>
        <v/>
      </c>
      <c r="D48" s="641" t="str">
        <f t="shared" si="20"/>
        <v/>
      </c>
      <c r="E48" s="641" t="str">
        <f t="shared" si="21"/>
        <v/>
      </c>
      <c r="F48" s="641" t="str">
        <f t="shared" si="22"/>
        <v/>
      </c>
      <c r="G48" s="641" t="str">
        <f t="shared" si="23"/>
        <v/>
      </c>
      <c r="H48" s="716"/>
      <c r="I48" s="716"/>
      <c r="J48" s="716"/>
      <c r="K48" s="717"/>
      <c r="L48" s="717"/>
      <c r="M48" s="716"/>
      <c r="N48" s="716"/>
      <c r="O48" s="716"/>
      <c r="P48" s="716"/>
      <c r="Q48" s="716"/>
      <c r="R48" s="1336"/>
    </row>
    <row r="49" spans="1:27" ht="18" customHeight="1" x14ac:dyDescent="0.2">
      <c r="B49" s="1392" t="str">
        <f t="shared" si="18"/>
        <v/>
      </c>
      <c r="C49" s="641" t="str">
        <f t="shared" si="19"/>
        <v/>
      </c>
      <c r="D49" s="641" t="str">
        <f t="shared" si="20"/>
        <v/>
      </c>
      <c r="E49" s="641" t="str">
        <f t="shared" si="21"/>
        <v/>
      </c>
      <c r="F49" s="641" t="str">
        <f t="shared" si="22"/>
        <v/>
      </c>
      <c r="G49" s="641" t="str">
        <f t="shared" si="23"/>
        <v/>
      </c>
      <c r="H49" s="716"/>
      <c r="I49" s="716"/>
      <c r="J49" s="716"/>
      <c r="K49" s="717"/>
      <c r="L49" s="717"/>
      <c r="M49" s="716"/>
      <c r="N49" s="716"/>
      <c r="O49" s="716"/>
      <c r="P49" s="716"/>
      <c r="Q49" s="716"/>
      <c r="R49" s="1336"/>
    </row>
    <row r="50" spans="1:27" ht="30" customHeight="1" x14ac:dyDescent="0.2">
      <c r="B50" s="1392" t="str">
        <f t="shared" si="18"/>
        <v/>
      </c>
      <c r="C50" s="641" t="str">
        <f t="shared" si="19"/>
        <v/>
      </c>
      <c r="D50" s="641" t="str">
        <f t="shared" si="20"/>
        <v/>
      </c>
      <c r="E50" s="641" t="str">
        <f t="shared" si="21"/>
        <v/>
      </c>
      <c r="F50" s="641" t="str">
        <f t="shared" si="22"/>
        <v/>
      </c>
      <c r="G50" s="641" t="str">
        <f t="shared" si="23"/>
        <v/>
      </c>
      <c r="H50" s="716"/>
      <c r="I50" s="716"/>
      <c r="J50" s="716"/>
      <c r="K50" s="717"/>
      <c r="L50" s="717"/>
      <c r="M50" s="716"/>
      <c r="N50" s="716"/>
      <c r="O50" s="716"/>
      <c r="P50" s="716"/>
      <c r="Q50" s="716"/>
      <c r="R50" s="1336"/>
    </row>
    <row r="51" spans="1:27" ht="30" customHeight="1" x14ac:dyDescent="0.2">
      <c r="B51" s="1392" t="str">
        <f t="shared" si="18"/>
        <v/>
      </c>
      <c r="C51" s="641" t="str">
        <f t="shared" si="19"/>
        <v/>
      </c>
      <c r="D51" s="641" t="str">
        <f t="shared" si="20"/>
        <v/>
      </c>
      <c r="E51" s="641" t="str">
        <f t="shared" si="21"/>
        <v/>
      </c>
      <c r="F51" s="641" t="str">
        <f t="shared" si="22"/>
        <v/>
      </c>
      <c r="G51" s="641" t="str">
        <f t="shared" si="23"/>
        <v/>
      </c>
      <c r="H51" s="716"/>
      <c r="I51" s="716"/>
      <c r="J51" s="716"/>
      <c r="K51" s="717"/>
      <c r="L51" s="717"/>
      <c r="M51" s="716"/>
      <c r="N51" s="716"/>
      <c r="O51" s="716"/>
      <c r="P51" s="716"/>
      <c r="Q51" s="716"/>
      <c r="R51" s="1336"/>
    </row>
    <row r="52" spans="1:27" ht="30" customHeight="1" x14ac:dyDescent="0.2">
      <c r="B52" s="1392" t="str">
        <f t="shared" si="18"/>
        <v/>
      </c>
      <c r="C52" s="641" t="str">
        <f t="shared" si="19"/>
        <v/>
      </c>
      <c r="D52" s="641" t="str">
        <f t="shared" si="20"/>
        <v/>
      </c>
      <c r="E52" s="641" t="str">
        <f t="shared" si="21"/>
        <v/>
      </c>
      <c r="F52" s="641" t="str">
        <f t="shared" si="22"/>
        <v/>
      </c>
      <c r="G52" s="641" t="str">
        <f t="shared" si="23"/>
        <v/>
      </c>
      <c r="H52" s="716"/>
      <c r="I52" s="716"/>
      <c r="J52" s="716"/>
      <c r="K52" s="717"/>
      <c r="L52" s="717"/>
      <c r="M52" s="716"/>
      <c r="N52" s="716"/>
      <c r="O52" s="716"/>
      <c r="P52" s="716"/>
      <c r="Q52" s="716"/>
      <c r="R52" s="1336"/>
    </row>
    <row r="53" spans="1:27" ht="30" customHeight="1" x14ac:dyDescent="0.2">
      <c r="B53" s="1392" t="str">
        <f t="shared" si="18"/>
        <v/>
      </c>
      <c r="C53" s="641" t="str">
        <f t="shared" si="19"/>
        <v/>
      </c>
      <c r="D53" s="641" t="str">
        <f t="shared" si="20"/>
        <v/>
      </c>
      <c r="E53" s="641" t="str">
        <f t="shared" si="21"/>
        <v/>
      </c>
      <c r="F53" s="641" t="str">
        <f t="shared" si="22"/>
        <v/>
      </c>
      <c r="G53" s="641" t="str">
        <f t="shared" si="23"/>
        <v/>
      </c>
      <c r="H53" s="716"/>
      <c r="I53" s="716"/>
      <c r="J53" s="716"/>
      <c r="K53" s="717"/>
      <c r="L53" s="717"/>
      <c r="M53" s="716"/>
      <c r="N53" s="716"/>
      <c r="O53" s="716"/>
      <c r="P53" s="716"/>
      <c r="Q53" s="716"/>
      <c r="R53" s="1336"/>
    </row>
    <row r="54" spans="1:27" ht="18" customHeight="1" x14ac:dyDescent="0.2">
      <c r="B54" s="1392" t="str">
        <f t="shared" si="18"/>
        <v/>
      </c>
      <c r="C54" s="641" t="str">
        <f t="shared" si="19"/>
        <v/>
      </c>
      <c r="D54" s="641" t="str">
        <f t="shared" si="20"/>
        <v/>
      </c>
      <c r="E54" s="641" t="str">
        <f t="shared" si="21"/>
        <v/>
      </c>
      <c r="F54" s="641" t="str">
        <f t="shared" si="22"/>
        <v/>
      </c>
      <c r="G54" s="641" t="str">
        <f t="shared" si="23"/>
        <v/>
      </c>
      <c r="H54" s="716"/>
      <c r="I54" s="716"/>
      <c r="J54" s="716"/>
      <c r="K54" s="717"/>
      <c r="L54" s="717"/>
      <c r="M54" s="716"/>
      <c r="N54" s="716"/>
      <c r="O54" s="716"/>
      <c r="P54" s="716"/>
      <c r="Q54" s="716"/>
      <c r="R54" s="1336"/>
    </row>
    <row r="55" spans="1:27" ht="18" customHeight="1" x14ac:dyDescent="0.2">
      <c r="B55" s="1392" t="str">
        <f t="shared" ref="B55:G56" si="24">IF($A$31=TRUE,L71,"")</f>
        <v/>
      </c>
      <c r="C55" s="641" t="str">
        <f t="shared" si="24"/>
        <v/>
      </c>
      <c r="D55" s="641" t="str">
        <f t="shared" si="24"/>
        <v/>
      </c>
      <c r="E55" s="641" t="str">
        <f t="shared" si="24"/>
        <v/>
      </c>
      <c r="F55" s="641" t="str">
        <f t="shared" si="24"/>
        <v/>
      </c>
      <c r="G55" s="641" t="str">
        <f t="shared" si="24"/>
        <v/>
      </c>
      <c r="H55" s="716"/>
      <c r="I55" s="716"/>
      <c r="J55" s="716"/>
      <c r="K55" s="717"/>
      <c r="L55" s="717"/>
      <c r="M55" s="716"/>
      <c r="N55" s="716"/>
      <c r="O55" s="716"/>
      <c r="P55" s="716"/>
      <c r="Q55" s="716"/>
      <c r="R55" s="1336"/>
    </row>
    <row r="56" spans="1:27" ht="18" customHeight="1" x14ac:dyDescent="0.2">
      <c r="A56" s="593"/>
      <c r="B56" s="1392" t="str">
        <f t="shared" si="24"/>
        <v/>
      </c>
      <c r="C56" s="641" t="str">
        <f t="shared" si="24"/>
        <v/>
      </c>
      <c r="D56" s="641" t="str">
        <f t="shared" si="24"/>
        <v/>
      </c>
      <c r="E56" s="641" t="str">
        <f t="shared" si="24"/>
        <v/>
      </c>
      <c r="F56" s="641" t="str">
        <f t="shared" si="24"/>
        <v/>
      </c>
      <c r="G56" s="641" t="str">
        <f t="shared" si="24"/>
        <v/>
      </c>
      <c r="H56" s="1390"/>
      <c r="I56" s="1390"/>
      <c r="J56" s="1390"/>
      <c r="K56" s="1390"/>
      <c r="L56" s="1390"/>
      <c r="M56" s="1390"/>
      <c r="N56" s="1390"/>
      <c r="O56" s="595"/>
      <c r="P56" s="595"/>
      <c r="Q56" s="595"/>
      <c r="R56" s="595"/>
    </row>
    <row r="57" spans="1:27" ht="18" customHeight="1" x14ac:dyDescent="0.2">
      <c r="A57" s="593"/>
      <c r="B57" s="1335"/>
      <c r="C57" s="641"/>
      <c r="D57" s="641"/>
      <c r="E57" s="641"/>
      <c r="F57" s="641"/>
      <c r="G57" s="641"/>
      <c r="H57" s="1390"/>
      <c r="I57" s="1390"/>
      <c r="J57" s="1390"/>
      <c r="K57" s="1390"/>
      <c r="L57" s="1390"/>
      <c r="M57" s="1390"/>
      <c r="N57" s="1390"/>
      <c r="O57" s="1336"/>
      <c r="P57" s="1336"/>
      <c r="Q57" s="1336"/>
      <c r="R57" s="1336"/>
    </row>
    <row r="58" spans="1:27" ht="18" customHeight="1" x14ac:dyDescent="0.2">
      <c r="A58" s="593"/>
      <c r="B58" s="714" t="str">
        <f t="shared" ref="B58:G58" si="25">IF($A$31=TRUE,L73,"")</f>
        <v/>
      </c>
      <c r="C58" s="716" t="str">
        <f t="shared" si="25"/>
        <v/>
      </c>
      <c r="D58" s="716" t="str">
        <f t="shared" si="25"/>
        <v/>
      </c>
      <c r="E58" s="716" t="str">
        <f t="shared" si="25"/>
        <v/>
      </c>
      <c r="F58" s="716" t="str">
        <f t="shared" si="25"/>
        <v/>
      </c>
      <c r="G58" s="716" t="str">
        <f t="shared" si="25"/>
        <v/>
      </c>
      <c r="H58" s="1390"/>
      <c r="I58" s="1390"/>
      <c r="J58" s="1390"/>
      <c r="K58" s="1390"/>
      <c r="L58" s="1390"/>
      <c r="M58" s="1390"/>
      <c r="N58" s="1390"/>
      <c r="O58" s="1017"/>
      <c r="P58" s="1017"/>
      <c r="Q58" s="1017"/>
      <c r="R58" s="1017"/>
      <c r="S58" s="380"/>
      <c r="T58" s="380"/>
      <c r="U58" s="380"/>
    </row>
    <row r="59" spans="1:27" ht="18" customHeight="1" x14ac:dyDescent="0.2">
      <c r="A59" s="593"/>
      <c r="B59" s="1335"/>
      <c r="C59" s="1335"/>
      <c r="D59" s="1335"/>
      <c r="E59" s="1335"/>
      <c r="F59" s="1335"/>
      <c r="G59" s="1335"/>
      <c r="H59" s="718"/>
      <c r="I59" s="718"/>
      <c r="J59" s="718"/>
      <c r="K59" s="718"/>
      <c r="L59" s="718"/>
      <c r="M59" s="718"/>
      <c r="N59" s="718"/>
      <c r="O59" s="380"/>
      <c r="P59" s="380"/>
      <c r="Q59" s="380"/>
      <c r="R59" s="380"/>
      <c r="S59" s="380"/>
      <c r="T59" s="380"/>
      <c r="U59" s="380"/>
      <c r="V59" s="380"/>
    </row>
    <row r="60" spans="1:27" ht="18" customHeight="1" x14ac:dyDescent="0.2">
      <c r="A60" s="593"/>
      <c r="B60" s="1391"/>
      <c r="C60" s="1391"/>
      <c r="D60" s="1391"/>
      <c r="E60" s="1391"/>
      <c r="F60" s="1391"/>
      <c r="G60" s="1391"/>
      <c r="H60" s="1391"/>
      <c r="I60" s="1391"/>
      <c r="J60" s="1391"/>
      <c r="K60" s="1391"/>
      <c r="L60" s="1391"/>
      <c r="M60" s="1391"/>
      <c r="N60" s="1391"/>
      <c r="O60" s="567"/>
      <c r="P60" s="567"/>
      <c r="Q60" s="567"/>
      <c r="R60" s="567"/>
      <c r="S60" s="567"/>
      <c r="T60" s="567"/>
      <c r="U60" s="567"/>
      <c r="V60" s="567"/>
      <c r="W60" s="567"/>
      <c r="X60" s="567"/>
      <c r="Y60" s="567"/>
      <c r="Z60" s="567"/>
    </row>
    <row r="61" spans="1:27" ht="18" customHeight="1" x14ac:dyDescent="0.2">
      <c r="A61" s="383"/>
      <c r="B61" s="567"/>
      <c r="C61" s="567"/>
      <c r="D61" s="567"/>
      <c r="E61" s="567"/>
      <c r="F61" s="567"/>
      <c r="G61" s="567"/>
      <c r="H61" s="809"/>
      <c r="I61" s="567"/>
      <c r="J61" s="567"/>
      <c r="K61" s="567"/>
      <c r="L61" s="567"/>
      <c r="M61" s="567"/>
      <c r="N61" s="567"/>
      <c r="O61" s="567"/>
      <c r="P61" s="567"/>
      <c r="Q61" s="567"/>
      <c r="R61" s="567"/>
      <c r="S61" s="567"/>
      <c r="T61" s="567"/>
      <c r="U61" s="567"/>
      <c r="V61" s="567"/>
      <c r="W61" s="567"/>
      <c r="X61" s="567"/>
      <c r="Y61" s="567"/>
      <c r="Z61" s="567"/>
    </row>
    <row r="62" spans="1:27" ht="18" customHeight="1" x14ac:dyDescent="0.2">
      <c r="A62" s="383"/>
      <c r="B62" s="1022" t="s">
        <v>643</v>
      </c>
      <c r="C62" s="1023" t="s">
        <v>68</v>
      </c>
      <c r="D62" s="1023" t="s">
        <v>69</v>
      </c>
      <c r="E62" s="1023" t="s">
        <v>70</v>
      </c>
      <c r="F62" s="1023" t="s">
        <v>71</v>
      </c>
      <c r="G62" s="1023" t="s">
        <v>72</v>
      </c>
      <c r="H62" s="1023" t="s">
        <v>73</v>
      </c>
      <c r="I62" s="1023" t="s">
        <v>74</v>
      </c>
      <c r="J62" s="1023" t="s">
        <v>75</v>
      </c>
      <c r="K62" s="1023" t="s">
        <v>76</v>
      </c>
      <c r="L62" s="567" t="s">
        <v>644</v>
      </c>
      <c r="M62" s="1016" t="s">
        <v>4</v>
      </c>
      <c r="N62" s="1016" t="s">
        <v>5</v>
      </c>
      <c r="O62" s="1016" t="s">
        <v>6</v>
      </c>
      <c r="P62" s="1016" t="s">
        <v>7</v>
      </c>
      <c r="Q62" s="1016" t="s">
        <v>489</v>
      </c>
      <c r="R62" s="567"/>
      <c r="S62" s="567"/>
      <c r="T62" s="567"/>
      <c r="U62" s="567"/>
      <c r="V62" s="567"/>
      <c r="W62" s="567"/>
      <c r="X62" s="567"/>
      <c r="Y62" s="567"/>
      <c r="Z62" s="567"/>
    </row>
    <row r="63" spans="1:27" x14ac:dyDescent="0.2">
      <c r="A63" s="383"/>
      <c r="B63" s="1024" t="s">
        <v>455</v>
      </c>
      <c r="C63" s="1022"/>
      <c r="D63" s="1025"/>
      <c r="E63" s="1025"/>
      <c r="F63" s="1022"/>
      <c r="G63" s="1025"/>
      <c r="H63" s="1025"/>
      <c r="I63" s="1022"/>
      <c r="J63" s="1025"/>
      <c r="K63" s="1025"/>
      <c r="L63" s="567" t="s">
        <v>514</v>
      </c>
      <c r="M63" s="648">
        <v>82790</v>
      </c>
      <c r="N63" s="648">
        <v>88647</v>
      </c>
      <c r="O63" s="648">
        <v>91604</v>
      </c>
      <c r="P63" s="648">
        <v>95077</v>
      </c>
      <c r="Q63" s="648">
        <v>97367</v>
      </c>
      <c r="R63" s="567"/>
      <c r="S63" s="567"/>
      <c r="T63" s="567"/>
      <c r="U63" s="567"/>
      <c r="V63" s="567"/>
      <c r="W63" s="567"/>
      <c r="X63" s="567"/>
      <c r="Y63" s="567"/>
      <c r="Z63" s="567"/>
    </row>
    <row r="64" spans="1:27" x14ac:dyDescent="0.2">
      <c r="A64" s="383"/>
      <c r="B64" s="1026" t="s">
        <v>456</v>
      </c>
      <c r="C64" s="1027">
        <v>58745.97999999953</v>
      </c>
      <c r="D64" s="1027">
        <v>60659.547999999602</v>
      </c>
      <c r="E64" s="1027">
        <v>62484.347999999605</v>
      </c>
      <c r="F64" s="1027">
        <v>64470.21900000146</v>
      </c>
      <c r="G64" s="1027">
        <v>68260</v>
      </c>
      <c r="H64" s="1027">
        <v>72260</v>
      </c>
      <c r="I64" s="1027">
        <v>78462</v>
      </c>
      <c r="J64" s="1027">
        <v>82568</v>
      </c>
      <c r="K64" s="1027">
        <v>85975.123000000007</v>
      </c>
      <c r="L64" s="567" t="s">
        <v>530</v>
      </c>
      <c r="M64" s="648">
        <v>21149</v>
      </c>
      <c r="N64" s="648">
        <v>23084</v>
      </c>
      <c r="O64" s="648">
        <v>24489</v>
      </c>
      <c r="P64" s="648">
        <v>25056</v>
      </c>
      <c r="Q64" s="648">
        <v>24910</v>
      </c>
      <c r="R64" s="567"/>
      <c r="S64" s="567"/>
      <c r="T64" s="567"/>
      <c r="U64" s="567"/>
      <c r="V64" s="567"/>
      <c r="W64" s="567"/>
      <c r="X64" s="567"/>
      <c r="Y64" s="567"/>
      <c r="Z64" s="567"/>
      <c r="AA64" s="380"/>
    </row>
    <row r="65" spans="1:27" x14ac:dyDescent="0.2">
      <c r="A65" s="383"/>
      <c r="B65" s="1026" t="s">
        <v>457</v>
      </c>
      <c r="C65" s="1027">
        <v>61332.444999999963</v>
      </c>
      <c r="D65" s="1027">
        <v>63087.233400000026</v>
      </c>
      <c r="E65" s="1027">
        <v>62582.93</v>
      </c>
      <c r="F65" s="1027">
        <v>64997.750999999931</v>
      </c>
      <c r="G65" s="1027">
        <v>67107.280000000057</v>
      </c>
      <c r="H65" s="1027">
        <v>69140.369999999923</v>
      </c>
      <c r="I65" s="1027">
        <v>72005.770999999993</v>
      </c>
      <c r="J65" s="1027">
        <v>72989.594800999999</v>
      </c>
      <c r="K65" s="1027">
        <v>76977.109339000002</v>
      </c>
      <c r="L65" s="567" t="s">
        <v>515</v>
      </c>
      <c r="M65" s="648">
        <v>237264</v>
      </c>
      <c r="N65" s="648">
        <v>243018</v>
      </c>
      <c r="O65" s="648">
        <v>262479</v>
      </c>
      <c r="P65" s="648">
        <v>263723</v>
      </c>
      <c r="Q65" s="648">
        <v>251615</v>
      </c>
      <c r="R65" s="567"/>
      <c r="S65" s="567"/>
      <c r="T65" s="567"/>
      <c r="U65" s="567"/>
      <c r="V65" s="567"/>
      <c r="W65" s="567"/>
      <c r="X65" s="567"/>
      <c r="Y65" s="567"/>
      <c r="Z65" s="567"/>
      <c r="AA65" s="380"/>
    </row>
    <row r="66" spans="1:27" x14ac:dyDescent="0.2">
      <c r="A66" s="383"/>
      <c r="B66" s="1026" t="s">
        <v>458</v>
      </c>
      <c r="C66" s="1027">
        <v>27848.14</v>
      </c>
      <c r="D66" s="1027">
        <v>28033.02</v>
      </c>
      <c r="E66" s="1027">
        <v>28154.02</v>
      </c>
      <c r="F66" s="1027">
        <v>28439.379999998062</v>
      </c>
      <c r="G66" s="1027">
        <v>29155</v>
      </c>
      <c r="H66" s="1027">
        <v>30084</v>
      </c>
      <c r="I66" s="1027">
        <v>31021</v>
      </c>
      <c r="J66" s="1027">
        <v>31901</v>
      </c>
      <c r="K66" s="1027">
        <v>33383.909999999902</v>
      </c>
      <c r="L66" s="567" t="s">
        <v>533</v>
      </c>
      <c r="M66" s="648">
        <v>101114</v>
      </c>
      <c r="N66" s="648">
        <v>106406</v>
      </c>
      <c r="O66" s="648">
        <v>112710</v>
      </c>
      <c r="P66" s="648">
        <v>114786</v>
      </c>
      <c r="Q66" s="648">
        <v>117270</v>
      </c>
      <c r="R66" s="567"/>
      <c r="S66" s="567"/>
      <c r="T66" s="567"/>
      <c r="U66" s="567"/>
      <c r="V66" s="567"/>
      <c r="W66" s="567"/>
      <c r="X66" s="567"/>
      <c r="Y66" s="567"/>
      <c r="Z66" s="567"/>
      <c r="AA66" s="380"/>
    </row>
    <row r="67" spans="1:27" x14ac:dyDescent="0.2">
      <c r="A67" s="383"/>
      <c r="B67" s="1024" t="s">
        <v>459</v>
      </c>
      <c r="C67" s="1027"/>
      <c r="D67" s="1027"/>
      <c r="E67" s="1027"/>
      <c r="F67" s="1027"/>
      <c r="G67" s="1027"/>
      <c r="H67" s="1027"/>
      <c r="I67" s="1027"/>
      <c r="J67" s="1027"/>
      <c r="K67" s="1027"/>
      <c r="L67" s="567" t="s">
        <v>516</v>
      </c>
      <c r="M67" s="648">
        <v>363344</v>
      </c>
      <c r="N67" s="648">
        <v>369509</v>
      </c>
      <c r="O67" s="648">
        <v>377308</v>
      </c>
      <c r="P67" s="648">
        <v>377938</v>
      </c>
      <c r="Q67" s="648">
        <v>376835</v>
      </c>
      <c r="R67" s="567"/>
      <c r="S67" s="567"/>
      <c r="T67" s="567"/>
      <c r="U67" s="567"/>
      <c r="V67" s="567"/>
      <c r="W67" s="567"/>
      <c r="X67" s="567"/>
      <c r="Y67" s="567"/>
      <c r="Z67" s="567"/>
      <c r="AA67" s="380"/>
    </row>
    <row r="68" spans="1:27" ht="25.5" x14ac:dyDescent="0.2">
      <c r="A68" s="383"/>
      <c r="B68" s="1026" t="s">
        <v>460</v>
      </c>
      <c r="C68" s="1027">
        <v>345914.4653689671</v>
      </c>
      <c r="D68" s="1027">
        <v>351296.5331529564</v>
      </c>
      <c r="E68" s="1027">
        <v>359622.04603895982</v>
      </c>
      <c r="F68" s="1027">
        <v>373096.20859394554</v>
      </c>
      <c r="G68" s="1027">
        <v>381588.88146992686</v>
      </c>
      <c r="H68" s="1027">
        <v>396270.5</v>
      </c>
      <c r="I68" s="1027">
        <v>412013.00334999996</v>
      </c>
      <c r="J68" s="1027">
        <v>425043.77999999997</v>
      </c>
      <c r="K68" s="1027">
        <v>425982.81933300005</v>
      </c>
      <c r="L68" s="567" t="s">
        <v>534</v>
      </c>
      <c r="M68" s="648">
        <v>3176</v>
      </c>
      <c r="N68" s="648">
        <v>2623</v>
      </c>
      <c r="O68" s="648">
        <v>2533</v>
      </c>
      <c r="P68" s="648">
        <v>2644</v>
      </c>
      <c r="Q68" s="648">
        <v>3024</v>
      </c>
      <c r="R68" s="567"/>
      <c r="S68" s="567"/>
      <c r="T68" s="567"/>
      <c r="U68" s="567"/>
      <c r="V68" s="567"/>
      <c r="W68" s="567"/>
      <c r="X68" s="567"/>
      <c r="Y68" s="567"/>
      <c r="Z68" s="567"/>
      <c r="AA68" s="380"/>
    </row>
    <row r="69" spans="1:27" x14ac:dyDescent="0.2">
      <c r="A69" s="383"/>
      <c r="B69" s="1026" t="s">
        <v>461</v>
      </c>
      <c r="C69" s="1027">
        <v>220330.54481898717</v>
      </c>
      <c r="D69" s="1027">
        <v>226584.76190397676</v>
      </c>
      <c r="E69" s="1027">
        <v>234683.19749797604</v>
      </c>
      <c r="F69" s="1027">
        <v>249197.56431996552</v>
      </c>
      <c r="G69" s="1027">
        <v>251457.81616399903</v>
      </c>
      <c r="H69" s="1027">
        <v>263831.80971</v>
      </c>
      <c r="I69" s="1027">
        <v>271346.93147000001</v>
      </c>
      <c r="J69" s="1027">
        <v>278993.995</v>
      </c>
      <c r="K69" s="1027">
        <v>273202.03729799914</v>
      </c>
      <c r="L69" s="567" t="s">
        <v>517</v>
      </c>
      <c r="M69" s="648">
        <v>104866</v>
      </c>
      <c r="N69" s="648">
        <v>111321</v>
      </c>
      <c r="O69" s="648">
        <v>118935</v>
      </c>
      <c r="P69" s="648">
        <v>123875</v>
      </c>
      <c r="Q69" s="648">
        <v>128133</v>
      </c>
      <c r="R69" s="567"/>
      <c r="S69" s="567"/>
      <c r="T69" s="567"/>
      <c r="U69" s="567"/>
      <c r="V69" s="567"/>
      <c r="W69" s="567"/>
      <c r="X69" s="567"/>
      <c r="Y69" s="567"/>
      <c r="Z69" s="567"/>
      <c r="AA69" s="380"/>
    </row>
    <row r="70" spans="1:27" x14ac:dyDescent="0.2">
      <c r="A70" s="383"/>
      <c r="B70" s="1026" t="s">
        <v>462</v>
      </c>
      <c r="C70" s="1027">
        <v>139468.98759300058</v>
      </c>
      <c r="D70" s="1027">
        <v>142070.97782299842</v>
      </c>
      <c r="E70" s="1027">
        <v>144048.07920999723</v>
      </c>
      <c r="F70" s="1027">
        <v>149597.53656999589</v>
      </c>
      <c r="G70" s="1027">
        <v>158026.01029999717</v>
      </c>
      <c r="H70" s="1027">
        <v>167916.10314000002</v>
      </c>
      <c r="I70" s="1027">
        <v>178098.19688999996</v>
      </c>
      <c r="J70" s="1027">
        <v>186137.03699999998</v>
      </c>
      <c r="K70" s="1027">
        <v>177871.17167499999</v>
      </c>
      <c r="L70" s="567" t="s">
        <v>518</v>
      </c>
      <c r="M70" s="648">
        <v>36888</v>
      </c>
      <c r="N70" s="648">
        <v>38735</v>
      </c>
      <c r="O70" s="648">
        <v>40603</v>
      </c>
      <c r="P70" s="648">
        <v>41539</v>
      </c>
      <c r="Q70" s="648">
        <v>54389</v>
      </c>
      <c r="R70" s="567"/>
      <c r="S70" s="567"/>
      <c r="T70" s="567"/>
      <c r="U70" s="567"/>
      <c r="V70" s="567"/>
      <c r="W70" s="567"/>
      <c r="X70" s="567"/>
      <c r="Y70" s="567"/>
      <c r="Z70" s="567"/>
      <c r="AA70" s="380"/>
    </row>
    <row r="71" spans="1:27" x14ac:dyDescent="0.2">
      <c r="A71" s="383"/>
      <c r="B71" s="1026"/>
      <c r="C71" s="1027"/>
      <c r="D71" s="1027"/>
      <c r="E71" s="1027"/>
      <c r="F71" s="1027"/>
      <c r="G71" s="1027"/>
      <c r="H71" s="1027"/>
      <c r="I71" s="1027"/>
      <c r="J71" s="1027"/>
      <c r="K71" s="1027"/>
      <c r="L71" s="567" t="s">
        <v>519</v>
      </c>
      <c r="M71" s="648">
        <v>1056</v>
      </c>
      <c r="N71" s="648">
        <v>555</v>
      </c>
      <c r="O71" s="648">
        <v>428</v>
      </c>
      <c r="P71" s="648">
        <v>56</v>
      </c>
      <c r="Q71" s="648">
        <v>14</v>
      </c>
      <c r="R71" s="567"/>
      <c r="S71" s="567"/>
      <c r="T71" s="567"/>
      <c r="U71" s="567"/>
      <c r="V71" s="567"/>
      <c r="W71" s="567"/>
      <c r="X71" s="567"/>
      <c r="Y71" s="567"/>
      <c r="Z71" s="567"/>
      <c r="AA71" s="380"/>
    </row>
    <row r="72" spans="1:27" x14ac:dyDescent="0.2">
      <c r="A72" s="383"/>
      <c r="B72" s="567"/>
      <c r="C72" s="1025"/>
      <c r="D72" s="1025"/>
      <c r="E72" s="1025"/>
      <c r="F72" s="1025"/>
      <c r="G72" s="1025"/>
      <c r="H72" s="1025"/>
      <c r="I72" s="1025"/>
      <c r="J72" s="1025"/>
      <c r="K72" s="1025"/>
      <c r="L72" s="567" t="s">
        <v>520</v>
      </c>
      <c r="M72" s="1393">
        <v>3273</v>
      </c>
      <c r="N72" s="1393">
        <v>3046</v>
      </c>
      <c r="O72" s="1393">
        <v>3038</v>
      </c>
      <c r="P72" s="1393">
        <v>3299</v>
      </c>
      <c r="Q72" s="648">
        <v>3065</v>
      </c>
      <c r="R72" s="567"/>
      <c r="S72" s="567"/>
      <c r="T72" s="567"/>
      <c r="U72" s="567"/>
      <c r="V72" s="567"/>
      <c r="W72" s="567"/>
      <c r="X72" s="567"/>
      <c r="Y72" s="567"/>
      <c r="Z72" s="567"/>
      <c r="AA72" s="380"/>
    </row>
    <row r="73" spans="1:27" x14ac:dyDescent="0.2">
      <c r="A73" s="383"/>
      <c r="B73" s="1028" t="s">
        <v>229</v>
      </c>
      <c r="C73" s="1029">
        <v>853640.56278095441</v>
      </c>
      <c r="D73" s="1029">
        <v>871732.07427993126</v>
      </c>
      <c r="E73" s="1029">
        <v>891574.62074693269</v>
      </c>
      <c r="F73" s="1029">
        <v>929798.65948390646</v>
      </c>
      <c r="G73" s="1029">
        <v>955594.98793392314</v>
      </c>
      <c r="H73" s="1029">
        <v>999502.78284999984</v>
      </c>
      <c r="I73" s="1029">
        <v>1042946.9027100001</v>
      </c>
      <c r="J73" s="1029">
        <v>1077633.406801</v>
      </c>
      <c r="K73" s="1029">
        <v>1073392.170644999</v>
      </c>
      <c r="L73" s="643" t="s">
        <v>229</v>
      </c>
      <c r="M73" s="1030">
        <f>SUM(M63:M72)</f>
        <v>954920</v>
      </c>
      <c r="N73" s="1030">
        <f>SUM(N63:N72)</f>
        <v>986944</v>
      </c>
      <c r="O73" s="1030">
        <f>SUM(O63:O72)</f>
        <v>1034127</v>
      </c>
      <c r="P73" s="1030">
        <f>SUM(P63:P72)</f>
        <v>1047993</v>
      </c>
      <c r="Q73" s="1030">
        <v>1056622</v>
      </c>
      <c r="R73" s="567"/>
      <c r="S73" s="567"/>
      <c r="T73" s="567"/>
      <c r="U73" s="567"/>
      <c r="V73" s="567"/>
      <c r="W73" s="567"/>
      <c r="X73" s="567"/>
      <c r="Y73" s="567"/>
      <c r="Z73" s="567"/>
      <c r="AA73" s="380"/>
    </row>
    <row r="74" spans="1:27" x14ac:dyDescent="0.2">
      <c r="A74" s="383"/>
      <c r="B74" s="567"/>
      <c r="C74" s="1025"/>
      <c r="D74" s="1025"/>
      <c r="E74" s="1025"/>
      <c r="F74" s="567"/>
      <c r="G74" s="567"/>
      <c r="H74" s="567"/>
      <c r="I74" s="567"/>
      <c r="J74" s="567"/>
      <c r="K74" s="567"/>
      <c r="L74" s="567"/>
      <c r="M74" s="567"/>
      <c r="N74" s="567"/>
      <c r="O74" s="567"/>
      <c r="P74" s="567"/>
      <c r="Q74" s="567"/>
      <c r="R74" s="567"/>
      <c r="S74" s="567"/>
      <c r="T74" s="567"/>
      <c r="U74" s="567"/>
      <c r="V74" s="567"/>
      <c r="W74" s="567"/>
      <c r="X74" s="567"/>
      <c r="Y74" s="567"/>
      <c r="Z74" s="567"/>
      <c r="AA74" s="380"/>
    </row>
    <row r="75" spans="1:27" x14ac:dyDescent="0.2">
      <c r="A75" s="383"/>
      <c r="B75" s="567" t="e">
        <f>"Graph for "&amp;#REF!&amp;" across major staff groups for years 2007/08-2010/11"</f>
        <v>#REF!</v>
      </c>
      <c r="C75" s="567"/>
      <c r="D75" s="567"/>
      <c r="E75" s="567"/>
      <c r="F75" s="567"/>
      <c r="G75" s="643"/>
      <c r="H75" s="567"/>
      <c r="I75" s="567"/>
      <c r="J75" s="567"/>
      <c r="K75" s="567"/>
      <c r="L75" s="567"/>
      <c r="M75" s="567"/>
      <c r="N75" s="567"/>
      <c r="O75" s="567"/>
      <c r="P75" s="567"/>
      <c r="Q75" s="567"/>
      <c r="R75" s="567"/>
      <c r="S75" s="567"/>
      <c r="T75" s="567"/>
      <c r="U75" s="567"/>
      <c r="V75" s="567"/>
      <c r="W75" s="567"/>
      <c r="X75" s="567"/>
      <c r="Y75" s="567"/>
      <c r="Z75" s="567"/>
      <c r="AA75" s="380"/>
    </row>
    <row r="76" spans="1:27" x14ac:dyDescent="0.2">
      <c r="A76" s="383"/>
      <c r="B76" s="567"/>
      <c r="C76" s="567"/>
      <c r="D76" s="567"/>
      <c r="E76" s="567"/>
      <c r="F76" s="567"/>
      <c r="G76" s="567"/>
      <c r="H76" s="567"/>
      <c r="I76" s="567"/>
      <c r="J76" s="567"/>
      <c r="K76" s="809"/>
      <c r="L76" s="567"/>
      <c r="M76" s="567"/>
      <c r="N76" s="567"/>
      <c r="O76" s="567"/>
      <c r="P76" s="567"/>
      <c r="Q76" s="567"/>
      <c r="R76" s="567"/>
      <c r="S76" s="567"/>
      <c r="T76" s="567"/>
      <c r="U76" s="567"/>
      <c r="V76" s="567"/>
      <c r="W76" s="567"/>
      <c r="X76" s="567"/>
      <c r="Y76" s="567"/>
      <c r="Z76" s="567"/>
      <c r="AA76" s="380"/>
    </row>
    <row r="77" spans="1:27" x14ac:dyDescent="0.2">
      <c r="A77" s="383"/>
      <c r="B77" s="567"/>
      <c r="C77" s="567"/>
      <c r="D77" s="567"/>
      <c r="E77" s="567"/>
      <c r="F77" s="1031"/>
      <c r="G77" s="567"/>
      <c r="H77" s="1031"/>
      <c r="I77" s="1031"/>
      <c r="J77" s="567"/>
      <c r="K77" s="809"/>
      <c r="L77" s="567"/>
      <c r="M77" s="567"/>
      <c r="N77" s="567"/>
      <c r="O77" s="567"/>
      <c r="P77" s="567"/>
      <c r="Q77" s="567"/>
      <c r="R77" s="567"/>
      <c r="S77" s="567"/>
      <c r="T77" s="567"/>
      <c r="U77" s="567"/>
      <c r="V77" s="567"/>
      <c r="W77" s="567"/>
      <c r="X77" s="567"/>
      <c r="Y77" s="567"/>
      <c r="Z77" s="567"/>
      <c r="AA77" s="380"/>
    </row>
    <row r="78" spans="1:27" x14ac:dyDescent="0.2">
      <c r="A78" s="383"/>
      <c r="B78" s="567"/>
      <c r="C78" s="567"/>
      <c r="D78" s="567"/>
      <c r="E78" s="1031"/>
      <c r="F78" s="1031"/>
      <c r="G78" s="1031"/>
      <c r="H78" s="1031"/>
      <c r="I78" s="1031"/>
      <c r="J78" s="567"/>
      <c r="K78" s="809"/>
      <c r="L78" s="567"/>
      <c r="M78" s="567"/>
      <c r="N78" s="567"/>
      <c r="O78" s="567"/>
      <c r="P78" s="567"/>
      <c r="Q78" s="567"/>
      <c r="R78" s="567"/>
      <c r="S78" s="567"/>
      <c r="T78" s="567"/>
      <c r="U78" s="567"/>
      <c r="V78" s="567"/>
      <c r="W78" s="567"/>
      <c r="X78" s="567"/>
      <c r="Y78" s="567"/>
      <c r="Z78" s="567"/>
      <c r="AA78" s="380"/>
    </row>
    <row r="79" spans="1:27" x14ac:dyDescent="0.2">
      <c r="A79" s="383"/>
      <c r="B79" s="383"/>
      <c r="C79" s="383"/>
      <c r="D79" s="383"/>
      <c r="E79" s="1394"/>
      <c r="F79" s="1394"/>
      <c r="G79" s="1394"/>
      <c r="H79" s="1394"/>
      <c r="I79" s="1394"/>
      <c r="J79" s="567"/>
      <c r="K79" s="809"/>
      <c r="L79" s="567"/>
      <c r="M79" s="383"/>
      <c r="N79" s="383"/>
      <c r="O79" s="383"/>
      <c r="P79" s="383"/>
      <c r="Q79" s="383"/>
      <c r="R79" s="380"/>
      <c r="S79" s="380"/>
      <c r="T79" s="380"/>
      <c r="U79" s="380"/>
      <c r="V79" s="380"/>
      <c r="W79" s="380"/>
      <c r="X79" s="380"/>
      <c r="Y79" s="380"/>
      <c r="Z79" s="380"/>
      <c r="AA79" s="380"/>
    </row>
    <row r="80" spans="1:27" x14ac:dyDescent="0.2">
      <c r="A80" s="383"/>
      <c r="B80" s="383"/>
      <c r="C80" s="383"/>
      <c r="D80" s="383"/>
      <c r="E80" s="1394"/>
      <c r="F80" s="1394"/>
      <c r="G80" s="1394"/>
      <c r="H80" s="1394"/>
      <c r="I80" s="1394"/>
      <c r="J80" s="383"/>
      <c r="K80" s="809"/>
      <c r="L80" s="383"/>
      <c r="M80" s="383"/>
      <c r="N80" s="383"/>
      <c r="O80" s="383"/>
      <c r="P80" s="383"/>
      <c r="Q80" s="383"/>
      <c r="R80" s="380"/>
      <c r="S80" s="380"/>
      <c r="T80" s="380"/>
      <c r="U80" s="380"/>
      <c r="V80" s="380"/>
      <c r="W80" s="380"/>
      <c r="X80" s="380"/>
      <c r="Y80" s="380"/>
      <c r="Z80" s="380"/>
      <c r="AA80" s="380"/>
    </row>
    <row r="81" spans="1:27" x14ac:dyDescent="0.2">
      <c r="A81" s="383"/>
      <c r="B81" s="383"/>
      <c r="C81" s="383"/>
      <c r="D81" s="383"/>
      <c r="E81" s="1394"/>
      <c r="F81" s="1394"/>
      <c r="G81" s="1394"/>
      <c r="H81" s="1394"/>
      <c r="I81" s="1394"/>
      <c r="J81" s="383"/>
      <c r="K81" s="809"/>
      <c r="L81" s="383"/>
      <c r="M81" s="383"/>
      <c r="N81" s="383"/>
      <c r="O81" s="383"/>
      <c r="P81" s="383"/>
      <c r="Q81" s="383"/>
      <c r="R81" s="380"/>
      <c r="S81" s="380"/>
      <c r="T81" s="380"/>
      <c r="U81" s="380"/>
      <c r="V81" s="380"/>
      <c r="W81" s="380"/>
      <c r="X81" s="380"/>
      <c r="Y81" s="380"/>
      <c r="Z81" s="380"/>
      <c r="AA81" s="380"/>
    </row>
    <row r="82" spans="1:27" x14ac:dyDescent="0.2">
      <c r="A82" s="383"/>
      <c r="B82" s="383"/>
      <c r="C82" s="383"/>
      <c r="D82" s="383"/>
      <c r="E82" s="1394"/>
      <c r="F82" s="1394"/>
      <c r="G82" s="1394"/>
      <c r="H82" s="1394"/>
      <c r="I82" s="1394"/>
      <c r="J82" s="383"/>
      <c r="K82" s="809"/>
      <c r="L82" s="383"/>
      <c r="M82" s="383"/>
      <c r="N82" s="383"/>
      <c r="O82" s="383"/>
      <c r="P82" s="383"/>
      <c r="Q82" s="383"/>
      <c r="R82" s="380"/>
      <c r="S82" s="380"/>
      <c r="T82" s="380"/>
      <c r="U82" s="380"/>
      <c r="V82" s="380"/>
      <c r="W82" s="380"/>
      <c r="X82" s="380"/>
      <c r="Y82" s="380"/>
      <c r="Z82" s="380"/>
      <c r="AA82" s="380"/>
    </row>
    <row r="83" spans="1:27" x14ac:dyDescent="0.2">
      <c r="A83" s="383"/>
      <c r="B83" s="383"/>
      <c r="C83" s="383"/>
      <c r="D83" s="383"/>
      <c r="E83" s="1394"/>
      <c r="F83" s="1394"/>
      <c r="G83" s="1394"/>
      <c r="H83" s="1394"/>
      <c r="I83" s="1394"/>
      <c r="J83" s="383"/>
      <c r="K83" s="809"/>
      <c r="L83" s="383"/>
      <c r="M83" s="383"/>
      <c r="N83" s="383"/>
      <c r="O83" s="383"/>
      <c r="P83" s="383"/>
      <c r="Q83" s="383"/>
      <c r="R83" s="380"/>
      <c r="S83" s="380"/>
      <c r="T83" s="380"/>
      <c r="U83" s="380"/>
      <c r="V83" s="380"/>
      <c r="W83" s="380"/>
      <c r="X83" s="380"/>
      <c r="Y83" s="380"/>
      <c r="Z83" s="380"/>
      <c r="AA83" s="380"/>
    </row>
    <row r="84" spans="1:27" x14ac:dyDescent="0.2">
      <c r="A84" s="383"/>
      <c r="B84" s="383"/>
      <c r="C84" s="383"/>
      <c r="D84" s="383"/>
      <c r="E84" s="1394"/>
      <c r="F84" s="1394"/>
      <c r="G84" s="1394"/>
      <c r="H84" s="1394"/>
      <c r="I84" s="1394"/>
      <c r="J84" s="383"/>
      <c r="K84" s="383"/>
      <c r="L84" s="383"/>
      <c r="M84" s="383"/>
      <c r="N84" s="383"/>
      <c r="O84" s="383"/>
      <c r="P84" s="383"/>
      <c r="Q84" s="383"/>
      <c r="R84" s="380"/>
      <c r="S84" s="380"/>
      <c r="T84" s="380"/>
      <c r="U84" s="380"/>
      <c r="V84" s="380"/>
      <c r="W84" s="380"/>
      <c r="X84" s="380"/>
      <c r="Y84" s="380"/>
      <c r="Z84" s="380"/>
      <c r="AA84" s="380"/>
    </row>
    <row r="85" spans="1:27" x14ac:dyDescent="0.2">
      <c r="A85" s="383"/>
      <c r="B85" s="383"/>
      <c r="C85" s="383"/>
      <c r="D85" s="383"/>
      <c r="E85" s="1394"/>
      <c r="F85" s="1394"/>
      <c r="G85" s="1394"/>
      <c r="H85" s="1394"/>
      <c r="I85" s="1394"/>
      <c r="J85" s="383"/>
      <c r="K85" s="383"/>
      <c r="L85" s="383"/>
      <c r="M85" s="383"/>
      <c r="N85" s="383"/>
      <c r="O85" s="383"/>
      <c r="P85" s="383"/>
      <c r="Q85" s="383"/>
      <c r="R85" s="380"/>
      <c r="S85" s="380"/>
      <c r="T85" s="380"/>
      <c r="U85" s="380"/>
      <c r="V85" s="380"/>
      <c r="W85" s="380"/>
      <c r="X85" s="380"/>
      <c r="Y85" s="380"/>
      <c r="Z85" s="380"/>
      <c r="AA85" s="380"/>
    </row>
    <row r="86" spans="1:27" x14ac:dyDescent="0.2">
      <c r="A86" s="383"/>
      <c r="B86" s="383"/>
      <c r="C86" s="383"/>
      <c r="D86" s="383"/>
      <c r="E86" s="1394"/>
      <c r="F86" s="383"/>
      <c r="G86" s="383"/>
      <c r="H86" s="383"/>
      <c r="I86" s="383"/>
      <c r="J86" s="383"/>
      <c r="K86" s="383"/>
      <c r="L86" s="383"/>
      <c r="M86" s="383"/>
      <c r="N86" s="383"/>
      <c r="O86" s="383"/>
      <c r="P86" s="383"/>
      <c r="Q86" s="383"/>
      <c r="R86" s="380"/>
      <c r="S86" s="380"/>
      <c r="T86" s="380"/>
      <c r="U86" s="380"/>
      <c r="V86" s="380"/>
      <c r="W86" s="380"/>
      <c r="X86" s="380"/>
      <c r="Y86" s="380"/>
      <c r="Z86" s="380"/>
      <c r="AA86" s="380"/>
    </row>
    <row r="87" spans="1:27" x14ac:dyDescent="0.2">
      <c r="A87" s="383"/>
      <c r="B87" s="383"/>
      <c r="C87" s="383"/>
      <c r="D87" s="383"/>
      <c r="E87" s="383"/>
      <c r="F87" s="383"/>
      <c r="G87" s="383"/>
      <c r="H87" s="383"/>
      <c r="I87" s="383"/>
      <c r="J87" s="383"/>
      <c r="K87" s="383"/>
      <c r="L87" s="383"/>
      <c r="M87" s="383"/>
      <c r="N87" s="383"/>
      <c r="O87" s="383"/>
      <c r="P87" s="383"/>
      <c r="Q87" s="383"/>
      <c r="R87" s="380"/>
      <c r="S87" s="380"/>
      <c r="T87" s="380"/>
      <c r="U87" s="380"/>
      <c r="V87" s="380"/>
      <c r="W87" s="380"/>
      <c r="X87" s="380"/>
      <c r="Y87" s="380"/>
      <c r="Z87" s="380"/>
      <c r="AA87" s="380"/>
    </row>
    <row r="88" spans="1:27" x14ac:dyDescent="0.2">
      <c r="A88" s="383"/>
      <c r="B88" s="383"/>
      <c r="C88" s="383"/>
      <c r="D88" s="383"/>
      <c r="E88" s="383"/>
      <c r="F88" s="383"/>
      <c r="G88" s="383"/>
      <c r="H88" s="383"/>
      <c r="I88" s="383"/>
      <c r="J88" s="383"/>
      <c r="K88" s="383"/>
      <c r="L88" s="383"/>
      <c r="M88" s="383"/>
      <c r="N88" s="383"/>
      <c r="O88" s="383"/>
      <c r="P88" s="383"/>
      <c r="Q88" s="383"/>
      <c r="R88" s="380"/>
      <c r="S88" s="380"/>
      <c r="T88" s="380"/>
      <c r="U88" s="380"/>
      <c r="V88" s="380"/>
      <c r="W88" s="380"/>
      <c r="X88" s="380"/>
      <c r="Y88" s="380"/>
      <c r="Z88" s="380"/>
      <c r="AA88" s="380"/>
    </row>
    <row r="89" spans="1:27" x14ac:dyDescent="0.2">
      <c r="A89" s="383"/>
      <c r="B89" s="383"/>
      <c r="C89" s="383"/>
      <c r="D89" s="383"/>
      <c r="E89" s="383"/>
      <c r="F89" s="383"/>
      <c r="G89" s="383"/>
      <c r="H89" s="383"/>
      <c r="I89" s="383"/>
      <c r="J89" s="383"/>
      <c r="K89" s="383"/>
      <c r="L89" s="383"/>
      <c r="M89" s="383"/>
      <c r="N89" s="383"/>
      <c r="O89" s="383"/>
      <c r="P89" s="383"/>
      <c r="Q89" s="383"/>
      <c r="R89" s="380"/>
      <c r="S89" s="380"/>
      <c r="T89" s="380"/>
      <c r="U89" s="380"/>
      <c r="V89" s="380"/>
      <c r="W89" s="380"/>
      <c r="X89" s="380"/>
      <c r="Y89" s="380"/>
      <c r="Z89" s="380"/>
      <c r="AA89" s="380"/>
    </row>
    <row r="90" spans="1:27" x14ac:dyDescent="0.2">
      <c r="A90" s="383"/>
      <c r="B90" s="383"/>
      <c r="C90" s="383"/>
      <c r="D90" s="383"/>
      <c r="E90" s="383"/>
      <c r="F90" s="383"/>
      <c r="G90" s="383"/>
      <c r="H90" s="383"/>
      <c r="I90" s="383"/>
      <c r="J90" s="383"/>
      <c r="K90" s="383"/>
      <c r="L90" s="383"/>
      <c r="M90" s="383"/>
      <c r="N90" s="383"/>
      <c r="O90" s="383"/>
      <c r="P90" s="383"/>
      <c r="Q90" s="383"/>
      <c r="R90" s="380"/>
      <c r="S90" s="380"/>
      <c r="T90" s="380"/>
      <c r="U90" s="380"/>
      <c r="V90" s="380"/>
      <c r="W90" s="380"/>
      <c r="X90" s="380"/>
      <c r="Y90" s="380"/>
      <c r="Z90" s="380"/>
      <c r="AA90" s="380"/>
    </row>
    <row r="91" spans="1:27" x14ac:dyDescent="0.2">
      <c r="A91" s="383"/>
      <c r="B91" s="383"/>
      <c r="C91" s="383"/>
      <c r="D91" s="383"/>
      <c r="E91" s="383"/>
      <c r="F91" s="383"/>
      <c r="G91" s="383"/>
      <c r="H91" s="383"/>
      <c r="I91" s="383"/>
      <c r="J91" s="383"/>
      <c r="K91" s="383"/>
      <c r="L91" s="383"/>
      <c r="M91" s="383"/>
      <c r="N91" s="383"/>
      <c r="O91" s="383"/>
      <c r="P91" s="383"/>
      <c r="Q91" s="383"/>
      <c r="R91" s="380"/>
      <c r="S91" s="380"/>
      <c r="T91" s="380"/>
      <c r="U91" s="380"/>
      <c r="V91" s="380"/>
      <c r="W91" s="380"/>
      <c r="X91" s="380"/>
      <c r="Y91" s="380"/>
      <c r="Z91" s="380"/>
      <c r="AA91" s="380"/>
    </row>
    <row r="92" spans="1:27" x14ac:dyDescent="0.2">
      <c r="A92" s="383"/>
      <c r="B92" s="383"/>
      <c r="C92" s="383"/>
      <c r="D92" s="383"/>
      <c r="E92" s="383"/>
      <c r="F92" s="383"/>
      <c r="G92" s="383"/>
      <c r="H92" s="383"/>
      <c r="I92" s="383"/>
      <c r="J92" s="383"/>
      <c r="K92" s="383"/>
      <c r="L92" s="383"/>
      <c r="M92" s="383"/>
      <c r="N92" s="383"/>
      <c r="O92" s="383"/>
      <c r="P92" s="383"/>
      <c r="Q92" s="383"/>
      <c r="R92" s="380"/>
      <c r="S92" s="380"/>
      <c r="T92" s="380"/>
      <c r="U92" s="380"/>
      <c r="V92" s="380"/>
      <c r="W92" s="380"/>
      <c r="X92" s="380"/>
      <c r="Y92" s="380"/>
      <c r="Z92" s="380"/>
      <c r="AA92" s="380"/>
    </row>
    <row r="93" spans="1:27" x14ac:dyDescent="0.2">
      <c r="A93" s="383"/>
      <c r="B93" s="383"/>
      <c r="C93" s="383"/>
      <c r="D93" s="383"/>
      <c r="E93" s="383"/>
      <c r="F93" s="383"/>
      <c r="G93" s="383"/>
      <c r="H93" s="383"/>
      <c r="I93" s="383"/>
      <c r="J93" s="383"/>
      <c r="K93" s="383"/>
      <c r="L93" s="383"/>
      <c r="M93" s="383"/>
      <c r="N93" s="383"/>
      <c r="O93" s="383"/>
      <c r="P93" s="383"/>
      <c r="Q93" s="383"/>
      <c r="R93" s="380"/>
      <c r="S93" s="380"/>
      <c r="T93" s="380"/>
      <c r="U93" s="380"/>
      <c r="V93" s="380"/>
      <c r="W93" s="380"/>
      <c r="X93" s="380"/>
      <c r="Y93" s="380"/>
      <c r="Z93" s="380"/>
      <c r="AA93" s="380"/>
    </row>
    <row r="94" spans="1:27" x14ac:dyDescent="0.2">
      <c r="A94" s="383"/>
      <c r="B94" s="383"/>
      <c r="C94" s="383"/>
      <c r="D94" s="383"/>
      <c r="E94" s="383"/>
      <c r="F94" s="383"/>
      <c r="G94" s="383"/>
      <c r="H94" s="383"/>
      <c r="I94" s="383"/>
      <c r="J94" s="383"/>
      <c r="K94" s="383"/>
      <c r="L94" s="383"/>
      <c r="M94" s="383"/>
      <c r="N94" s="383"/>
      <c r="O94" s="383"/>
      <c r="P94" s="383"/>
      <c r="Q94" s="383"/>
      <c r="R94" s="380"/>
      <c r="S94" s="380"/>
      <c r="T94" s="380"/>
      <c r="U94" s="380"/>
      <c r="V94" s="380"/>
      <c r="W94" s="380"/>
      <c r="X94" s="380"/>
      <c r="Y94" s="380"/>
      <c r="Z94" s="380"/>
      <c r="AA94" s="380"/>
    </row>
    <row r="95" spans="1:27" x14ac:dyDescent="0.2">
      <c r="A95" s="383"/>
      <c r="B95" s="383"/>
      <c r="C95" s="383"/>
      <c r="D95" s="383"/>
      <c r="E95" s="383"/>
      <c r="F95" s="383"/>
      <c r="G95" s="383"/>
      <c r="H95" s="383"/>
      <c r="I95" s="383"/>
      <c r="J95" s="383"/>
      <c r="K95" s="383"/>
      <c r="L95" s="383"/>
      <c r="M95" s="383"/>
      <c r="N95" s="383"/>
      <c r="O95" s="383"/>
      <c r="P95" s="383"/>
      <c r="Q95" s="383"/>
      <c r="R95" s="380"/>
      <c r="S95" s="380"/>
      <c r="T95" s="380"/>
      <c r="U95" s="380"/>
      <c r="V95" s="380"/>
      <c r="W95" s="380"/>
      <c r="X95" s="380"/>
      <c r="Y95" s="380"/>
      <c r="Z95" s="380"/>
      <c r="AA95" s="380"/>
    </row>
    <row r="96" spans="1:27" x14ac:dyDescent="0.2">
      <c r="A96" s="383"/>
      <c r="B96" s="383"/>
      <c r="C96" s="383"/>
      <c r="D96" s="383"/>
      <c r="E96" s="383"/>
      <c r="F96" s="383"/>
      <c r="G96" s="383"/>
      <c r="H96" s="383"/>
      <c r="I96" s="383"/>
      <c r="J96" s="383"/>
      <c r="K96" s="383"/>
      <c r="L96" s="383"/>
      <c r="M96" s="383"/>
      <c r="N96" s="383"/>
      <c r="O96" s="383"/>
      <c r="P96" s="383"/>
      <c r="Q96" s="383"/>
      <c r="R96" s="380"/>
      <c r="S96" s="380"/>
      <c r="T96" s="380"/>
      <c r="U96" s="380"/>
      <c r="V96" s="380"/>
      <c r="W96" s="380"/>
      <c r="X96" s="380"/>
      <c r="Y96" s="380"/>
      <c r="Z96" s="380"/>
      <c r="AA96" s="380"/>
    </row>
    <row r="97" spans="1:27" x14ac:dyDescent="0.2">
      <c r="A97" s="383"/>
      <c r="B97" s="383"/>
      <c r="C97" s="383"/>
      <c r="D97" s="383"/>
      <c r="E97" s="383"/>
      <c r="F97" s="383"/>
      <c r="G97" s="383"/>
      <c r="H97" s="383"/>
      <c r="I97" s="383"/>
      <c r="J97" s="383"/>
      <c r="K97" s="383"/>
      <c r="L97" s="383"/>
      <c r="M97" s="383"/>
      <c r="N97" s="383"/>
      <c r="O97" s="383"/>
      <c r="P97" s="383"/>
      <c r="Q97" s="383"/>
      <c r="R97" s="380"/>
      <c r="S97" s="380"/>
      <c r="T97" s="380"/>
      <c r="U97" s="380"/>
      <c r="V97" s="380"/>
      <c r="W97" s="380"/>
      <c r="X97" s="380"/>
      <c r="Y97" s="380"/>
      <c r="Z97" s="380"/>
      <c r="AA97" s="380"/>
    </row>
    <row r="98" spans="1:27" x14ac:dyDescent="0.2">
      <c r="A98" s="383"/>
      <c r="B98" s="383"/>
      <c r="C98" s="383"/>
      <c r="D98" s="383"/>
      <c r="E98" s="383"/>
      <c r="F98" s="383"/>
      <c r="G98" s="383"/>
      <c r="H98" s="383"/>
      <c r="I98" s="383"/>
      <c r="J98" s="383"/>
      <c r="K98" s="383"/>
      <c r="L98" s="383"/>
      <c r="M98" s="383"/>
      <c r="N98" s="383"/>
      <c r="O98" s="383"/>
      <c r="P98" s="383"/>
      <c r="Q98" s="383"/>
      <c r="R98" s="380"/>
      <c r="S98" s="380"/>
      <c r="T98" s="380"/>
      <c r="U98" s="380"/>
      <c r="V98" s="380"/>
      <c r="W98" s="380"/>
      <c r="X98" s="380"/>
      <c r="Y98" s="380"/>
      <c r="Z98" s="380"/>
      <c r="AA98" s="380"/>
    </row>
    <row r="99" spans="1:27" x14ac:dyDescent="0.2">
      <c r="A99" s="383"/>
      <c r="B99" s="383"/>
      <c r="C99" s="383"/>
      <c r="D99" s="383"/>
      <c r="E99" s="383"/>
      <c r="F99" s="383"/>
      <c r="G99" s="383"/>
      <c r="H99" s="383"/>
      <c r="I99" s="383"/>
      <c r="J99" s="383"/>
      <c r="K99" s="383"/>
      <c r="L99" s="383"/>
      <c r="M99" s="383"/>
      <c r="N99" s="383"/>
      <c r="O99" s="383"/>
      <c r="P99" s="383"/>
      <c r="Q99" s="383"/>
      <c r="R99" s="380"/>
      <c r="S99" s="380"/>
      <c r="T99" s="380"/>
      <c r="U99" s="380"/>
      <c r="V99" s="380"/>
      <c r="W99" s="380"/>
      <c r="X99" s="380"/>
      <c r="Y99" s="380"/>
      <c r="Z99" s="380"/>
      <c r="AA99" s="380"/>
    </row>
    <row r="100" spans="1:27" x14ac:dyDescent="0.2">
      <c r="A100" s="383"/>
      <c r="B100" s="383"/>
      <c r="C100" s="383"/>
      <c r="D100" s="383"/>
      <c r="E100" s="383"/>
      <c r="F100" s="383"/>
      <c r="G100" s="383"/>
      <c r="H100" s="383"/>
      <c r="I100" s="383"/>
      <c r="J100" s="383"/>
      <c r="K100" s="383"/>
      <c r="L100" s="383"/>
      <c r="M100" s="383"/>
      <c r="N100" s="383"/>
      <c r="O100" s="383"/>
      <c r="P100" s="383"/>
      <c r="Q100" s="383"/>
      <c r="R100" s="380"/>
      <c r="S100" s="380"/>
      <c r="T100" s="380"/>
      <c r="U100" s="380"/>
      <c r="V100" s="380"/>
      <c r="W100" s="380"/>
      <c r="X100" s="380"/>
      <c r="Y100" s="380"/>
      <c r="Z100" s="380"/>
      <c r="AA100" s="380"/>
    </row>
    <row r="101" spans="1:27" x14ac:dyDescent="0.2">
      <c r="A101" s="593"/>
      <c r="B101" s="718"/>
      <c r="C101" s="718"/>
      <c r="D101" s="718"/>
      <c r="E101" s="718"/>
      <c r="F101" s="718"/>
      <c r="G101" s="718"/>
      <c r="H101" s="718"/>
      <c r="I101" s="718"/>
      <c r="J101" s="718"/>
      <c r="K101" s="718"/>
      <c r="L101" s="718"/>
      <c r="M101" s="718"/>
      <c r="N101" s="718"/>
      <c r="O101" s="380"/>
      <c r="P101" s="380"/>
      <c r="Q101" s="380"/>
      <c r="R101" s="380"/>
      <c r="S101" s="380"/>
      <c r="T101" s="380"/>
      <c r="U101" s="380"/>
      <c r="V101" s="380"/>
      <c r="W101" s="380"/>
      <c r="X101" s="380"/>
      <c r="Y101" s="380"/>
      <c r="Z101" s="380"/>
      <c r="AA101" s="380"/>
    </row>
    <row r="102" spans="1:27" x14ac:dyDescent="0.2">
      <c r="A102" s="593"/>
      <c r="B102" s="718"/>
      <c r="C102" s="718"/>
      <c r="D102" s="718"/>
      <c r="E102" s="718"/>
      <c r="F102" s="718"/>
      <c r="G102" s="718"/>
      <c r="H102" s="718"/>
      <c r="I102" s="718"/>
      <c r="J102" s="718"/>
      <c r="K102" s="718"/>
      <c r="L102" s="718"/>
      <c r="M102" s="718"/>
      <c r="N102" s="718"/>
      <c r="O102" s="380"/>
      <c r="P102" s="380"/>
      <c r="Q102" s="380"/>
      <c r="R102" s="380"/>
      <c r="S102" s="380"/>
      <c r="T102" s="380"/>
      <c r="U102" s="380"/>
      <c r="V102" s="380"/>
      <c r="W102" s="380"/>
      <c r="X102" s="380"/>
      <c r="Y102" s="380"/>
      <c r="Z102" s="380"/>
      <c r="AA102" s="380"/>
    </row>
    <row r="103" spans="1:27" x14ac:dyDescent="0.2">
      <c r="A103" s="593"/>
      <c r="B103" s="718"/>
      <c r="C103" s="718"/>
      <c r="D103" s="718"/>
      <c r="E103" s="718"/>
      <c r="F103" s="718"/>
      <c r="G103" s="718"/>
      <c r="H103" s="718"/>
      <c r="I103" s="718"/>
      <c r="J103" s="718"/>
      <c r="K103" s="718"/>
      <c r="L103" s="718"/>
      <c r="M103" s="718"/>
      <c r="N103" s="718"/>
      <c r="O103" s="380"/>
      <c r="P103" s="380"/>
      <c r="Q103" s="380"/>
      <c r="R103" s="380"/>
      <c r="S103" s="380"/>
      <c r="T103" s="380"/>
      <c r="U103" s="380"/>
      <c r="V103" s="380"/>
      <c r="W103" s="380"/>
      <c r="X103" s="380"/>
      <c r="Y103" s="380"/>
      <c r="Z103" s="380"/>
      <c r="AA103" s="380"/>
    </row>
    <row r="104" spans="1:27" x14ac:dyDescent="0.2">
      <c r="A104" s="593"/>
      <c r="B104" s="718"/>
      <c r="C104" s="718"/>
      <c r="D104" s="718"/>
      <c r="E104" s="718"/>
      <c r="F104" s="718"/>
      <c r="G104" s="718"/>
      <c r="H104" s="718"/>
      <c r="I104" s="718"/>
      <c r="J104" s="718"/>
      <c r="K104" s="718"/>
      <c r="L104" s="718"/>
      <c r="M104" s="718"/>
      <c r="N104" s="718"/>
      <c r="O104" s="380"/>
      <c r="P104" s="380"/>
      <c r="Q104" s="380"/>
      <c r="R104" s="380"/>
      <c r="S104" s="380"/>
      <c r="T104" s="380"/>
      <c r="U104" s="380"/>
      <c r="V104" s="380"/>
      <c r="W104" s="380"/>
      <c r="X104" s="380"/>
      <c r="Y104" s="380"/>
      <c r="Z104" s="380"/>
      <c r="AA104" s="380"/>
    </row>
    <row r="105" spans="1:27" x14ac:dyDescent="0.2">
      <c r="A105" s="593"/>
      <c r="B105" s="718"/>
      <c r="C105" s="718"/>
      <c r="D105" s="718"/>
      <c r="E105" s="718"/>
      <c r="F105" s="718"/>
      <c r="G105" s="718"/>
      <c r="H105" s="718"/>
      <c r="I105" s="718"/>
      <c r="J105" s="718"/>
      <c r="K105" s="718"/>
      <c r="L105" s="718"/>
      <c r="M105" s="718"/>
      <c r="N105" s="718"/>
      <c r="O105" s="380"/>
      <c r="P105" s="380"/>
      <c r="Q105" s="380"/>
      <c r="R105" s="380"/>
      <c r="S105" s="380"/>
      <c r="T105" s="380"/>
      <c r="U105" s="380"/>
      <c r="V105" s="380"/>
      <c r="W105" s="380"/>
      <c r="X105" s="380"/>
      <c r="Y105" s="380"/>
      <c r="Z105" s="380"/>
      <c r="AA105" s="380"/>
    </row>
    <row r="106" spans="1:27" x14ac:dyDescent="0.2">
      <c r="A106" s="593"/>
      <c r="B106" s="718"/>
      <c r="C106" s="718"/>
      <c r="D106" s="718"/>
      <c r="E106" s="718"/>
      <c r="F106" s="718"/>
      <c r="G106" s="718"/>
      <c r="H106" s="718"/>
      <c r="I106" s="718"/>
      <c r="J106" s="718"/>
      <c r="K106" s="718"/>
      <c r="L106" s="718"/>
      <c r="M106" s="718"/>
      <c r="N106" s="718"/>
      <c r="O106" s="380"/>
      <c r="P106" s="380"/>
      <c r="Q106" s="380"/>
      <c r="R106" s="380"/>
      <c r="S106" s="380"/>
      <c r="T106" s="380"/>
      <c r="U106" s="380"/>
      <c r="V106" s="380"/>
      <c r="W106" s="380"/>
      <c r="X106" s="380"/>
      <c r="Y106" s="380"/>
      <c r="Z106" s="380"/>
      <c r="AA106" s="380"/>
    </row>
    <row r="107" spans="1:27" x14ac:dyDescent="0.2">
      <c r="A107" s="593"/>
      <c r="B107" s="718"/>
      <c r="C107" s="718"/>
      <c r="D107" s="718"/>
      <c r="E107" s="718"/>
      <c r="F107" s="718"/>
      <c r="G107" s="718"/>
      <c r="H107" s="718"/>
      <c r="I107" s="718"/>
      <c r="J107" s="718"/>
      <c r="K107" s="718"/>
      <c r="L107" s="718"/>
      <c r="M107" s="718"/>
      <c r="N107" s="718"/>
      <c r="O107" s="380"/>
      <c r="P107" s="380"/>
      <c r="Q107" s="380"/>
      <c r="R107" s="380"/>
      <c r="S107" s="380"/>
      <c r="T107" s="380"/>
      <c r="U107" s="380"/>
      <c r="V107" s="380"/>
      <c r="W107" s="380"/>
      <c r="X107" s="380"/>
      <c r="Y107" s="380"/>
      <c r="Z107" s="380"/>
      <c r="AA107" s="380"/>
    </row>
    <row r="108" spans="1:27" x14ac:dyDescent="0.2">
      <c r="A108" s="593"/>
      <c r="B108" s="718"/>
      <c r="C108" s="718"/>
      <c r="D108" s="718"/>
      <c r="E108" s="718"/>
      <c r="F108" s="718"/>
      <c r="G108" s="718"/>
      <c r="H108" s="718"/>
      <c r="I108" s="718"/>
      <c r="J108" s="718"/>
      <c r="K108" s="718"/>
      <c r="L108" s="718"/>
      <c r="M108" s="718"/>
      <c r="N108" s="718"/>
      <c r="O108" s="380"/>
      <c r="P108" s="380"/>
      <c r="Q108" s="380"/>
      <c r="R108" s="380"/>
      <c r="S108" s="380"/>
      <c r="T108" s="380"/>
      <c r="U108" s="380"/>
      <c r="V108" s="380"/>
      <c r="W108" s="380"/>
      <c r="X108" s="380"/>
      <c r="Y108" s="380"/>
      <c r="Z108" s="380"/>
      <c r="AA108" s="380"/>
    </row>
    <row r="109" spans="1:27" x14ac:dyDescent="0.2">
      <c r="A109" s="593"/>
      <c r="B109" s="718"/>
      <c r="C109" s="718"/>
      <c r="D109" s="718"/>
      <c r="E109" s="718"/>
      <c r="F109" s="718"/>
      <c r="G109" s="718"/>
      <c r="H109" s="718"/>
      <c r="I109" s="718"/>
      <c r="J109" s="718"/>
      <c r="K109" s="718"/>
      <c r="L109" s="718"/>
      <c r="M109" s="718"/>
      <c r="N109" s="718"/>
      <c r="O109" s="380"/>
      <c r="P109" s="380"/>
      <c r="Q109" s="380"/>
      <c r="R109" s="380"/>
      <c r="S109" s="380"/>
      <c r="T109" s="380"/>
      <c r="U109" s="380"/>
      <c r="V109" s="380"/>
      <c r="W109" s="380"/>
      <c r="X109" s="380"/>
      <c r="Y109" s="380"/>
      <c r="Z109" s="380"/>
      <c r="AA109" s="380"/>
    </row>
    <row r="110" spans="1:27" x14ac:dyDescent="0.2">
      <c r="A110" s="593"/>
      <c r="B110" s="718"/>
      <c r="C110" s="718"/>
      <c r="D110" s="718"/>
      <c r="E110" s="718"/>
      <c r="F110" s="718"/>
      <c r="G110" s="718"/>
      <c r="H110" s="718"/>
      <c r="I110" s="718"/>
      <c r="J110" s="718"/>
      <c r="K110" s="718"/>
      <c r="L110" s="718"/>
      <c r="M110" s="718"/>
      <c r="N110" s="718"/>
      <c r="O110" s="380"/>
      <c r="P110" s="380"/>
      <c r="Q110" s="380"/>
      <c r="R110" s="380"/>
      <c r="S110" s="380"/>
      <c r="T110" s="380"/>
      <c r="U110" s="380"/>
      <c r="V110" s="380"/>
      <c r="W110" s="380"/>
      <c r="X110" s="380"/>
      <c r="Y110" s="380"/>
      <c r="Z110" s="380"/>
      <c r="AA110" s="380"/>
    </row>
    <row r="111" spans="1:27" x14ac:dyDescent="0.2">
      <c r="A111" s="593"/>
      <c r="B111" s="718"/>
      <c r="C111" s="718"/>
      <c r="D111" s="718"/>
      <c r="E111" s="718"/>
      <c r="F111" s="718"/>
      <c r="G111" s="718"/>
      <c r="H111" s="718"/>
      <c r="I111" s="718"/>
      <c r="J111" s="718"/>
      <c r="K111" s="718"/>
      <c r="L111" s="718"/>
      <c r="M111" s="718"/>
      <c r="N111" s="718"/>
      <c r="O111" s="380"/>
      <c r="P111" s="380"/>
      <c r="Q111" s="380"/>
      <c r="R111" s="380"/>
      <c r="S111" s="380"/>
      <c r="T111" s="380"/>
      <c r="U111" s="380"/>
      <c r="V111" s="380"/>
      <c r="W111" s="380"/>
      <c r="X111" s="380"/>
      <c r="Y111" s="380"/>
      <c r="Z111" s="380"/>
      <c r="AA111" s="380"/>
    </row>
    <row r="112" spans="1:27" x14ac:dyDescent="0.2">
      <c r="A112" s="593"/>
      <c r="B112" s="380"/>
      <c r="C112" s="380"/>
      <c r="D112" s="380"/>
      <c r="E112" s="380"/>
      <c r="F112" s="380"/>
      <c r="G112" s="380"/>
      <c r="H112" s="380"/>
      <c r="I112" s="380"/>
      <c r="J112" s="380"/>
      <c r="K112" s="380"/>
      <c r="L112" s="380"/>
      <c r="M112" s="380"/>
      <c r="N112" s="380"/>
      <c r="O112" s="380"/>
      <c r="P112" s="380"/>
      <c r="Q112" s="380"/>
      <c r="R112" s="380"/>
      <c r="S112" s="380"/>
      <c r="T112" s="380"/>
      <c r="U112" s="380"/>
      <c r="V112" s="380"/>
      <c r="W112" s="380"/>
      <c r="X112" s="380"/>
      <c r="Y112" s="380"/>
      <c r="Z112" s="380"/>
      <c r="AA112" s="380"/>
    </row>
    <row r="113" spans="1:27" x14ac:dyDescent="0.2">
      <c r="A113" s="593"/>
      <c r="B113" s="380"/>
      <c r="C113" s="380"/>
      <c r="D113" s="380"/>
      <c r="E113" s="380"/>
      <c r="F113" s="380"/>
      <c r="G113" s="380"/>
      <c r="H113" s="380"/>
      <c r="I113" s="380"/>
      <c r="J113" s="380"/>
      <c r="K113" s="380"/>
      <c r="L113" s="380"/>
      <c r="M113" s="380"/>
      <c r="N113" s="380"/>
      <c r="O113" s="380"/>
      <c r="P113" s="380"/>
      <c r="Q113" s="380"/>
      <c r="R113" s="380"/>
      <c r="S113" s="380"/>
      <c r="T113" s="380"/>
      <c r="U113" s="380"/>
      <c r="V113" s="380"/>
      <c r="W113" s="380"/>
      <c r="X113" s="380"/>
      <c r="Y113" s="380"/>
      <c r="Z113" s="380"/>
      <c r="AA113" s="380"/>
    </row>
    <row r="114" spans="1:27" x14ac:dyDescent="0.2">
      <c r="A114" s="593"/>
      <c r="B114" s="380"/>
      <c r="C114" s="380"/>
      <c r="D114" s="380"/>
      <c r="E114" s="380"/>
      <c r="F114" s="380"/>
      <c r="G114" s="380"/>
      <c r="H114" s="380"/>
      <c r="I114" s="380"/>
      <c r="J114" s="380"/>
      <c r="K114" s="380"/>
      <c r="L114" s="380"/>
      <c r="M114" s="380"/>
      <c r="N114" s="380"/>
      <c r="O114" s="380"/>
      <c r="P114" s="380"/>
      <c r="Q114" s="380"/>
      <c r="R114" s="380"/>
      <c r="S114" s="380"/>
      <c r="T114" s="380"/>
      <c r="U114" s="380"/>
      <c r="V114" s="380"/>
      <c r="W114" s="380"/>
      <c r="X114" s="380"/>
      <c r="Y114" s="380"/>
      <c r="Z114" s="380"/>
      <c r="AA114" s="380"/>
    </row>
    <row r="115" spans="1:27" x14ac:dyDescent="0.2">
      <c r="A115" s="593"/>
      <c r="B115" s="380"/>
      <c r="C115" s="380"/>
      <c r="D115" s="380"/>
      <c r="E115" s="380"/>
      <c r="F115" s="380"/>
      <c r="G115" s="380"/>
      <c r="H115" s="380"/>
      <c r="I115" s="380"/>
      <c r="J115" s="380"/>
      <c r="K115" s="380"/>
      <c r="L115" s="380"/>
      <c r="M115" s="380"/>
      <c r="N115" s="380"/>
      <c r="O115" s="380"/>
      <c r="P115" s="380"/>
      <c r="Q115" s="380"/>
      <c r="R115" s="380"/>
      <c r="S115" s="380"/>
      <c r="T115" s="380"/>
      <c r="U115" s="380"/>
      <c r="V115" s="380"/>
      <c r="W115" s="380"/>
      <c r="X115" s="380"/>
      <c r="Y115" s="380"/>
      <c r="Z115" s="380"/>
      <c r="AA115" s="380"/>
    </row>
    <row r="116" spans="1:27" x14ac:dyDescent="0.2">
      <c r="A116" s="593"/>
      <c r="B116" s="380"/>
      <c r="C116" s="380"/>
      <c r="D116" s="380"/>
      <c r="E116" s="380"/>
      <c r="F116" s="380"/>
      <c r="G116" s="380"/>
      <c r="H116" s="380"/>
      <c r="I116" s="380"/>
      <c r="J116" s="380"/>
      <c r="K116" s="380"/>
      <c r="L116" s="380"/>
      <c r="M116" s="380"/>
      <c r="N116" s="380"/>
      <c r="O116" s="380"/>
      <c r="P116" s="380"/>
      <c r="Q116" s="380"/>
      <c r="R116" s="380"/>
      <c r="S116" s="380"/>
      <c r="T116" s="380"/>
      <c r="U116" s="380"/>
      <c r="V116" s="380"/>
      <c r="W116" s="380"/>
      <c r="X116" s="380"/>
      <c r="Y116" s="380"/>
      <c r="Z116" s="380"/>
      <c r="AA116" s="380"/>
    </row>
    <row r="117" spans="1:27" x14ac:dyDescent="0.2">
      <c r="A117" s="593"/>
      <c r="B117" s="380"/>
      <c r="C117" s="380"/>
      <c r="D117" s="380"/>
      <c r="E117" s="380"/>
      <c r="F117" s="380"/>
      <c r="G117" s="380"/>
      <c r="H117" s="380"/>
      <c r="I117" s="380"/>
      <c r="J117" s="380"/>
      <c r="K117" s="380"/>
      <c r="L117" s="380"/>
      <c r="M117" s="380"/>
      <c r="N117" s="380"/>
      <c r="O117" s="380"/>
      <c r="P117" s="380"/>
      <c r="Q117" s="380"/>
      <c r="R117" s="380"/>
      <c r="S117" s="380"/>
      <c r="T117" s="380"/>
      <c r="U117" s="380"/>
      <c r="V117" s="380"/>
      <c r="W117" s="380"/>
      <c r="X117" s="380"/>
      <c r="Y117" s="380"/>
      <c r="Z117" s="380"/>
      <c r="AA117" s="380"/>
    </row>
    <row r="118" spans="1:27" x14ac:dyDescent="0.2">
      <c r="A118" s="593"/>
      <c r="B118" s="380"/>
      <c r="C118" s="380"/>
      <c r="D118" s="380"/>
      <c r="E118" s="380"/>
      <c r="F118" s="380"/>
      <c r="G118" s="380"/>
      <c r="H118" s="380"/>
      <c r="I118" s="380"/>
      <c r="J118" s="380"/>
      <c r="K118" s="380"/>
      <c r="L118" s="380"/>
      <c r="M118" s="380"/>
      <c r="N118" s="380"/>
      <c r="O118" s="380"/>
      <c r="P118" s="380"/>
      <c r="Q118" s="380"/>
      <c r="R118" s="380"/>
      <c r="S118" s="380"/>
      <c r="T118" s="380"/>
      <c r="U118" s="380"/>
      <c r="V118" s="380"/>
      <c r="W118" s="380"/>
      <c r="X118" s="380"/>
      <c r="Y118" s="380"/>
      <c r="Z118" s="380"/>
      <c r="AA118" s="380"/>
    </row>
    <row r="119" spans="1:27" x14ac:dyDescent="0.2">
      <c r="A119" s="593"/>
      <c r="B119" s="380"/>
      <c r="C119" s="380"/>
      <c r="D119" s="380"/>
      <c r="E119" s="380"/>
      <c r="F119" s="380"/>
      <c r="G119" s="380"/>
      <c r="H119" s="380"/>
      <c r="I119" s="380"/>
      <c r="J119" s="380"/>
      <c r="K119" s="380"/>
      <c r="L119" s="380"/>
      <c r="M119" s="380"/>
      <c r="N119" s="380"/>
      <c r="O119" s="380"/>
      <c r="P119" s="380"/>
      <c r="Q119" s="380"/>
      <c r="R119" s="380"/>
      <c r="S119" s="380"/>
      <c r="T119" s="380"/>
      <c r="U119" s="380"/>
      <c r="V119" s="380"/>
      <c r="W119" s="380"/>
      <c r="X119" s="380"/>
      <c r="Y119" s="380"/>
      <c r="Z119" s="380"/>
      <c r="AA119" s="380"/>
    </row>
    <row r="120" spans="1:27" x14ac:dyDescent="0.2">
      <c r="A120" s="593"/>
      <c r="B120" s="380"/>
      <c r="C120" s="380"/>
      <c r="D120" s="380"/>
      <c r="E120" s="380"/>
      <c r="F120" s="380"/>
      <c r="G120" s="380"/>
      <c r="H120" s="380"/>
      <c r="I120" s="380"/>
      <c r="J120" s="380"/>
      <c r="K120" s="380"/>
      <c r="L120" s="380"/>
      <c r="M120" s="380"/>
      <c r="N120" s="380"/>
      <c r="O120" s="380"/>
      <c r="P120" s="380"/>
      <c r="Q120" s="380"/>
      <c r="R120" s="380"/>
      <c r="S120" s="380"/>
      <c r="T120" s="380"/>
      <c r="U120" s="380"/>
      <c r="V120" s="380"/>
      <c r="W120" s="380"/>
      <c r="X120" s="380"/>
      <c r="Y120" s="380"/>
      <c r="Z120" s="380"/>
      <c r="AA120" s="380"/>
    </row>
    <row r="121" spans="1:27" x14ac:dyDescent="0.2">
      <c r="A121" s="593"/>
      <c r="B121" s="380"/>
      <c r="C121" s="380"/>
      <c r="D121" s="380"/>
      <c r="E121" s="380"/>
      <c r="F121" s="380"/>
      <c r="G121" s="380"/>
      <c r="H121" s="380"/>
      <c r="I121" s="380"/>
      <c r="J121" s="380"/>
      <c r="K121" s="380"/>
      <c r="L121" s="380"/>
      <c r="M121" s="380"/>
      <c r="N121" s="380"/>
      <c r="O121" s="380"/>
      <c r="P121" s="380"/>
      <c r="Q121" s="380"/>
      <c r="R121" s="380"/>
      <c r="S121" s="380"/>
      <c r="T121" s="380"/>
      <c r="U121" s="380"/>
      <c r="V121" s="380"/>
      <c r="W121" s="380"/>
      <c r="X121" s="380"/>
      <c r="Y121" s="380"/>
      <c r="Z121" s="380"/>
      <c r="AA121" s="380"/>
    </row>
    <row r="122" spans="1:27" x14ac:dyDescent="0.2">
      <c r="A122" s="593"/>
      <c r="B122" s="380"/>
      <c r="C122" s="380"/>
      <c r="D122" s="380"/>
      <c r="E122" s="380"/>
      <c r="F122" s="380"/>
      <c r="G122" s="380"/>
      <c r="H122" s="380"/>
      <c r="I122" s="380"/>
      <c r="J122" s="380"/>
      <c r="K122" s="380"/>
      <c r="L122" s="380"/>
      <c r="M122" s="380"/>
      <c r="N122" s="380"/>
      <c r="O122" s="380"/>
      <c r="P122" s="380"/>
      <c r="Q122" s="380"/>
      <c r="R122" s="380"/>
      <c r="S122" s="380"/>
      <c r="T122" s="380"/>
      <c r="U122" s="380"/>
      <c r="V122" s="380"/>
      <c r="W122" s="380"/>
      <c r="X122" s="380"/>
      <c r="Y122" s="380"/>
      <c r="Z122" s="380"/>
      <c r="AA122" s="380"/>
    </row>
    <row r="123" spans="1:27" x14ac:dyDescent="0.2">
      <c r="A123" s="593"/>
      <c r="B123" s="380"/>
      <c r="C123" s="380"/>
      <c r="D123" s="380"/>
      <c r="E123" s="380"/>
      <c r="F123" s="380"/>
      <c r="G123" s="380"/>
      <c r="H123" s="380"/>
      <c r="I123" s="380"/>
      <c r="J123" s="380"/>
      <c r="K123" s="380"/>
      <c r="L123" s="380"/>
      <c r="M123" s="380"/>
      <c r="N123" s="380"/>
      <c r="O123" s="380"/>
      <c r="P123" s="380"/>
      <c r="Q123" s="380"/>
      <c r="R123" s="380"/>
      <c r="S123" s="380"/>
      <c r="T123" s="380"/>
      <c r="U123" s="380"/>
      <c r="V123" s="380"/>
      <c r="W123" s="380"/>
      <c r="X123" s="380"/>
      <c r="Y123" s="380"/>
      <c r="Z123" s="380"/>
      <c r="AA123" s="380"/>
    </row>
    <row r="124" spans="1:27" x14ac:dyDescent="0.2">
      <c r="A124" s="593"/>
      <c r="B124" s="380"/>
      <c r="C124" s="380"/>
      <c r="D124" s="380"/>
      <c r="E124" s="380"/>
      <c r="F124" s="380"/>
      <c r="G124" s="380"/>
      <c r="H124" s="380"/>
      <c r="I124" s="380"/>
      <c r="J124" s="380"/>
      <c r="K124" s="380"/>
      <c r="L124" s="380"/>
      <c r="M124" s="380"/>
      <c r="N124" s="380"/>
      <c r="O124" s="380"/>
      <c r="P124" s="380"/>
      <c r="Q124" s="380"/>
      <c r="R124" s="380"/>
      <c r="S124" s="380"/>
      <c r="T124" s="380"/>
      <c r="U124" s="380"/>
      <c r="V124" s="380"/>
      <c r="W124" s="380"/>
      <c r="X124" s="380"/>
      <c r="Y124" s="380"/>
      <c r="Z124" s="380"/>
      <c r="AA124" s="380"/>
    </row>
    <row r="125" spans="1:27" x14ac:dyDescent="0.2">
      <c r="A125" s="593"/>
      <c r="B125" s="380"/>
      <c r="C125" s="380"/>
      <c r="D125" s="380"/>
      <c r="E125" s="380"/>
      <c r="F125" s="380"/>
      <c r="G125" s="380"/>
      <c r="H125" s="380"/>
      <c r="I125" s="380"/>
      <c r="J125" s="380"/>
      <c r="K125" s="380"/>
      <c r="L125" s="380"/>
      <c r="M125" s="380"/>
      <c r="N125" s="380"/>
      <c r="O125" s="380"/>
      <c r="P125" s="380"/>
      <c r="Q125" s="380"/>
      <c r="R125" s="380"/>
      <c r="S125" s="380"/>
      <c r="T125" s="380"/>
      <c r="U125" s="380"/>
      <c r="V125" s="380"/>
      <c r="W125" s="380"/>
      <c r="X125" s="380"/>
      <c r="Y125" s="380"/>
      <c r="Z125" s="380"/>
      <c r="AA125" s="380"/>
    </row>
    <row r="126" spans="1:27" x14ac:dyDescent="0.2">
      <c r="A126" s="593"/>
      <c r="B126" s="380"/>
      <c r="C126" s="380"/>
      <c r="D126" s="380"/>
      <c r="E126" s="380"/>
      <c r="F126" s="380"/>
      <c r="G126" s="380"/>
      <c r="H126" s="380"/>
      <c r="I126" s="380"/>
      <c r="J126" s="380"/>
      <c r="K126" s="380"/>
      <c r="L126" s="380"/>
      <c r="M126" s="380"/>
      <c r="N126" s="380"/>
      <c r="O126" s="380"/>
      <c r="P126" s="380"/>
      <c r="Q126" s="380"/>
      <c r="R126" s="380"/>
      <c r="S126" s="380"/>
      <c r="T126" s="380"/>
      <c r="U126" s="380"/>
      <c r="V126" s="380"/>
      <c r="W126" s="380"/>
      <c r="X126" s="380"/>
      <c r="Y126" s="380"/>
      <c r="Z126" s="380"/>
      <c r="AA126" s="380"/>
    </row>
    <row r="127" spans="1:27" x14ac:dyDescent="0.2">
      <c r="A127" s="593"/>
      <c r="B127" s="380"/>
      <c r="C127" s="380"/>
      <c r="D127" s="380"/>
      <c r="E127" s="380"/>
      <c r="F127" s="380"/>
      <c r="G127" s="380"/>
      <c r="H127" s="380"/>
      <c r="I127" s="380"/>
      <c r="J127" s="380"/>
      <c r="K127" s="380"/>
      <c r="L127" s="380"/>
      <c r="M127" s="380"/>
      <c r="N127" s="380"/>
      <c r="O127" s="380"/>
      <c r="P127" s="380"/>
      <c r="Q127" s="380"/>
      <c r="R127" s="380"/>
      <c r="S127" s="380"/>
      <c r="T127" s="380"/>
      <c r="U127" s="380"/>
      <c r="V127" s="380"/>
      <c r="W127" s="380"/>
      <c r="X127" s="380"/>
      <c r="Y127" s="380"/>
      <c r="Z127" s="380"/>
      <c r="AA127" s="380"/>
    </row>
    <row r="128" spans="1:27" x14ac:dyDescent="0.2">
      <c r="A128" s="593"/>
      <c r="B128" s="380"/>
      <c r="C128" s="380"/>
      <c r="D128" s="380"/>
      <c r="E128" s="380"/>
      <c r="F128" s="380"/>
      <c r="G128" s="380"/>
      <c r="H128" s="380"/>
      <c r="I128" s="380"/>
      <c r="J128" s="380"/>
      <c r="K128" s="380"/>
      <c r="L128" s="380"/>
      <c r="M128" s="380"/>
      <c r="N128" s="380"/>
      <c r="O128" s="380"/>
      <c r="P128" s="380"/>
      <c r="Q128" s="380"/>
      <c r="R128" s="380"/>
      <c r="S128" s="380"/>
      <c r="T128" s="380"/>
      <c r="U128" s="380"/>
      <c r="V128" s="380"/>
      <c r="W128" s="380"/>
      <c r="X128" s="380"/>
      <c r="Y128" s="380"/>
      <c r="Z128" s="380"/>
      <c r="AA128" s="380"/>
    </row>
    <row r="129" spans="1:27" x14ac:dyDescent="0.2">
      <c r="A129" s="593"/>
      <c r="B129" s="380"/>
      <c r="C129" s="380"/>
      <c r="D129" s="380"/>
      <c r="E129" s="380"/>
      <c r="F129" s="380"/>
      <c r="G129" s="380"/>
      <c r="H129" s="380"/>
      <c r="I129" s="380"/>
      <c r="J129" s="380"/>
      <c r="K129" s="380"/>
      <c r="L129" s="380"/>
      <c r="M129" s="380"/>
      <c r="N129" s="380"/>
      <c r="O129" s="380"/>
      <c r="P129" s="380"/>
      <c r="Q129" s="380"/>
      <c r="R129" s="380"/>
      <c r="S129" s="380"/>
      <c r="T129" s="380"/>
      <c r="U129" s="380"/>
      <c r="V129" s="380"/>
      <c r="W129" s="380"/>
      <c r="X129" s="380"/>
      <c r="Y129" s="380"/>
      <c r="Z129" s="380"/>
      <c r="AA129" s="380"/>
    </row>
    <row r="130" spans="1:27" x14ac:dyDescent="0.2">
      <c r="A130" s="593"/>
      <c r="B130" s="380"/>
      <c r="C130" s="380"/>
      <c r="D130" s="380"/>
      <c r="E130" s="380"/>
      <c r="F130" s="380"/>
      <c r="G130" s="380"/>
      <c r="H130" s="380"/>
      <c r="I130" s="380"/>
      <c r="J130" s="380"/>
      <c r="K130" s="380"/>
      <c r="L130" s="380"/>
      <c r="M130" s="380"/>
      <c r="N130" s="380"/>
      <c r="O130" s="380"/>
      <c r="P130" s="380"/>
      <c r="Q130" s="380"/>
      <c r="R130" s="380"/>
      <c r="S130" s="380"/>
      <c r="T130" s="380"/>
      <c r="U130" s="380"/>
      <c r="V130" s="380"/>
      <c r="W130" s="380"/>
      <c r="X130" s="380"/>
      <c r="Y130" s="380"/>
      <c r="Z130" s="380"/>
      <c r="AA130" s="380"/>
    </row>
    <row r="131" spans="1:27" x14ac:dyDescent="0.2">
      <c r="A131" s="593"/>
      <c r="B131" s="380"/>
      <c r="C131" s="380"/>
      <c r="D131" s="380"/>
      <c r="E131" s="380"/>
      <c r="F131" s="380"/>
      <c r="G131" s="380"/>
      <c r="H131" s="380"/>
      <c r="I131" s="380"/>
      <c r="J131" s="380"/>
      <c r="K131" s="380"/>
      <c r="L131" s="380"/>
      <c r="M131" s="380"/>
      <c r="N131" s="380"/>
      <c r="O131" s="380"/>
      <c r="P131" s="380"/>
      <c r="Q131" s="380"/>
      <c r="R131" s="380"/>
      <c r="S131" s="380"/>
      <c r="T131" s="380"/>
      <c r="U131" s="380"/>
      <c r="V131" s="380"/>
      <c r="W131" s="380"/>
      <c r="X131" s="380"/>
      <c r="Y131" s="380"/>
      <c r="Z131" s="380"/>
      <c r="AA131" s="380"/>
    </row>
    <row r="132" spans="1:27" x14ac:dyDescent="0.2">
      <c r="A132" s="593"/>
      <c r="B132" s="380"/>
      <c r="C132" s="380"/>
      <c r="D132" s="380"/>
      <c r="E132" s="380"/>
      <c r="F132" s="380"/>
      <c r="G132" s="380"/>
      <c r="H132" s="380"/>
      <c r="I132" s="380"/>
      <c r="J132" s="380"/>
      <c r="K132" s="380"/>
      <c r="L132" s="380"/>
      <c r="M132" s="380"/>
      <c r="N132" s="380"/>
      <c r="O132" s="380"/>
      <c r="P132" s="380"/>
      <c r="Q132" s="380"/>
      <c r="R132" s="380"/>
      <c r="S132" s="380"/>
      <c r="T132" s="380"/>
      <c r="U132" s="380"/>
      <c r="V132" s="380"/>
      <c r="W132" s="380"/>
      <c r="X132" s="380"/>
      <c r="Y132" s="380"/>
      <c r="Z132" s="380"/>
      <c r="AA132" s="380"/>
    </row>
    <row r="133" spans="1:27" x14ac:dyDescent="0.2">
      <c r="A133" s="593"/>
      <c r="B133" s="380" t="s">
        <v>48</v>
      </c>
      <c r="C133" s="380"/>
      <c r="D133" s="380" t="s">
        <v>890</v>
      </c>
      <c r="E133" s="380"/>
      <c r="F133" s="380"/>
      <c r="G133" s="380"/>
      <c r="H133" s="380"/>
      <c r="I133" s="380"/>
      <c r="J133" s="380"/>
      <c r="K133" s="380"/>
      <c r="L133" s="380"/>
      <c r="M133" s="380"/>
      <c r="N133" s="380"/>
      <c r="O133" s="380"/>
      <c r="P133" s="380"/>
      <c r="Q133" s="380"/>
      <c r="R133" s="380"/>
      <c r="S133" s="380"/>
      <c r="T133" s="380"/>
      <c r="U133" s="380"/>
      <c r="V133" s="380"/>
      <c r="W133" s="380"/>
      <c r="X133" s="380"/>
      <c r="Y133" s="380"/>
      <c r="Z133" s="380"/>
      <c r="AA133" s="380"/>
    </row>
    <row r="134" spans="1:27" x14ac:dyDescent="0.2">
      <c r="A134" s="593"/>
      <c r="B134" s="380"/>
      <c r="C134" s="380"/>
      <c r="D134" s="380"/>
      <c r="E134" s="380"/>
      <c r="F134" s="380"/>
      <c r="G134" s="380"/>
      <c r="H134" s="380"/>
      <c r="I134" s="380"/>
      <c r="J134" s="380"/>
      <c r="K134" s="380"/>
      <c r="L134" s="380"/>
      <c r="M134" s="380"/>
      <c r="N134" s="380"/>
      <c r="O134" s="380"/>
      <c r="P134" s="380"/>
      <c r="Q134" s="380"/>
      <c r="R134" s="380"/>
      <c r="S134" s="380"/>
      <c r="T134" s="380"/>
      <c r="U134" s="380"/>
      <c r="V134" s="380"/>
      <c r="W134" s="380"/>
      <c r="X134" s="380"/>
    </row>
    <row r="135" spans="1:27" x14ac:dyDescent="0.2">
      <c r="A135" s="593"/>
      <c r="B135" s="380">
        <v>31334252</v>
      </c>
      <c r="C135" s="380">
        <v>1557282</v>
      </c>
      <c r="D135" s="380">
        <v>25618723.30074</v>
      </c>
      <c r="E135" s="380"/>
      <c r="F135" s="380"/>
      <c r="G135" s="380"/>
      <c r="H135" s="380"/>
      <c r="I135" s="380"/>
      <c r="J135" s="380"/>
      <c r="K135" s="380"/>
      <c r="L135" s="380"/>
      <c r="M135" s="380"/>
      <c r="N135" s="380"/>
      <c r="O135" s="380"/>
      <c r="P135" s="380"/>
      <c r="Q135" s="380"/>
      <c r="R135" s="380"/>
      <c r="S135" s="380"/>
      <c r="T135" s="380"/>
      <c r="U135" s="380"/>
      <c r="V135" s="380"/>
      <c r="W135" s="380"/>
      <c r="X135" s="380"/>
    </row>
    <row r="136" spans="1:27" x14ac:dyDescent="0.2">
      <c r="A136" s="593"/>
      <c r="B136" s="380">
        <v>33926746</v>
      </c>
      <c r="C136" s="380">
        <v>1459936</v>
      </c>
      <c r="D136" s="380">
        <v>27532377.5</v>
      </c>
      <c r="E136" s="380"/>
      <c r="F136" s="380"/>
      <c r="G136" s="380"/>
      <c r="H136" s="380"/>
      <c r="I136" s="380"/>
      <c r="J136" s="380"/>
      <c r="K136" s="380"/>
      <c r="L136" s="380"/>
      <c r="M136" s="380"/>
      <c r="N136" s="380"/>
      <c r="O136" s="380"/>
      <c r="P136" s="380"/>
      <c r="Q136" s="380"/>
      <c r="R136" s="380"/>
      <c r="S136" s="380"/>
      <c r="T136" s="380"/>
      <c r="U136" s="380"/>
      <c r="V136" s="380"/>
      <c r="W136" s="380"/>
      <c r="X136" s="380"/>
    </row>
    <row r="137" spans="1:27" x14ac:dyDescent="0.2">
      <c r="A137" s="651"/>
      <c r="B137" s="380">
        <v>35177509</v>
      </c>
      <c r="C137" s="380">
        <v>1185244</v>
      </c>
      <c r="D137" s="380">
        <v>28597580</v>
      </c>
      <c r="E137" s="380"/>
      <c r="F137" s="380"/>
      <c r="G137" s="380"/>
      <c r="H137" s="380"/>
      <c r="I137" s="380"/>
      <c r="J137" s="380"/>
      <c r="K137" s="380"/>
      <c r="L137" s="380"/>
      <c r="M137" s="380"/>
      <c r="N137" s="380"/>
      <c r="O137" s="380"/>
      <c r="P137" s="380"/>
      <c r="Q137" s="380"/>
      <c r="R137" s="380"/>
      <c r="S137" s="380"/>
      <c r="T137" s="380"/>
      <c r="U137" s="380"/>
      <c r="V137" s="380"/>
      <c r="W137" s="380"/>
      <c r="X137" s="380"/>
    </row>
    <row r="138" spans="1:27" x14ac:dyDescent="0.2">
      <c r="A138" s="651"/>
      <c r="B138" s="380">
        <v>36561167</v>
      </c>
      <c r="C138" s="380">
        <v>1207654</v>
      </c>
      <c r="D138" s="380">
        <v>29889105.70163</v>
      </c>
      <c r="E138" s="380"/>
      <c r="F138" s="380"/>
      <c r="G138" s="380"/>
      <c r="H138" s="380"/>
      <c r="I138" s="380"/>
      <c r="J138" s="380"/>
      <c r="K138" s="380"/>
      <c r="L138" s="380"/>
      <c r="M138" s="380"/>
      <c r="N138" s="380"/>
      <c r="O138" s="380"/>
      <c r="P138" s="380"/>
      <c r="Q138" s="380"/>
      <c r="R138" s="380"/>
      <c r="S138" s="380"/>
      <c r="T138" s="380"/>
      <c r="U138" s="380"/>
      <c r="V138" s="380"/>
      <c r="W138" s="380"/>
      <c r="X138" s="380"/>
    </row>
    <row r="139" spans="1:27" x14ac:dyDescent="0.2">
      <c r="A139" s="651"/>
      <c r="B139" s="380">
        <v>39264185</v>
      </c>
      <c r="C139" s="380">
        <v>1895423</v>
      </c>
      <c r="D139" s="380">
        <v>31923704.696791034</v>
      </c>
      <c r="E139" s="380"/>
      <c r="F139" s="380"/>
      <c r="G139" s="380"/>
      <c r="H139" s="380"/>
      <c r="I139" s="380"/>
      <c r="J139" s="380"/>
      <c r="K139" s="380"/>
      <c r="L139" s="380"/>
      <c r="M139" s="380"/>
      <c r="N139" s="380"/>
      <c r="O139" s="380"/>
      <c r="P139" s="380"/>
      <c r="Q139" s="380"/>
      <c r="R139" s="380"/>
      <c r="S139" s="380"/>
      <c r="T139" s="380"/>
      <c r="U139" s="380"/>
      <c r="V139" s="380"/>
      <c r="W139" s="380"/>
      <c r="X139" s="380"/>
    </row>
    <row r="140" spans="1:27" x14ac:dyDescent="0.2">
      <c r="A140" s="651"/>
      <c r="B140" s="380">
        <v>42104673</v>
      </c>
      <c r="C140" s="380">
        <v>2302578</v>
      </c>
      <c r="D140" s="380">
        <v>34145273.229639992</v>
      </c>
      <c r="E140" s="380"/>
      <c r="F140" s="380"/>
      <c r="G140" s="380"/>
      <c r="H140" s="380"/>
      <c r="I140" s="380"/>
      <c r="J140" s="380"/>
      <c r="K140" s="380"/>
      <c r="L140" s="380"/>
      <c r="M140" s="380"/>
      <c r="N140" s="380"/>
      <c r="O140" s="380"/>
      <c r="P140" s="380"/>
      <c r="Q140" s="380"/>
      <c r="R140" s="380"/>
      <c r="S140" s="380"/>
      <c r="T140" s="380"/>
      <c r="U140" s="380"/>
      <c r="V140" s="380"/>
      <c r="W140" s="380"/>
      <c r="X140" s="380"/>
    </row>
    <row r="141" spans="1:27" x14ac:dyDescent="0.2">
      <c r="A141" s="380"/>
      <c r="B141" s="380">
        <v>43513839</v>
      </c>
      <c r="C141" s="380">
        <v>2127889</v>
      </c>
      <c r="D141" s="380">
        <v>36360777</v>
      </c>
      <c r="E141" s="380"/>
      <c r="F141" s="380"/>
      <c r="G141" s="380"/>
      <c r="H141" s="380"/>
      <c r="I141" s="380"/>
      <c r="J141" s="380"/>
      <c r="K141" s="380"/>
      <c r="L141" s="380"/>
      <c r="M141" s="380"/>
      <c r="N141" s="380"/>
      <c r="O141" s="380"/>
      <c r="P141" s="380"/>
      <c r="Q141" s="380"/>
      <c r="R141" s="380"/>
      <c r="S141" s="380"/>
      <c r="T141" s="380"/>
      <c r="U141" s="380"/>
      <c r="V141" s="380"/>
      <c r="W141" s="380"/>
      <c r="X141" s="380"/>
    </row>
    <row r="142" spans="1:27" x14ac:dyDescent="0.2">
      <c r="A142" s="380"/>
      <c r="B142" s="380">
        <v>43360622</v>
      </c>
      <c r="C142" s="380">
        <v>1872598</v>
      </c>
      <c r="D142" s="380">
        <v>40775049.303849995</v>
      </c>
      <c r="E142" s="380"/>
      <c r="F142" s="380"/>
      <c r="G142" s="380"/>
      <c r="H142" s="380"/>
      <c r="I142" s="380"/>
      <c r="J142" s="380"/>
      <c r="K142" s="380"/>
      <c r="L142" s="380"/>
      <c r="M142" s="380"/>
      <c r="N142" s="380"/>
      <c r="O142" s="380"/>
      <c r="P142" s="380"/>
      <c r="Q142" s="380"/>
      <c r="R142" s="380"/>
      <c r="S142" s="380"/>
      <c r="T142" s="380"/>
      <c r="U142" s="380"/>
      <c r="V142" s="380"/>
      <c r="W142" s="380"/>
      <c r="X142" s="380"/>
    </row>
    <row r="143" spans="1:27" x14ac:dyDescent="0.2">
      <c r="A143" s="380"/>
      <c r="B143" s="380"/>
      <c r="C143" s="380"/>
      <c r="D143" s="380"/>
      <c r="E143" s="380"/>
      <c r="F143" s="380"/>
      <c r="G143" s="380"/>
      <c r="H143" s="380"/>
      <c r="I143" s="380"/>
      <c r="J143" s="380"/>
      <c r="K143" s="380"/>
      <c r="L143" s="380"/>
      <c r="M143" s="380"/>
      <c r="N143" s="380"/>
      <c r="O143" s="380"/>
      <c r="P143" s="380"/>
      <c r="Q143" s="380"/>
      <c r="R143" s="380"/>
      <c r="S143" s="380"/>
      <c r="T143" s="718"/>
      <c r="V143" s="380"/>
      <c r="W143" s="380"/>
      <c r="X143" s="380"/>
    </row>
    <row r="144" spans="1:27" x14ac:dyDescent="0.2">
      <c r="A144" s="380"/>
      <c r="B144" s="380"/>
      <c r="C144" s="380"/>
      <c r="D144" s="380"/>
      <c r="E144" s="380"/>
      <c r="F144" s="380"/>
      <c r="G144" s="380"/>
      <c r="H144" s="380"/>
      <c r="I144" s="380"/>
      <c r="J144" s="380"/>
      <c r="K144" s="380"/>
      <c r="L144" s="380"/>
      <c r="M144" s="380"/>
      <c r="N144" s="380"/>
      <c r="O144" s="380"/>
      <c r="P144" s="380"/>
      <c r="Q144" s="380"/>
      <c r="R144" s="380"/>
      <c r="S144" s="380"/>
      <c r="T144" s="718"/>
      <c r="W144" s="380"/>
      <c r="X144" s="380"/>
    </row>
    <row r="145" spans="1:24" x14ac:dyDescent="0.2">
      <c r="A145" s="380"/>
      <c r="B145" s="380"/>
      <c r="C145" s="380"/>
      <c r="D145" s="380"/>
      <c r="E145" s="380"/>
      <c r="F145" s="380"/>
      <c r="G145" s="380"/>
      <c r="H145" s="380"/>
      <c r="I145" s="380"/>
      <c r="J145" s="380"/>
      <c r="K145" s="679"/>
      <c r="L145" s="380"/>
      <c r="M145" s="380"/>
      <c r="N145" s="380"/>
      <c r="O145" s="380"/>
      <c r="P145" s="380"/>
      <c r="Q145" s="380"/>
      <c r="R145" s="380"/>
      <c r="S145" s="380"/>
      <c r="T145" s="718"/>
      <c r="W145" s="380"/>
      <c r="X145" s="380"/>
    </row>
    <row r="146" spans="1:24" x14ac:dyDescent="0.2">
      <c r="K146" s="286"/>
    </row>
  </sheetData>
  <customSheetViews>
    <customSheetView guid="{9EA95E61-FCA5-4867-AEB4-B8C24058ACDD}" showGridLines="0" showRowCol="0" topLeftCell="A10">
      <selection activeCell="B10" sqref="B10"/>
      <pageMargins left="0.7" right="0.7" top="0.75" bottom="0.75" header="0.3" footer="0.3"/>
      <pageSetup paperSize="9" orientation="portrait" r:id="rId1"/>
    </customSheetView>
  </customSheetViews>
  <dataValidations xWindow="419" yWindow="516" count="10">
    <dataValidation allowBlank="1" showInputMessage="1" showErrorMessage="1" promptTitle="Full Time Equivalent" prompt="The number of total hours worked divided by the maximum number of compensable hours in a full-time schedule" sqref="K78"/>
    <dataValidation allowBlank="1" showInputMessage="1" showErrorMessage="1" promptTitle="Major Staff Groups" prompt="More on the profile of staff in each category can be obtained from the webpage: http://www.ic.nhs.uk/article/2268/NHS-Occupation-Codes" sqref="K79"/>
    <dataValidation allowBlank="1" showInputMessage="1" showErrorMessage="1" promptTitle="Non funded staff" prompt="Non-funded staff includes staff employed on projects funded by the Department of Health or other outside sources, and staff _x000a_whose salaries are recharged to another non-NHS employer or organisation." sqref="K81"/>
    <dataValidation allowBlank="1" showInputMessage="1" showErrorMessage="1" promptTitle="iVIew" prompt="Service provided by IC NHS; iView can be found on the following link: http://www.ic.nhs.uk/iview" sqref="K80"/>
    <dataValidation allowBlank="1" showInputMessage="1" showErrorMessage="1" promptTitle="Non-funded staff" prompt="Non-funded staff includes staff employed on projects funded by the Department of Health or other outside sources, and staff _x000a_whose salaries are recharged to another non-NHS employer or organisation." sqref="L72"/>
    <dataValidation allowBlank="1" showInputMessage="1" showErrorMessage="1" promptTitle="Data for years 2004/05-2006/07" prompt="For years 2004/05-2006/07 Electronic Staff Record data was not available; Workforce Census data was used insted." sqref="I62 F62 C62"/>
    <dataValidation allowBlank="1" showInputMessage="1" showErrorMessage="1" promptTitle="Major Staff Group" prompt="More on the profile of staff in each category can be obtained from the webpage: http://www.ic.nhs.uk/article/2268/NHS-Occupation-Codes" sqref="B18"/>
    <dataValidation allowBlank="1" showInputMessage="1" showErrorMessage="1" promptTitle="Electronic Staff record" prompt="Service provided by IC NHS; iView can be found on the following link: http://www.ic.nhs.uk/iview" sqref="G18 B17 B4"/>
    <dataValidation allowBlank="1" showErrorMessage="1" promptTitle="Electronic Staff record" prompt="Service provided by IC NHS; iView can be found on the following link: http://www.ic.nhs.uk/iview" sqref="B6:B7 B5"/>
    <dataValidation allowBlank="1" showErrorMessage="1" sqref="B8:B16"/>
  </dataValidations>
  <pageMargins left="0.7" right="0.7" top="0.75" bottom="0.75" header="0.3" footer="0.3"/>
  <pageSetup paperSize="9" orientation="portrait" r:id="rId2"/>
  <ignoredErrors>
    <ignoredError sqref="D22:E28" formulaRange="1"/>
    <ignoredError sqref="F11 H11" 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7170" r:id="rId5" name="Check Box 2">
              <controlPr defaultSize="0" autoFill="0" autoLine="0" autoPict="0">
                <anchor moveWithCells="1">
                  <from>
                    <xdr:col>1</xdr:col>
                    <xdr:colOff>9525</xdr:colOff>
                    <xdr:row>30</xdr:row>
                    <xdr:rowOff>9525</xdr:rowOff>
                  </from>
                  <to>
                    <xdr:col>1</xdr:col>
                    <xdr:colOff>1162050</xdr:colOff>
                    <xdr:row>30</xdr:row>
                    <xdr:rowOff>276225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26" id="{4AC473A9-AC68-4CD3-AD4B-98C1F22B97AC}">
            <x14:iconSet iconSet="3Triangles">
              <x14:cfvo type="percent">
                <xm:f>0</xm:f>
              </x14:cfvo>
              <x14:cfvo type="num">
                <xm:f>0</xm:f>
              </x14:cfvo>
              <x14:cfvo type="num" gte="0">
                <xm:f>0</xm:f>
              </x14:cfvo>
            </x14:iconSet>
          </x14:cfRule>
          <xm:sqref>K21:K29</xm:sqref>
        </x14:conditionalFormatting>
      </x14:conditionalFormattings>
    </ext>
    <ext xmlns:x14="http://schemas.microsoft.com/office/spreadsheetml/2009/9/main" uri="{05C60535-1F16-4fd2-B633-F4F36F0B64E0}">
      <x14:sparklineGroups xmlns:xm="http://schemas.microsoft.com/office/excel/2006/main">
        <x14:sparklineGroup displayEmptyCellsAs="gap" markers="1" high="1">
          <x14:colorSeries theme="8"/>
          <x14:colorNegative theme="9"/>
          <x14:colorAxis rgb="FF000000"/>
          <x14:colorMarkers theme="8" tint="-0.249977111117893"/>
          <x14:colorFirst theme="8" tint="-0.249977111117893"/>
          <x14:colorLast theme="8" tint="-0.249977111117893"/>
          <x14:colorHigh theme="5"/>
          <x14:colorLow theme="8" tint="-0.249977111117893"/>
          <x14:sparklines>
            <x14:sparkline>
              <xm:f>Labour_Inputs!B135:B142</xm:f>
              <xm:sqref>G12</xm:sqref>
            </x14:sparkline>
          </x14:sparklines>
        </x14:sparklineGroup>
        <x14:sparklineGroup displayEmptyCellsAs="gap" markers="1" high="1">
          <x14:colorSeries theme="8"/>
          <x14:colorNegative theme="9"/>
          <x14:colorAxis rgb="FF000000"/>
          <x14:colorMarkers theme="8" tint="-0.249977111117893"/>
          <x14:colorFirst theme="8" tint="-0.249977111117893"/>
          <x14:colorLast theme="8" tint="-0.249977111117893"/>
          <x14:colorHigh theme="5"/>
          <x14:colorLow theme="8" tint="-0.249977111117893"/>
          <x14:sparklines>
            <x14:sparkline>
              <xm:f>Labour_Inputs!C135:C142</xm:f>
              <xm:sqref>G11</xm:sqref>
            </x14:sparkline>
          </x14:sparklines>
        </x14:sparklineGroup>
        <x14:sparklineGroup displayEmptyCellsAs="gap" markers="1" high="1">
          <x14:colorSeries theme="8"/>
          <x14:colorNegative theme="9"/>
          <x14:colorAxis rgb="FF000000"/>
          <x14:colorMarkers theme="8" tint="-0.249977111117893"/>
          <x14:colorFirst theme="8" tint="-0.249977111117893"/>
          <x14:colorLast theme="8" tint="-0.249977111117893"/>
          <x14:colorHigh theme="5"/>
          <x14:colorLow theme="8" tint="-0.249977111117893"/>
          <x14:sparklines>
            <x14:sparkline>
              <xm:f>Labour_Inputs!D135:D142</xm:f>
              <xm:sqref>G10</xm:sqref>
            </x14:sparkline>
          </x14:sparklines>
        </x14:sparklineGroup>
        <x14:sparklineGroup manualMax="0" manualMin="0" displayEmptyCellsAs="gap" markers="1" high="1" low="1">
          <x14:colorSeries theme="8"/>
          <x14:colorNegative theme="9"/>
          <x14:colorAxis rgb="FF000000"/>
          <x14:colorMarkers theme="8" tint="-0.249977111117893"/>
          <x14:colorFirst theme="8" tint="-0.249977111117893"/>
          <x14:colorLast theme="8" tint="-0.249977111117893"/>
          <x14:colorHigh rgb="FFFF0000"/>
          <x14:colorLow theme="3" tint="-0.499984740745262"/>
          <x14:sparklines>
            <x14:sparkline>
              <xm:f>Labour_Inputs!M63:Q63</xm:f>
              <xm:sqref>O21</xm:sqref>
            </x14:sparkline>
            <x14:sparkline>
              <xm:f>Labour_Inputs!M64:Q64</xm:f>
              <xm:sqref>O22</xm:sqref>
            </x14:sparkline>
            <x14:sparkline>
              <xm:f>Labour_Inputs!M65:Q65</xm:f>
              <xm:sqref>O23</xm:sqref>
            </x14:sparkline>
            <x14:sparkline>
              <xm:f>Labour_Inputs!M66:Q66</xm:f>
              <xm:sqref>O24</xm:sqref>
            </x14:sparkline>
            <x14:sparkline>
              <xm:f>Labour_Inputs!M67:Q67</xm:f>
              <xm:sqref>O25</xm:sqref>
            </x14:sparkline>
            <x14:sparkline>
              <xm:f>Labour_Inputs!M68:Q68</xm:f>
              <xm:sqref>O26</xm:sqref>
            </x14:sparkline>
            <x14:sparkline>
              <xm:f>Labour_Inputs!M69:Q69</xm:f>
              <xm:sqref>O27</xm:sqref>
            </x14:sparkline>
            <x14:sparkline>
              <xm:f>Labour_Inputs!M70:Q70</xm:f>
              <xm:sqref>O28</xm:sqref>
            </x14:sparkline>
            <x14:sparkline>
              <xm:f>Labour_Inputs!M71:Q71</xm:f>
              <xm:sqref>O29</xm:sqref>
            </x14:sparkline>
          </x14:sparklines>
        </x14:sparklineGroup>
        <x14:sparklineGroup manualMax="0" manualMin="0" displayEmptyCellsAs="gap" markers="1" high="1">
          <x14:colorSeries theme="8"/>
          <x14:colorNegative theme="9"/>
          <x14:colorAxis rgb="FF000000"/>
          <x14:colorMarkers theme="8" tint="-0.249977111117893"/>
          <x14:colorFirst theme="8" tint="-0.249977111117893"/>
          <x14:colorLast theme="8" tint="-0.249977111117893"/>
          <x14:colorHigh rgb="FFFF0000"/>
          <x14:colorLow theme="8" tint="-0.249977111117893"/>
          <x14:sparklines>
            <x14:sparkline>
              <xm:f>Labour_Inputs!C64:K64</xm:f>
              <xm:sqref>G22</xm:sqref>
            </x14:sparkline>
            <x14:sparkline>
              <xm:f>Labour_Inputs!C65:K65</xm:f>
              <xm:sqref>G23</xm:sqref>
            </x14:sparkline>
            <x14:sparkline>
              <xm:f>Labour_Inputs!C66:K66</xm:f>
              <xm:sqref>G24</xm:sqref>
            </x14:sparkline>
            <x14:sparkline>
              <xm:f>Labour_Inputs!G67:K67</xm:f>
              <xm:sqref>G25</xm:sqref>
            </x14:sparkline>
            <x14:sparkline>
              <xm:f>Labour_Inputs!C68:K68</xm:f>
              <xm:sqref>G26</xm:sqref>
            </x14:sparkline>
            <x14:sparkline>
              <xm:f>Labour_Inputs!C69:K69</xm:f>
              <xm:sqref>G27</xm:sqref>
            </x14:sparkline>
            <x14:sparkline>
              <xm:f>Labour_Inputs!C70:K70</xm:f>
              <xm:sqref>G28</xm:sqref>
            </x14:sparkline>
          </x14:sparklines>
        </x14:sparklineGroup>
      </x14:sparklineGroup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theme="4" tint="0.39997558519241921"/>
  </sheetPr>
  <dimension ref="A1:M92"/>
  <sheetViews>
    <sheetView showGridLines="0" showRowColHeaders="0" zoomScaleNormal="100" workbookViewId="0">
      <selection activeCell="B9" sqref="B9:D9"/>
    </sheetView>
  </sheetViews>
  <sheetFormatPr defaultRowHeight="15" x14ac:dyDescent="0.25"/>
  <cols>
    <col min="1" max="1" width="9.140625" style="233"/>
    <col min="2" max="2" width="23.28515625" style="233" customWidth="1"/>
    <col min="3" max="3" width="14.7109375" style="233" customWidth="1"/>
    <col min="4" max="4" width="12.85546875" style="233" customWidth="1"/>
    <col min="5" max="5" width="8.7109375" style="233" customWidth="1"/>
    <col min="6" max="6" width="15" style="233" customWidth="1"/>
    <col min="7" max="7" width="10.7109375" style="233" customWidth="1"/>
    <col min="8" max="8" width="7.7109375" style="233" customWidth="1"/>
    <col min="9" max="9" width="30.7109375" style="233" customWidth="1"/>
    <col min="10" max="11" width="7.7109375" style="233" customWidth="1"/>
    <col min="12" max="12" width="30.7109375" style="233" customWidth="1"/>
    <col min="13" max="13" width="12.7109375" style="233" customWidth="1"/>
    <col min="14" max="14" width="16.28515625" style="233" bestFit="1" customWidth="1"/>
    <col min="15" max="15" width="22.5703125" style="233" bestFit="1" customWidth="1"/>
    <col min="16" max="16" width="21.28515625" style="233" bestFit="1" customWidth="1"/>
    <col min="17" max="17" width="22.28515625" style="233" bestFit="1" customWidth="1"/>
    <col min="18" max="16384" width="9.140625" style="233"/>
  </cols>
  <sheetData>
    <row r="1" spans="1:13" x14ac:dyDescent="0.25">
      <c r="A1" s="658"/>
      <c r="B1" s="658"/>
      <c r="C1" s="658"/>
    </row>
    <row r="2" spans="1:13" x14ac:dyDescent="0.25">
      <c r="A2" s="658"/>
      <c r="B2" s="658"/>
      <c r="C2" s="658"/>
    </row>
    <row r="4" spans="1:13" ht="31.5" x14ac:dyDescent="0.5">
      <c r="B4" s="626" t="s">
        <v>560</v>
      </c>
    </row>
    <row r="5" spans="1:13" ht="18" customHeight="1" x14ac:dyDescent="0.25">
      <c r="B5" s="276"/>
      <c r="C5" s="276"/>
      <c r="D5" s="276"/>
      <c r="E5" s="276"/>
      <c r="F5" s="276"/>
      <c r="G5" s="276"/>
      <c r="H5" s="276"/>
      <c r="I5" s="276"/>
      <c r="J5" s="276"/>
    </row>
    <row r="6" spans="1:13" ht="18" customHeight="1" x14ac:dyDescent="0.25">
      <c r="B6" s="627" t="s">
        <v>409</v>
      </c>
      <c r="C6" s="276"/>
      <c r="D6" s="276"/>
      <c r="E6" s="276"/>
      <c r="F6" s="276"/>
      <c r="G6" s="276"/>
      <c r="H6" s="276"/>
      <c r="I6" s="276"/>
      <c r="J6" s="276"/>
    </row>
    <row r="7" spans="1:13" ht="18" customHeight="1" x14ac:dyDescent="0.25">
      <c r="B7" s="627" t="s">
        <v>559</v>
      </c>
      <c r="C7" s="276"/>
      <c r="D7" s="276"/>
      <c r="E7" s="276"/>
      <c r="F7" s="276"/>
      <c r="G7" s="276"/>
      <c r="H7" s="276"/>
      <c r="I7" s="276"/>
      <c r="J7" s="276"/>
    </row>
    <row r="8" spans="1:13" ht="18" customHeight="1" x14ac:dyDescent="0.35">
      <c r="A8" s="10"/>
      <c r="B8" s="276" t="s">
        <v>225</v>
      </c>
      <c r="C8" s="276"/>
      <c r="D8" s="276"/>
      <c r="E8" s="276"/>
      <c r="F8" s="276"/>
      <c r="G8" s="276"/>
      <c r="H8" s="276"/>
      <c r="I8" s="276"/>
      <c r="J8" s="276"/>
    </row>
    <row r="9" spans="1:13" ht="18" customHeight="1" x14ac:dyDescent="0.35">
      <c r="A9" s="10"/>
      <c r="B9" s="1941" t="s">
        <v>248</v>
      </c>
      <c r="C9" s="1941"/>
      <c r="D9" s="1941"/>
      <c r="E9" s="276"/>
      <c r="F9" s="276"/>
      <c r="G9" s="276"/>
      <c r="H9" s="1458"/>
      <c r="I9" s="276"/>
      <c r="J9" s="276"/>
    </row>
    <row r="10" spans="1:13" ht="18" customHeight="1" x14ac:dyDescent="0.35">
      <c r="A10" s="10"/>
      <c r="B10" s="384"/>
      <c r="C10" s="384"/>
      <c r="D10" s="384"/>
      <c r="E10" s="276"/>
      <c r="F10" s="276"/>
      <c r="G10" s="276"/>
      <c r="H10" s="1458"/>
      <c r="I10" s="276"/>
      <c r="K10" s="1458"/>
    </row>
    <row r="11" spans="1:13" ht="38.25" x14ac:dyDescent="0.25">
      <c r="A11" s="719"/>
      <c r="B11" s="597"/>
      <c r="C11" s="1431" t="s">
        <v>531</v>
      </c>
      <c r="D11" s="629" t="s">
        <v>656</v>
      </c>
      <c r="E11" s="629"/>
      <c r="F11" s="597" t="s">
        <v>507</v>
      </c>
      <c r="G11" s="597" t="s">
        <v>506</v>
      </c>
      <c r="H11" s="708" t="s">
        <v>556</v>
      </c>
      <c r="I11" s="600" t="s">
        <v>509</v>
      </c>
      <c r="J11" s="708" t="s">
        <v>536</v>
      </c>
      <c r="K11" s="708" t="s">
        <v>556</v>
      </c>
      <c r="L11" s="600" t="s">
        <v>510</v>
      </c>
      <c r="M11" s="1477" t="s">
        <v>536</v>
      </c>
    </row>
    <row r="12" spans="1:13" ht="23.1" customHeight="1" x14ac:dyDescent="0.25">
      <c r="A12" s="719"/>
      <c r="B12" s="720" t="s">
        <v>42</v>
      </c>
      <c r="C12" s="753">
        <f>C67</f>
        <v>238502</v>
      </c>
      <c r="D12" s="727">
        <f>C67/C66-1</f>
        <v>8.9567648563701585E-2</v>
      </c>
      <c r="E12" s="749">
        <f>D12</f>
        <v>8.9567648563701585E-2</v>
      </c>
      <c r="F12" s="598">
        <f>MAX(C59:C67:CC5155)</f>
        <v>309802</v>
      </c>
      <c r="G12" s="598">
        <f>MIN(C60:C67)</f>
        <v>0</v>
      </c>
      <c r="H12" s="759" t="e">
        <f>C60/1000000</f>
        <v>#VALUE!</v>
      </c>
      <c r="I12" s="1944"/>
      <c r="J12" s="760">
        <f>$C$67/1000000</f>
        <v>0.23850199999999999</v>
      </c>
      <c r="K12" s="1476" t="e">
        <f>I62/1000000</f>
        <v>#VALUE!</v>
      </c>
      <c r="L12" s="1945"/>
      <c r="M12" s="761">
        <f>I69/1000000</f>
        <v>0.23850199999999999</v>
      </c>
    </row>
    <row r="13" spans="1:13" ht="23.1" customHeight="1" x14ac:dyDescent="0.25">
      <c r="A13" s="719"/>
      <c r="B13" s="720" t="s">
        <v>216</v>
      </c>
      <c r="C13" s="753">
        <f>D67</f>
        <v>18002</v>
      </c>
      <c r="D13" s="727">
        <f>D67/D66-1</f>
        <v>-0.26468425782207339</v>
      </c>
      <c r="E13" s="749">
        <f>D13</f>
        <v>-0.26468425782207339</v>
      </c>
      <c r="F13" s="598">
        <f>MAX(D59:D67)</f>
        <v>162855</v>
      </c>
      <c r="G13" s="598">
        <f>MIN(D60:D67)</f>
        <v>0</v>
      </c>
      <c r="H13" s="759" t="e">
        <f>D60/1000000</f>
        <v>#VALUE!</v>
      </c>
      <c r="I13" s="1944"/>
      <c r="J13" s="760">
        <f>$D$67/1000000</f>
        <v>1.8002000000000001E-2</v>
      </c>
      <c r="K13" s="1476" t="e">
        <f>J62/1000000</f>
        <v>#VALUE!</v>
      </c>
      <c r="L13" s="1945"/>
      <c r="M13" s="761">
        <f>J69/1000000</f>
        <v>1.8002000000000001E-2</v>
      </c>
    </row>
    <row r="14" spans="1:13" ht="23.1" customHeight="1" x14ac:dyDescent="0.25">
      <c r="A14" s="719"/>
      <c r="B14" s="720" t="s">
        <v>523</v>
      </c>
      <c r="C14" s="753">
        <f>E67</f>
        <v>0</v>
      </c>
      <c r="D14" s="727">
        <f>E67/E66-1</f>
        <v>-1</v>
      </c>
      <c r="E14" s="749">
        <f>D14</f>
        <v>-1</v>
      </c>
      <c r="F14" s="598">
        <f>MAX(E59:E67)</f>
        <v>1082</v>
      </c>
      <c r="G14" s="598">
        <f>MIN(E60:E67)</f>
        <v>0</v>
      </c>
      <c r="H14" s="759">
        <f>E63/1000000</f>
        <v>1.0560000000000001E-3</v>
      </c>
      <c r="I14" s="1944"/>
      <c r="J14" s="760">
        <f>$E67/1000000</f>
        <v>0</v>
      </c>
      <c r="K14" s="1476">
        <f>K65/100000</f>
        <v>1.082E-2</v>
      </c>
      <c r="L14" s="1945"/>
      <c r="M14" s="761">
        <f>K69/1000000</f>
        <v>8.4500000000000005E-4</v>
      </c>
    </row>
    <row r="15" spans="1:13" ht="23.1" customHeight="1" x14ac:dyDescent="0.25">
      <c r="A15" s="719"/>
      <c r="B15" s="720"/>
      <c r="C15" s="726"/>
      <c r="D15" s="727"/>
      <c r="E15" s="749"/>
      <c r="F15" s="599"/>
      <c r="G15" s="599"/>
      <c r="H15" s="759"/>
      <c r="I15" s="1944"/>
      <c r="J15" s="760"/>
      <c r="K15" s="1476"/>
      <c r="L15" s="1945"/>
      <c r="M15" s="761"/>
    </row>
    <row r="16" spans="1:13" ht="23.1" customHeight="1" x14ac:dyDescent="0.25">
      <c r="A16" s="719"/>
      <c r="B16" s="720" t="s">
        <v>524</v>
      </c>
      <c r="C16" s="753">
        <f>F67</f>
        <v>0</v>
      </c>
      <c r="D16" s="727">
        <f>F67/F66-1</f>
        <v>-1</v>
      </c>
      <c r="E16" s="749">
        <f>D16</f>
        <v>-1</v>
      </c>
      <c r="F16" s="598">
        <f>MAX(F59:F67)</f>
        <v>309802</v>
      </c>
      <c r="G16" s="598">
        <f>MIN(F60:F67)</f>
        <v>0</v>
      </c>
      <c r="H16" s="759" t="e">
        <f>F60/1000000</f>
        <v>#VALUE!</v>
      </c>
      <c r="I16" s="1944"/>
      <c r="J16" s="760">
        <f>$F67/1000000</f>
        <v>0</v>
      </c>
      <c r="K16" s="1476" t="e">
        <f>L62/1000000</f>
        <v>#VALUE!</v>
      </c>
      <c r="L16" s="1945"/>
      <c r="M16" s="761">
        <f>L69/1000000</f>
        <v>0.25734899999999999</v>
      </c>
    </row>
    <row r="17" spans="1:12" ht="23.1" customHeight="1" x14ac:dyDescent="0.25">
      <c r="A17" s="750"/>
      <c r="B17" s="599"/>
      <c r="C17" s="599"/>
      <c r="D17" s="599"/>
      <c r="E17" s="595"/>
      <c r="F17" s="595"/>
      <c r="G17" s="595"/>
      <c r="H17" s="276"/>
      <c r="I17" s="276"/>
    </row>
    <row r="18" spans="1:12" ht="18" customHeight="1" x14ac:dyDescent="0.35">
      <c r="A18" s="751"/>
      <c r="B18" s="384"/>
      <c r="C18" s="384"/>
      <c r="D18" s="384"/>
      <c r="E18" s="276"/>
      <c r="F18" s="276"/>
      <c r="G18" s="276"/>
      <c r="H18" s="276"/>
      <c r="I18" s="276"/>
    </row>
    <row r="19" spans="1:12" ht="18" customHeight="1" x14ac:dyDescent="0.25">
      <c r="A19" s="752" t="b">
        <v>0</v>
      </c>
      <c r="B19" s="384"/>
      <c r="C19" s="384"/>
      <c r="D19" s="384"/>
      <c r="E19" s="276"/>
      <c r="F19" s="276"/>
      <c r="G19" s="276"/>
      <c r="H19" s="276"/>
      <c r="I19" s="276"/>
    </row>
    <row r="20" spans="1:12" ht="18" customHeight="1" x14ac:dyDescent="0.35">
      <c r="A20" s="751"/>
      <c r="B20" s="384"/>
      <c r="C20" s="599"/>
      <c r="D20" s="599"/>
      <c r="E20" s="595"/>
      <c r="F20" s="595"/>
      <c r="G20" s="595"/>
      <c r="H20" s="595"/>
      <c r="I20" s="595"/>
      <c r="J20" s="596"/>
      <c r="K20" s="596"/>
      <c r="L20" s="596"/>
    </row>
    <row r="21" spans="1:12" ht="18" customHeight="1" x14ac:dyDescent="0.35">
      <c r="A21" s="751"/>
      <c r="B21" s="597" t="str">
        <f>IF($A$19=TRUE,B52,"")</f>
        <v/>
      </c>
      <c r="C21" s="599"/>
      <c r="D21" s="599"/>
      <c r="E21" s="599"/>
      <c r="F21" s="599"/>
      <c r="G21" s="599"/>
      <c r="H21" s="756" t="str">
        <f>IF($A$19=TRUE,H54,"")</f>
        <v/>
      </c>
      <c r="I21" s="746"/>
      <c r="J21" s="746"/>
      <c r="K21" s="746"/>
      <c r="L21" s="599"/>
    </row>
    <row r="22" spans="1:12" ht="23.25" x14ac:dyDescent="0.35">
      <c r="A22" s="10"/>
      <c r="B22" s="599"/>
      <c r="C22" s="721" t="str">
        <f>IF($A$19=TRUE,C53,"")</f>
        <v/>
      </c>
      <c r="D22" s="721" t="str">
        <f>IF($A$19=TRUE,D53,"")</f>
        <v/>
      </c>
      <c r="E22" s="758" t="str">
        <f>IF($A$19=TRUE,E53,"")</f>
        <v/>
      </c>
      <c r="F22" s="721" t="str">
        <f>IF($A$19=TRUE,F53,"")</f>
        <v/>
      </c>
      <c r="G22" s="721"/>
      <c r="H22" s="746"/>
      <c r="I22" s="757" t="str">
        <f>IF($A$19=TRUE,I55,"")</f>
        <v/>
      </c>
      <c r="J22" s="757" t="str">
        <f>IF($A$19=TRUE,J55,"")</f>
        <v/>
      </c>
      <c r="K22" s="757" t="str">
        <f>IF($A$19=TRUE,K55,"")</f>
        <v/>
      </c>
      <c r="L22" s="757" t="str">
        <f>IF($A$19=TRUE,L55,"")</f>
        <v/>
      </c>
    </row>
    <row r="23" spans="1:12" ht="23.25" x14ac:dyDescent="0.35">
      <c r="A23" s="10"/>
      <c r="B23" s="721" t="str">
        <f>IF($A$19=TRUE,B60,"")</f>
        <v/>
      </c>
      <c r="C23" s="722" t="str">
        <f t="shared" ref="C23:F24" si="0">IF($A$19=TRUE,IF($B$9="SHA","N/A",C60),"")</f>
        <v/>
      </c>
      <c r="D23" s="722" t="str">
        <f t="shared" si="0"/>
        <v/>
      </c>
      <c r="E23" s="722" t="str">
        <f t="shared" si="0"/>
        <v/>
      </c>
      <c r="F23" s="722" t="str">
        <f t="shared" si="0"/>
        <v/>
      </c>
      <c r="G23" s="755"/>
      <c r="H23" s="757" t="str">
        <f t="shared" ref="H23:L25" si="1">IF($A$19=TRUE,H62,"")</f>
        <v/>
      </c>
      <c r="I23" s="741" t="str">
        <f t="shared" si="1"/>
        <v/>
      </c>
      <c r="J23" s="741" t="str">
        <f t="shared" si="1"/>
        <v/>
      </c>
      <c r="K23" s="741" t="str">
        <f t="shared" si="1"/>
        <v/>
      </c>
      <c r="L23" s="741" t="str">
        <f t="shared" si="1"/>
        <v/>
      </c>
    </row>
    <row r="24" spans="1:12" ht="23.25" x14ac:dyDescent="0.35">
      <c r="A24" s="10"/>
      <c r="B24" s="721" t="str">
        <f>IF($A$19=TRUE,B61,"")</f>
        <v/>
      </c>
      <c r="C24" s="722" t="str">
        <f t="shared" si="0"/>
        <v/>
      </c>
      <c r="D24" s="722" t="str">
        <f t="shared" si="0"/>
        <v/>
      </c>
      <c r="E24" s="722" t="str">
        <f t="shared" si="0"/>
        <v/>
      </c>
      <c r="F24" s="722" t="str">
        <f t="shared" si="0"/>
        <v/>
      </c>
      <c r="G24" s="755"/>
      <c r="H24" s="757" t="str">
        <f t="shared" si="1"/>
        <v/>
      </c>
      <c r="I24" s="741" t="str">
        <f t="shared" si="1"/>
        <v/>
      </c>
      <c r="J24" s="741" t="str">
        <f t="shared" si="1"/>
        <v/>
      </c>
      <c r="K24" s="741" t="str">
        <f t="shared" si="1"/>
        <v/>
      </c>
      <c r="L24" s="741" t="str">
        <f t="shared" si="1"/>
        <v/>
      </c>
    </row>
    <row r="25" spans="1:12" ht="23.25" x14ac:dyDescent="0.35">
      <c r="A25" s="10"/>
      <c r="B25" s="721" t="str">
        <f>IF($A$19=TRUE,B62,"")</f>
        <v/>
      </c>
      <c r="C25" s="722" t="str">
        <f t="shared" ref="C25:F25" si="2">IF($A$19=TRUE,IF($B$9="SHA","N/A",C62),"")</f>
        <v/>
      </c>
      <c r="D25" s="722" t="str">
        <f t="shared" si="2"/>
        <v/>
      </c>
      <c r="E25" s="722" t="str">
        <f t="shared" si="2"/>
        <v/>
      </c>
      <c r="F25" s="722" t="str">
        <f t="shared" si="2"/>
        <v/>
      </c>
      <c r="G25" s="755"/>
      <c r="H25" s="757" t="str">
        <f t="shared" si="1"/>
        <v/>
      </c>
      <c r="I25" s="741" t="str">
        <f t="shared" si="1"/>
        <v/>
      </c>
      <c r="J25" s="741" t="str">
        <f t="shared" si="1"/>
        <v/>
      </c>
      <c r="K25" s="741" t="str">
        <f t="shared" si="1"/>
        <v/>
      </c>
      <c r="L25" s="741" t="str">
        <f t="shared" si="1"/>
        <v/>
      </c>
    </row>
    <row r="26" spans="1:12" ht="23.25" x14ac:dyDescent="0.35">
      <c r="A26" s="10"/>
      <c r="B26" s="721" t="str">
        <f t="shared" ref="B26:F30" si="3">IF($A$19=TRUE,B63,"")</f>
        <v/>
      </c>
      <c r="C26" s="722" t="str">
        <f t="shared" si="3"/>
        <v/>
      </c>
      <c r="D26" s="722" t="str">
        <f t="shared" si="3"/>
        <v/>
      </c>
      <c r="E26" s="722" t="str">
        <f t="shared" si="3"/>
        <v/>
      </c>
      <c r="F26" s="722" t="str">
        <f t="shared" si="3"/>
        <v/>
      </c>
      <c r="G26" s="755"/>
      <c r="H26" s="757" t="str">
        <f t="shared" ref="H26:L30" si="4">IF($A$19=TRUE,H65,"")</f>
        <v/>
      </c>
      <c r="I26" s="741" t="str">
        <f t="shared" si="4"/>
        <v/>
      </c>
      <c r="J26" s="741" t="str">
        <f t="shared" si="4"/>
        <v/>
      </c>
      <c r="K26" s="741" t="str">
        <f t="shared" si="4"/>
        <v/>
      </c>
      <c r="L26" s="741" t="str">
        <f t="shared" si="4"/>
        <v/>
      </c>
    </row>
    <row r="27" spans="1:12" ht="23.25" x14ac:dyDescent="0.35">
      <c r="A27" s="10"/>
      <c r="B27" s="721" t="str">
        <f t="shared" si="3"/>
        <v/>
      </c>
      <c r="C27" s="722" t="str">
        <f t="shared" si="3"/>
        <v/>
      </c>
      <c r="D27" s="722" t="str">
        <f t="shared" ref="D27:F30" si="5">IF($A$19=TRUE,D64,"")</f>
        <v/>
      </c>
      <c r="E27" s="722" t="str">
        <f t="shared" si="5"/>
        <v/>
      </c>
      <c r="F27" s="722" t="str">
        <f t="shared" si="5"/>
        <v/>
      </c>
      <c r="G27" s="755"/>
      <c r="H27" s="757" t="str">
        <f t="shared" si="4"/>
        <v/>
      </c>
      <c r="I27" s="741" t="str">
        <f t="shared" si="4"/>
        <v/>
      </c>
      <c r="J27" s="741" t="str">
        <f t="shared" si="4"/>
        <v/>
      </c>
      <c r="K27" s="741" t="str">
        <f t="shared" si="4"/>
        <v/>
      </c>
      <c r="L27" s="741" t="str">
        <f t="shared" si="4"/>
        <v/>
      </c>
    </row>
    <row r="28" spans="1:12" ht="23.25" x14ac:dyDescent="0.35">
      <c r="A28" s="10"/>
      <c r="B28" s="721" t="str">
        <f t="shared" si="3"/>
        <v/>
      </c>
      <c r="C28" s="722" t="str">
        <f t="shared" si="3"/>
        <v/>
      </c>
      <c r="D28" s="722" t="str">
        <f t="shared" si="5"/>
        <v/>
      </c>
      <c r="E28" s="722" t="str">
        <f t="shared" si="5"/>
        <v/>
      </c>
      <c r="F28" s="722" t="str">
        <f t="shared" si="5"/>
        <v/>
      </c>
      <c r="G28" s="755"/>
      <c r="H28" s="757" t="str">
        <f t="shared" si="4"/>
        <v/>
      </c>
      <c r="I28" s="741" t="str">
        <f t="shared" si="4"/>
        <v/>
      </c>
      <c r="J28" s="741" t="str">
        <f t="shared" si="4"/>
        <v/>
      </c>
      <c r="K28" s="741" t="str">
        <f t="shared" si="4"/>
        <v/>
      </c>
      <c r="L28" s="741" t="str">
        <f t="shared" si="4"/>
        <v/>
      </c>
    </row>
    <row r="29" spans="1:12" ht="23.25" x14ac:dyDescent="0.35">
      <c r="A29" s="10"/>
      <c r="B29" s="721" t="str">
        <f t="shared" si="3"/>
        <v/>
      </c>
      <c r="C29" s="722" t="str">
        <f t="shared" si="3"/>
        <v/>
      </c>
      <c r="D29" s="722" t="str">
        <f t="shared" si="5"/>
        <v/>
      </c>
      <c r="E29" s="722" t="str">
        <f t="shared" si="5"/>
        <v/>
      </c>
      <c r="F29" s="722" t="str">
        <f t="shared" si="5"/>
        <v/>
      </c>
      <c r="G29" s="755"/>
      <c r="H29" s="757" t="str">
        <f t="shared" si="4"/>
        <v/>
      </c>
      <c r="I29" s="741" t="str">
        <f t="shared" si="4"/>
        <v/>
      </c>
      <c r="J29" s="741" t="str">
        <f t="shared" si="4"/>
        <v/>
      </c>
      <c r="K29" s="741" t="str">
        <f t="shared" si="4"/>
        <v/>
      </c>
      <c r="L29" s="741" t="str">
        <f t="shared" si="4"/>
        <v/>
      </c>
    </row>
    <row r="30" spans="1:12" ht="23.25" x14ac:dyDescent="0.35">
      <c r="A30" s="10"/>
      <c r="B30" s="721" t="str">
        <f t="shared" si="3"/>
        <v/>
      </c>
      <c r="C30" s="722" t="str">
        <f t="shared" si="3"/>
        <v/>
      </c>
      <c r="D30" s="722" t="str">
        <f t="shared" si="5"/>
        <v/>
      </c>
      <c r="E30" s="722" t="str">
        <f t="shared" si="5"/>
        <v/>
      </c>
      <c r="F30" s="722" t="str">
        <f t="shared" si="5"/>
        <v/>
      </c>
      <c r="G30" s="755"/>
      <c r="H30" s="757" t="str">
        <f t="shared" si="4"/>
        <v/>
      </c>
      <c r="I30" s="741" t="str">
        <f t="shared" si="4"/>
        <v/>
      </c>
      <c r="J30" s="741" t="str">
        <f t="shared" si="4"/>
        <v/>
      </c>
      <c r="K30" s="741" t="str">
        <f t="shared" si="4"/>
        <v/>
      </c>
      <c r="L30" s="741" t="str">
        <f t="shared" si="4"/>
        <v/>
      </c>
    </row>
    <row r="31" spans="1:12" ht="23.25" x14ac:dyDescent="0.35">
      <c r="A31" s="10"/>
      <c r="B31" s="384"/>
      <c r="C31" s="384"/>
      <c r="D31" s="384"/>
      <c r="E31" s="276"/>
      <c r="F31" s="276"/>
      <c r="G31" s="276"/>
      <c r="H31" s="595"/>
      <c r="I31" s="595"/>
      <c r="J31" s="596"/>
      <c r="K31" s="596"/>
      <c r="L31" s="596"/>
    </row>
    <row r="32" spans="1:12" ht="23.25" x14ac:dyDescent="0.35">
      <c r="A32" s="10"/>
      <c r="B32" s="597" t="str">
        <f>H21</f>
        <v/>
      </c>
      <c r="C32" s="597"/>
      <c r="D32" s="597"/>
      <c r="E32" s="597"/>
      <c r="F32" s="597"/>
      <c r="G32" s="276"/>
      <c r="H32" s="595"/>
      <c r="I32" s="595"/>
      <c r="J32" s="596"/>
      <c r="K32" s="596"/>
      <c r="L32" s="596"/>
    </row>
    <row r="33" spans="1:13" ht="23.25" x14ac:dyDescent="0.35">
      <c r="A33" s="10"/>
      <c r="B33" s="597"/>
      <c r="C33" s="721" t="str">
        <f t="shared" ref="C33:C41" si="6">I22</f>
        <v/>
      </c>
      <c r="D33" s="721" t="str">
        <f t="shared" ref="D33:D41" si="7">J22</f>
        <v/>
      </c>
      <c r="E33" s="758" t="str">
        <f t="shared" ref="E33:E41" si="8">K22</f>
        <v/>
      </c>
      <c r="F33" s="721" t="str">
        <f t="shared" ref="F33:F41" si="9">L22</f>
        <v/>
      </c>
      <c r="G33" s="276"/>
      <c r="H33" s="276"/>
      <c r="I33" s="276"/>
    </row>
    <row r="34" spans="1:13" ht="23.25" x14ac:dyDescent="0.35">
      <c r="A34" s="10"/>
      <c r="B34" s="594" t="str">
        <f t="shared" ref="B34:B41" si="10">H23</f>
        <v/>
      </c>
      <c r="C34" s="722" t="str">
        <f t="shared" si="6"/>
        <v/>
      </c>
      <c r="D34" s="722" t="str">
        <f t="shared" si="7"/>
        <v/>
      </c>
      <c r="E34" s="722" t="str">
        <f t="shared" si="8"/>
        <v/>
      </c>
      <c r="F34" s="722" t="str">
        <f t="shared" si="9"/>
        <v/>
      </c>
      <c r="G34" s="1458"/>
      <c r="H34" s="276"/>
      <c r="I34" s="276"/>
    </row>
    <row r="35" spans="1:13" ht="23.25" x14ac:dyDescent="0.35">
      <c r="A35" s="10"/>
      <c r="B35" s="594" t="str">
        <f t="shared" si="10"/>
        <v/>
      </c>
      <c r="C35" s="722" t="str">
        <f t="shared" si="6"/>
        <v/>
      </c>
      <c r="D35" s="722" t="str">
        <f t="shared" si="7"/>
        <v/>
      </c>
      <c r="E35" s="722" t="str">
        <f t="shared" si="8"/>
        <v/>
      </c>
      <c r="F35" s="722" t="str">
        <f t="shared" si="9"/>
        <v/>
      </c>
      <c r="G35" s="276"/>
      <c r="H35" s="276"/>
      <c r="I35" s="276"/>
    </row>
    <row r="36" spans="1:13" ht="23.25" x14ac:dyDescent="0.35">
      <c r="A36" s="10"/>
      <c r="B36" s="594" t="str">
        <f t="shared" si="10"/>
        <v/>
      </c>
      <c r="C36" s="722" t="str">
        <f t="shared" si="6"/>
        <v/>
      </c>
      <c r="D36" s="722" t="str">
        <f t="shared" si="7"/>
        <v/>
      </c>
      <c r="E36" s="722" t="str">
        <f t="shared" si="8"/>
        <v/>
      </c>
      <c r="F36" s="722" t="str">
        <f t="shared" si="9"/>
        <v/>
      </c>
      <c r="G36" s="276"/>
      <c r="H36" s="276"/>
      <c r="I36" s="276"/>
    </row>
    <row r="37" spans="1:13" ht="23.25" x14ac:dyDescent="0.35">
      <c r="A37" s="10"/>
      <c r="B37" s="594" t="str">
        <f t="shared" si="10"/>
        <v/>
      </c>
      <c r="C37" s="722" t="str">
        <f t="shared" si="6"/>
        <v/>
      </c>
      <c r="D37" s="722" t="str">
        <f t="shared" si="7"/>
        <v/>
      </c>
      <c r="E37" s="722" t="str">
        <f t="shared" si="8"/>
        <v/>
      </c>
      <c r="F37" s="722" t="str">
        <f t="shared" si="9"/>
        <v/>
      </c>
      <c r="G37" s="276"/>
      <c r="H37" s="276"/>
      <c r="I37" s="276"/>
    </row>
    <row r="38" spans="1:13" ht="23.25" x14ac:dyDescent="0.35">
      <c r="A38" s="10"/>
      <c r="B38" s="594" t="str">
        <f t="shared" si="10"/>
        <v/>
      </c>
      <c r="C38" s="722" t="str">
        <f t="shared" si="6"/>
        <v/>
      </c>
      <c r="D38" s="722" t="str">
        <f t="shared" si="7"/>
        <v/>
      </c>
      <c r="E38" s="722" t="str">
        <f t="shared" si="8"/>
        <v/>
      </c>
      <c r="F38" s="722" t="str">
        <f t="shared" si="9"/>
        <v/>
      </c>
      <c r="G38" s="276"/>
      <c r="H38" s="276"/>
      <c r="I38" s="276"/>
    </row>
    <row r="39" spans="1:13" ht="23.25" x14ac:dyDescent="0.35">
      <c r="A39" s="10"/>
      <c r="B39" s="594" t="str">
        <f t="shared" si="10"/>
        <v/>
      </c>
      <c r="C39" s="722" t="str">
        <f t="shared" si="6"/>
        <v/>
      </c>
      <c r="D39" s="722" t="str">
        <f t="shared" si="7"/>
        <v/>
      </c>
      <c r="E39" s="722" t="str">
        <f t="shared" si="8"/>
        <v/>
      </c>
      <c r="F39" s="722" t="str">
        <f t="shared" si="9"/>
        <v/>
      </c>
      <c r="G39" s="276"/>
      <c r="H39" s="276"/>
      <c r="I39" s="276"/>
    </row>
    <row r="40" spans="1:13" ht="23.25" x14ac:dyDescent="0.35">
      <c r="A40" s="10"/>
      <c r="B40" s="594" t="str">
        <f t="shared" si="10"/>
        <v/>
      </c>
      <c r="C40" s="722" t="str">
        <f t="shared" si="6"/>
        <v/>
      </c>
      <c r="D40" s="722" t="str">
        <f t="shared" si="7"/>
        <v/>
      </c>
      <c r="E40" s="722" t="str">
        <f t="shared" si="8"/>
        <v/>
      </c>
      <c r="F40" s="722" t="str">
        <f t="shared" si="9"/>
        <v/>
      </c>
      <c r="G40" s="276"/>
      <c r="H40" s="276"/>
      <c r="I40" s="276"/>
    </row>
    <row r="41" spans="1:13" ht="23.25" x14ac:dyDescent="0.35">
      <c r="A41" s="10"/>
      <c r="B41" s="594" t="str">
        <f t="shared" si="10"/>
        <v/>
      </c>
      <c r="C41" s="722" t="str">
        <f t="shared" si="6"/>
        <v/>
      </c>
      <c r="D41" s="722" t="str">
        <f t="shared" si="7"/>
        <v/>
      </c>
      <c r="E41" s="722" t="str">
        <f t="shared" si="8"/>
        <v/>
      </c>
      <c r="F41" s="722" t="str">
        <f t="shared" si="9"/>
        <v/>
      </c>
      <c r="G41" s="276"/>
      <c r="H41" s="276"/>
      <c r="I41" s="276"/>
    </row>
    <row r="42" spans="1:13" ht="23.25" x14ac:dyDescent="0.35">
      <c r="A42" s="1432"/>
      <c r="B42" s="1433"/>
      <c r="C42" s="1433"/>
      <c r="D42" s="1433"/>
      <c r="E42" s="1433"/>
      <c r="F42" s="1433"/>
      <c r="G42" s="651"/>
      <c r="H42" s="651"/>
      <c r="I42" s="651"/>
    </row>
    <row r="43" spans="1:13" ht="23.25" x14ac:dyDescent="0.35">
      <c r="A43" s="1432"/>
      <c r="B43" s="1434"/>
      <c r="C43" s="1434"/>
      <c r="D43" s="1434"/>
      <c r="E43" s="651"/>
      <c r="F43" s="651"/>
      <c r="G43" s="651"/>
      <c r="H43" s="651"/>
      <c r="I43" s="651"/>
    </row>
    <row r="44" spans="1:13" ht="23.25" x14ac:dyDescent="0.35">
      <c r="A44" s="1432"/>
      <c r="B44" s="1434"/>
      <c r="C44" s="1434"/>
      <c r="D44" s="1434"/>
      <c r="E44" s="651"/>
      <c r="F44" s="651"/>
      <c r="G44" s="651"/>
      <c r="H44" s="651"/>
      <c r="I44" s="651"/>
    </row>
    <row r="45" spans="1:13" ht="23.25" x14ac:dyDescent="0.35">
      <c r="A45" s="1432"/>
      <c r="B45" s="1434"/>
      <c r="C45" s="1434"/>
      <c r="D45" s="1434"/>
      <c r="E45" s="651"/>
      <c r="F45" s="651"/>
      <c r="G45" s="651"/>
      <c r="H45" s="651"/>
      <c r="I45" s="651"/>
    </row>
    <row r="46" spans="1:13" ht="23.25" x14ac:dyDescent="0.35">
      <c r="A46" s="1432"/>
      <c r="B46" s="1434"/>
      <c r="C46" s="1434"/>
      <c r="D46" s="1434"/>
      <c r="E46" s="651"/>
      <c r="F46" s="651"/>
      <c r="G46" s="651"/>
      <c r="H46" s="651"/>
      <c r="I46" s="651"/>
      <c r="J46" s="376"/>
      <c r="K46" s="376"/>
      <c r="L46" s="376"/>
    </row>
    <row r="47" spans="1:13" ht="23.25" x14ac:dyDescent="0.35">
      <c r="A47" s="1432"/>
      <c r="B47" s="1434"/>
      <c r="C47" s="1434"/>
      <c r="D47" s="1434"/>
      <c r="E47" s="651"/>
      <c r="F47" s="651"/>
      <c r="G47" s="651"/>
      <c r="H47" s="651"/>
      <c r="I47" s="651"/>
      <c r="J47" s="259"/>
      <c r="K47" s="259"/>
      <c r="L47" s="259"/>
      <c r="M47" s="259"/>
    </row>
    <row r="48" spans="1:13" ht="23.25" x14ac:dyDescent="0.35">
      <c r="A48" s="1432"/>
      <c r="B48" s="1434"/>
      <c r="C48" s="1434"/>
      <c r="D48" s="1434"/>
      <c r="E48" s="651"/>
      <c r="F48" s="651"/>
      <c r="G48" s="651"/>
      <c r="H48" s="651"/>
      <c r="I48" s="651"/>
      <c r="J48" s="259"/>
      <c r="K48" s="259"/>
      <c r="L48" s="259"/>
      <c r="M48" s="259"/>
    </row>
    <row r="49" spans="1:13" ht="23.25" x14ac:dyDescent="0.35">
      <c r="A49" s="1432"/>
      <c r="B49" s="1434"/>
      <c r="C49" s="1434"/>
      <c r="D49" s="1434"/>
      <c r="E49" s="651"/>
      <c r="F49" s="651"/>
      <c r="G49" s="651"/>
      <c r="H49" s="651"/>
      <c r="I49" s="651"/>
      <c r="J49" s="259"/>
      <c r="K49" s="259"/>
      <c r="L49" s="259"/>
      <c r="M49" s="259"/>
    </row>
    <row r="50" spans="1:13" ht="23.25" x14ac:dyDescent="0.35">
      <c r="A50" s="1432"/>
      <c r="B50" s="1434"/>
      <c r="C50" s="1434"/>
      <c r="D50" s="1434"/>
      <c r="E50" s="651"/>
      <c r="F50" s="651"/>
      <c r="G50" s="651"/>
      <c r="H50" s="651"/>
      <c r="I50" s="651"/>
      <c r="J50" s="259"/>
      <c r="K50" s="259"/>
      <c r="L50" s="259"/>
      <c r="M50" s="259"/>
    </row>
    <row r="51" spans="1:13" ht="23.25" x14ac:dyDescent="0.35">
      <c r="A51" s="1435"/>
      <c r="B51" s="1434"/>
      <c r="C51" s="1434"/>
      <c r="D51" s="1434"/>
      <c r="E51" s="1319"/>
      <c r="F51" s="1319"/>
      <c r="G51" s="1319"/>
      <c r="H51" s="1319"/>
      <c r="I51" s="1319"/>
      <c r="J51" s="396"/>
      <c r="K51" s="396"/>
      <c r="L51" s="396"/>
      <c r="M51" s="396"/>
    </row>
    <row r="52" spans="1:13" ht="23.25" x14ac:dyDescent="0.35">
      <c r="A52" s="1435"/>
      <c r="B52" s="1436" t="s">
        <v>390</v>
      </c>
      <c r="C52" s="1319"/>
      <c r="D52" s="1319"/>
      <c r="E52" s="1319"/>
      <c r="F52" s="1319"/>
      <c r="G52" s="1319"/>
      <c r="H52" s="1319"/>
      <c r="I52" s="1319"/>
      <c r="J52" s="396"/>
      <c r="K52" s="396"/>
      <c r="L52" s="396"/>
      <c r="M52" s="396"/>
    </row>
    <row r="53" spans="1:13" ht="23.25" x14ac:dyDescent="0.35">
      <c r="A53" s="1435"/>
      <c r="B53" s="1437"/>
      <c r="C53" s="1437" t="str">
        <f>IF($B$9="Trusts and Foundation Trusts",'Inputs indirect expenditure'!E11, IF($B$9="PCT",'Inputs indirect expenditure'!E47, IF($B$9="SHA",'Inputs indirect expenditure'!E83,'Inputs indirect expenditure'!E120)))</f>
        <v>NHS Staff</v>
      </c>
      <c r="D53" s="1437" t="str">
        <f>IF($B$9="Trusts and Foundation Trusts",'Inputs indirect expenditure'!F11, IF($B$9="PCT",'Inputs indirect expenditure'!F47, IF($B$9="SHA",'Inputs indirect expenditure'!F83,'Inputs indirect expenditure'!F120)))</f>
        <v>Agency Staff</v>
      </c>
      <c r="E53" s="1437" t="str">
        <f>IF($B$9="Trusts and Foundation Trusts",'Inputs indirect expenditure'!G11, IF($B$9="PCT",'Inputs indirect expenditure'!G47, IF($B$9="SHA",'Inputs indirect expenditure'!G83,'Inputs indirect expenditure'!G120)))</f>
        <v>Chairman &amp; Directors</v>
      </c>
      <c r="F53" s="1438" t="str">
        <f>IF($B$9="Trusts and Foundation Trusts",'Inputs indirect expenditure'!H11, IF($B$9="PCT",'Inputs indirect expenditure'!H47, IF($B$9="SHA",'Inputs indirect expenditure'!H83,'Inputs indirect expenditure'!H120)))</f>
        <v>Total Labour</v>
      </c>
      <c r="G53" s="1439"/>
      <c r="H53" s="1319"/>
      <c r="I53" s="1319"/>
      <c r="J53" s="396"/>
      <c r="K53" s="396"/>
      <c r="L53" s="396"/>
      <c r="M53" s="396"/>
    </row>
    <row r="54" spans="1:13" ht="23.25" x14ac:dyDescent="0.35">
      <c r="A54" s="1435"/>
      <c r="B54" s="1437" t="s">
        <v>68</v>
      </c>
      <c r="C54" s="1440">
        <f>IF($B$9="PCT", 'Inputs indirect expenditure'!E48, IF($B$9="Trusts and Foundation Trusts",'Inputs indirect expenditure'!E12, IF($B$9="SHA",'Inputs indirect expenditure'!E84,'Inputs indirect expenditure'!E121)))</f>
        <v>0</v>
      </c>
      <c r="D54" s="1440">
        <f>IF($B$9="PCT", 'Inputs indirect expenditure'!F48, IF($B$9="Trusts and Foundation Trusts",'Inputs indirect expenditure'!F12, IF($B$9="SHA",'Inputs indirect expenditure'!F84,'Inputs indirect expenditure'!F121)))</f>
        <v>0</v>
      </c>
      <c r="E54" s="1440">
        <f>IF($B$9="PCT", 'Inputs indirect expenditure'!G48, IF($B$9="Trusts and Foundation Trusts",'Inputs indirect expenditure'!G12, IF($B$9="SHA",'Inputs indirect expenditure'!G84,'Inputs indirect expenditure'!G121)))</f>
        <v>0</v>
      </c>
      <c r="F54" s="1440">
        <f>IF($B$9="PCT", 'Inputs indirect expenditure'!H48, IF($B$9="Trusts and Foundation Trusts",'Inputs indirect expenditure'!H12, IF($B$9="SHA",'Inputs indirect expenditure'!H84,'Inputs indirect expenditure'!H121)))</f>
        <v>0</v>
      </c>
      <c r="G54" s="1439"/>
      <c r="H54" s="1436" t="s">
        <v>414</v>
      </c>
      <c r="I54" s="1319"/>
      <c r="J54" s="567"/>
      <c r="K54" s="567"/>
      <c r="L54" s="567"/>
      <c r="M54" s="396"/>
    </row>
    <row r="55" spans="1:13" ht="23.25" x14ac:dyDescent="0.35">
      <c r="A55" s="1435"/>
      <c r="B55" s="1437" t="s">
        <v>69</v>
      </c>
      <c r="C55" s="1440">
        <f>IF($B$9="PCT", 'Inputs indirect expenditure'!E49, IF($B$9="Trusts and Foundation Trusts",'Inputs indirect expenditure'!E13, IF($B$9="SHA",'Inputs indirect expenditure'!E85,'Inputs indirect expenditure'!E122)))</f>
        <v>0</v>
      </c>
      <c r="D55" s="1440">
        <f>IF($B$9="PCT", 'Inputs indirect expenditure'!F49, IF($B$9="Trusts and Foundation Trusts",'Inputs indirect expenditure'!F13, IF($B$9="SHA",'Inputs indirect expenditure'!F85,'Inputs indirect expenditure'!F122)))</f>
        <v>0</v>
      </c>
      <c r="E55" s="1440">
        <f>IF($B$9="PCT", 'Inputs indirect expenditure'!G49, IF($B$9="Trusts and Foundation Trusts",'Inputs indirect expenditure'!G13, IF($B$9="SHA",'Inputs indirect expenditure'!G85,'Inputs indirect expenditure'!G122)))</f>
        <v>0</v>
      </c>
      <c r="F55" s="1440">
        <f>IF($B$9="PCT", 'Inputs indirect expenditure'!H49, IF($B$9="Trusts and Foundation Trusts",'Inputs indirect expenditure'!H13, IF($B$9="SHA",'Inputs indirect expenditure'!H85,'Inputs indirect expenditure'!H122)))</f>
        <v>0</v>
      </c>
      <c r="G55" s="1439"/>
      <c r="H55" s="1437"/>
      <c r="I55" s="1437" t="s">
        <v>42</v>
      </c>
      <c r="J55" s="585" t="s">
        <v>43</v>
      </c>
      <c r="K55" s="585" t="s">
        <v>44</v>
      </c>
      <c r="L55" s="1016" t="s">
        <v>58</v>
      </c>
      <c r="M55" s="396"/>
    </row>
    <row r="56" spans="1:13" ht="23.25" x14ac:dyDescent="0.35">
      <c r="A56" s="1435"/>
      <c r="B56" s="1437" t="s">
        <v>70</v>
      </c>
      <c r="C56" s="1440">
        <f>IF($B$9="PCT", 'Inputs indirect expenditure'!E50, IF($B$9="Trusts and Foundation Trusts",'Inputs indirect expenditure'!E14, IF($B$9="SHA",'Inputs indirect expenditure'!E86,'Inputs indirect expenditure'!E123)))</f>
        <v>0</v>
      </c>
      <c r="D56" s="1440">
        <f>IF($B$9="PCT", 'Inputs indirect expenditure'!F50, IF($B$9="Trusts and Foundation Trusts",'Inputs indirect expenditure'!F14, IF($B$9="SHA",'Inputs indirect expenditure'!F86,'Inputs indirect expenditure'!F123)))</f>
        <v>0</v>
      </c>
      <c r="E56" s="1440">
        <f>IF($B$9="PCT", 'Inputs indirect expenditure'!G50, IF($B$9="Trusts and Foundation Trusts",'Inputs indirect expenditure'!G14, IF($B$9="SHA",'Inputs indirect expenditure'!G86,'Inputs indirect expenditure'!G123)))</f>
        <v>0</v>
      </c>
      <c r="F56" s="1440">
        <f>IF($B$9="PCT", 'Inputs indirect expenditure'!H50, IF($B$9="Trusts and Foundation Trusts",'Inputs indirect expenditure'!H14, IF($B$9="SHA",'Inputs indirect expenditure'!H86,'Inputs indirect expenditure'!H123)))</f>
        <v>0</v>
      </c>
      <c r="G56" s="1439"/>
      <c r="H56" s="1437" t="s">
        <v>68</v>
      </c>
      <c r="I56" s="1441" t="str">
        <f>IF($B$9="SHA", 'Inputs indirect expenditure'!E100, IF($B$9="Total",'Inputs indirect expenditure'!E137, IF($B$9="PCT",'Inputs indirect expenditure'!E65,'Inputs indirect expenditure'!E29)))</f>
        <v>NHS Staff</v>
      </c>
      <c r="J56" s="744" t="str">
        <f>IF($B$9="SHA", 'Inputs indirect expenditure'!F100, IF($B$9="Total",'Inputs indirect expenditure'!F137, IF($B$9="PCT",'Inputs indirect expenditure'!F65,'Inputs indirect expenditure'!F29)))</f>
        <v>Agency Staff</v>
      </c>
      <c r="K56" s="744" t="str">
        <f>IF($B$9="SHA", 'Inputs indirect expenditure'!G100, IF($B$9="Total",'Inputs indirect expenditure'!G137, IF($B$9="PCT",'Inputs indirect expenditure'!G65,'Inputs indirect expenditure'!G29)))</f>
        <v>Chairman &amp; Directors</v>
      </c>
      <c r="L56" s="744" t="str">
        <f>IF($B$9="SHA", 'Inputs indirect expenditure'!H100, IF($B$9="Total",'Inputs indirect expenditure'!H137, IF($B$9="PCT",'Inputs indirect expenditure'!H65,'Inputs indirect expenditure'!H29)))</f>
        <v>Total Labour</v>
      </c>
      <c r="M56" s="396"/>
    </row>
    <row r="57" spans="1:13" ht="23.25" x14ac:dyDescent="0.35">
      <c r="A57" s="1435"/>
      <c r="B57" s="1437" t="s">
        <v>71</v>
      </c>
      <c r="C57" s="1440">
        <f>IF($B$9="PCT", 'Inputs indirect expenditure'!E51, IF($B$9="Trusts and Foundation Trusts",'Inputs indirect expenditure'!E15, IF($B$9="SHA",'Inputs indirect expenditure'!E87,'Inputs indirect expenditure'!E124)))</f>
        <v>0</v>
      </c>
      <c r="D57" s="1440">
        <f>IF($B$9="PCT", 'Inputs indirect expenditure'!F51, IF($B$9="Trusts and Foundation Trusts",'Inputs indirect expenditure'!F15, IF($B$9="SHA",'Inputs indirect expenditure'!F87,'Inputs indirect expenditure'!F124)))</f>
        <v>0</v>
      </c>
      <c r="E57" s="1440">
        <f>IF($B$9="PCT", 'Inputs indirect expenditure'!G51, IF($B$9="Trusts and Foundation Trusts",'Inputs indirect expenditure'!G15, IF($B$9="SHA",'Inputs indirect expenditure'!G87,'Inputs indirect expenditure'!G124)))</f>
        <v>0</v>
      </c>
      <c r="F57" s="1440">
        <f>IF($B$9="PCT", 'Inputs indirect expenditure'!H51, IF($B$9="Trusts and Foundation Trusts",'Inputs indirect expenditure'!H15, IF($B$9="SHA",'Inputs indirect expenditure'!H87,'Inputs indirect expenditure'!H124)))</f>
        <v>0</v>
      </c>
      <c r="G57" s="1439"/>
      <c r="H57" s="1437" t="s">
        <v>69</v>
      </c>
      <c r="I57" s="1441">
        <f>IF($B$9="SHA", 'Inputs indirect expenditure'!E101, IF($B$9="Total",'Inputs indirect expenditure'!E138, IF($B$9="PCT",'Inputs indirect expenditure'!E66,'Inputs indirect expenditure'!E30)))</f>
        <v>0</v>
      </c>
      <c r="J57" s="744">
        <f>IF($B$9="SHA", 'Inputs indirect expenditure'!F101, IF($B$9="Total",'Inputs indirect expenditure'!F138, IF($B$9="PCT",'Inputs indirect expenditure'!F66,'Inputs indirect expenditure'!F30)))</f>
        <v>0</v>
      </c>
      <c r="K57" s="744">
        <f>IF($B$9="SHA", 'Inputs indirect expenditure'!G101, IF($B$9="Total",'Inputs indirect expenditure'!G138, IF($B$9="PCT",'Inputs indirect expenditure'!G66,'Inputs indirect expenditure'!G30)))</f>
        <v>0</v>
      </c>
      <c r="L57" s="744">
        <f>IF($B$9="SHA", 'Inputs indirect expenditure'!H101, IF($B$9="Total",'Inputs indirect expenditure'!H138, IF($B$9="PCT",'Inputs indirect expenditure'!H66,'Inputs indirect expenditure'!H30)))</f>
        <v>0</v>
      </c>
      <c r="M57" s="396"/>
    </row>
    <row r="58" spans="1:13" ht="23.25" x14ac:dyDescent="0.35">
      <c r="A58" s="1435"/>
      <c r="B58" s="1437" t="s">
        <v>72</v>
      </c>
      <c r="C58" s="1440">
        <f>IF($B$9="PCT", 'Inputs indirect expenditure'!E52, IF($B$9="Trusts and Foundation Trusts",'Inputs indirect expenditure'!E16, IF($B$9="SHA",'Inputs indirect expenditure'!E88,'Inputs indirect expenditure'!E125)))</f>
        <v>0</v>
      </c>
      <c r="D58" s="1440">
        <f>IF($B$9="PCT", 'Inputs indirect expenditure'!F52, IF($B$9="Trusts and Foundation Trusts",'Inputs indirect expenditure'!F16, IF($B$9="SHA",'Inputs indirect expenditure'!F88,'Inputs indirect expenditure'!F125)))</f>
        <v>0</v>
      </c>
      <c r="E58" s="1440">
        <f>IF($B$9="PCT", 'Inputs indirect expenditure'!G52, IF($B$9="Trusts and Foundation Trusts",'Inputs indirect expenditure'!G16, IF($B$9="SHA",'Inputs indirect expenditure'!G88,'Inputs indirect expenditure'!G125)))</f>
        <v>0</v>
      </c>
      <c r="F58" s="1440">
        <f>IF($B$9="PCT", 'Inputs indirect expenditure'!H52, IF($B$9="Trusts and Foundation Trusts",'Inputs indirect expenditure'!H16, IF($B$9="SHA",'Inputs indirect expenditure'!H88,'Inputs indirect expenditure'!H125)))</f>
        <v>0</v>
      </c>
      <c r="G58" s="1439"/>
      <c r="H58" s="1437" t="s">
        <v>70</v>
      </c>
      <c r="I58" s="1441">
        <f>IF($B$9="SHA", 'Inputs indirect expenditure'!E102, IF($B$9="Total",'Inputs indirect expenditure'!E139, IF($B$9="PCT",'Inputs indirect expenditure'!E67,'Inputs indirect expenditure'!E31)))</f>
        <v>0</v>
      </c>
      <c r="J58" s="744">
        <f>IF($B$9="SHA", 'Inputs indirect expenditure'!F102, IF($B$9="Total",'Inputs indirect expenditure'!F139, IF($B$9="PCT",'Inputs indirect expenditure'!F67,'Inputs indirect expenditure'!F31)))</f>
        <v>0</v>
      </c>
      <c r="K58" s="744">
        <f>IF($B$9="SHA", 'Inputs indirect expenditure'!G102, IF($B$9="Total",'Inputs indirect expenditure'!G139, IF($B$9="PCT",'Inputs indirect expenditure'!G67,'Inputs indirect expenditure'!G31)))</f>
        <v>0</v>
      </c>
      <c r="L58" s="744">
        <f>IF($B$9="SHA", 'Inputs indirect expenditure'!H102, IF($B$9="Total",'Inputs indirect expenditure'!H139, IF($B$9="PCT",'Inputs indirect expenditure'!H67,'Inputs indirect expenditure'!H31)))</f>
        <v>0</v>
      </c>
      <c r="M58" s="396"/>
    </row>
    <row r="59" spans="1:13" ht="23.25" x14ac:dyDescent="0.35">
      <c r="A59" s="1435"/>
      <c r="B59" s="1437" t="s">
        <v>73</v>
      </c>
      <c r="C59" s="1440">
        <f>IF($B$9="PCT", 'Inputs indirect expenditure'!E53, IF($B$9="Trusts and Foundation Trusts",'Inputs indirect expenditure'!E17, IF($B$9="SHA",'Inputs indirect expenditure'!E89,'Inputs indirect expenditure'!E126)))</f>
        <v>0</v>
      </c>
      <c r="D59" s="1440">
        <f>IF($B$9="PCT", 'Inputs indirect expenditure'!F53, IF($B$9="Trusts and Foundation Trusts",'Inputs indirect expenditure'!F17, IF($B$9="SHA",'Inputs indirect expenditure'!F89,'Inputs indirect expenditure'!F126)))</f>
        <v>0</v>
      </c>
      <c r="E59" s="1440">
        <v>0</v>
      </c>
      <c r="F59" s="1440">
        <f>IF($B$9="PCT", 'Inputs indirect expenditure'!H53, IF($B$9="Trusts and Foundation Trusts",'Inputs indirect expenditure'!H17, IF($B$9="SHA",'Inputs indirect expenditure'!H89,'Inputs indirect expenditure'!H126)))</f>
        <v>0</v>
      </c>
      <c r="G59" s="1439"/>
      <c r="H59" s="1437" t="s">
        <v>71</v>
      </c>
      <c r="I59" s="1441">
        <f>IF($B$9="SHA", 'Inputs indirect expenditure'!E103, IF($B$9="Total",'Inputs indirect expenditure'!E140, IF($B$9="PCT",'Inputs indirect expenditure'!E68,'Inputs indirect expenditure'!E32)))</f>
        <v>0</v>
      </c>
      <c r="J59" s="744">
        <f>IF($B$9="SHA", 'Inputs indirect expenditure'!F103, IF($B$9="Total",'Inputs indirect expenditure'!F140, IF($B$9="PCT",'Inputs indirect expenditure'!F68,'Inputs indirect expenditure'!F32)))</f>
        <v>0</v>
      </c>
      <c r="K59" s="744">
        <f>IF($B$9="SHA", 'Inputs indirect expenditure'!G103, IF($B$9="Total",'Inputs indirect expenditure'!G140, IF($B$9="PCT",'Inputs indirect expenditure'!G68,'Inputs indirect expenditure'!G32)))</f>
        <v>0</v>
      </c>
      <c r="L59" s="744">
        <f>IF($B$9="SHA", 'Inputs indirect expenditure'!H103, IF($B$9="Total",'Inputs indirect expenditure'!H140, IF($B$9="PCT",'Inputs indirect expenditure'!H68,'Inputs indirect expenditure'!H32)))</f>
        <v>0</v>
      </c>
      <c r="M59" s="396"/>
    </row>
    <row r="60" spans="1:13" ht="23.25" x14ac:dyDescent="0.35">
      <c r="A60" s="1435"/>
      <c r="B60" s="1437" t="s">
        <v>74</v>
      </c>
      <c r="C60" s="1440" t="str">
        <f>IF($B$9="PCT", 'Inputs indirect expenditure'!E54, IF($B$9="Trusts and Foundation Trusts",'Inputs indirect expenditure'!E18, IF($B$9="SHA",'Inputs indirect expenditure'!E91,'Inputs indirect expenditure'!E127)))</f>
        <v>N/A</v>
      </c>
      <c r="D60" s="1440" t="str">
        <f>IF($B$9="PCT", 'Inputs indirect expenditure'!F54, IF($B$9="Trusts and Foundation Trusts",'Inputs indirect expenditure'!F18, IF($B$9="SHA",'Inputs indirect expenditure'!F91,'Inputs indirect expenditure'!F127)))</f>
        <v>N/A</v>
      </c>
      <c r="E60" s="1440" t="str">
        <f>IF($B$9="PCT", 'Inputs indirect expenditure'!G54, IF($B$9="Trusts and Foundation Trusts",'Inputs indirect expenditure'!G18, IF($B$9="SHA",'Inputs indirect expenditure'!G91,'Inputs indirect expenditure'!G127)))</f>
        <v>N/A</v>
      </c>
      <c r="F60" s="1440" t="str">
        <f>IF($B$9="PCT", 'Inputs indirect expenditure'!H54, IF($B$9="Trusts and Foundation Trusts",'Inputs indirect expenditure'!H18, IF($B$9="SHA",'Inputs indirect expenditure'!H91,'Inputs indirect expenditure'!H127)))</f>
        <v>N/A</v>
      </c>
      <c r="G60" s="1439"/>
      <c r="H60" s="1437" t="s">
        <v>72</v>
      </c>
      <c r="I60" s="1441">
        <f>IF($B$9="SHA", 'Inputs indirect expenditure'!E104, IF($B$9="Total",'Inputs indirect expenditure'!E141, IF($B$9="PCT",'Inputs indirect expenditure'!E69,'Inputs indirect expenditure'!E33)))</f>
        <v>0</v>
      </c>
      <c r="J60" s="744">
        <f>IF($B$9="SHA", 'Inputs indirect expenditure'!F104, IF($B$9="Total",'Inputs indirect expenditure'!F141, IF($B$9="PCT",'Inputs indirect expenditure'!F69,'Inputs indirect expenditure'!F33)))</f>
        <v>0</v>
      </c>
      <c r="K60" s="744">
        <f>IF($B$9="SHA", 'Inputs indirect expenditure'!G104, IF($B$9="Total",'Inputs indirect expenditure'!G141, IF($B$9="PCT",'Inputs indirect expenditure'!G69,'Inputs indirect expenditure'!G33)))</f>
        <v>0</v>
      </c>
      <c r="L60" s="744">
        <f>IF($B$9="SHA", 'Inputs indirect expenditure'!H104, IF($B$9="Total",'Inputs indirect expenditure'!H141, IF($B$9="PCT",'Inputs indirect expenditure'!H69,'Inputs indirect expenditure'!H33)))</f>
        <v>0</v>
      </c>
      <c r="M60" s="396"/>
    </row>
    <row r="61" spans="1:13" ht="23.25" x14ac:dyDescent="0.35">
      <c r="A61" s="1435"/>
      <c r="B61" s="1437" t="s">
        <v>75</v>
      </c>
      <c r="C61" s="1440" t="str">
        <f>IF($B$9="PCT", 'Inputs indirect expenditure'!E55, IF($B$9="Trusts and Foundation Trusts",'Inputs indirect expenditure'!E19, IF($B$9="SHA",'Inputs indirect expenditure'!E92,'Inputs indirect expenditure'!E128)))</f>
        <v>N/A</v>
      </c>
      <c r="D61" s="1440" t="str">
        <f>IF($B$9="PCT", 'Inputs indirect expenditure'!F55, IF($B$9="Trusts and Foundation Trusts",'Inputs indirect expenditure'!F19, IF($B$9="SHA",'Inputs indirect expenditure'!F92,'Inputs indirect expenditure'!F128)))</f>
        <v>N/A</v>
      </c>
      <c r="E61" s="1440" t="str">
        <f>IF($B$9="PCT", 'Inputs indirect expenditure'!G55, IF($B$9="Trusts and Foundation Trusts",'Inputs indirect expenditure'!G19, IF($B$9="SHA",'Inputs indirect expenditure'!G92,'Inputs indirect expenditure'!G128)))</f>
        <v>N/A</v>
      </c>
      <c r="F61" s="1440" t="str">
        <f>IF($B$9="PCT", 'Inputs indirect expenditure'!H55, IF($B$9="Trusts and Foundation Trusts",'Inputs indirect expenditure'!H19, IF($B$9="SHA",'Inputs indirect expenditure'!H92,'Inputs indirect expenditure'!H128)))</f>
        <v>N/A</v>
      </c>
      <c r="G61" s="1439"/>
      <c r="H61" s="1437"/>
      <c r="I61" s="1441">
        <f>IF($B$9="SHA", 'Inputs indirect expenditure'!E105, IF($B$9="Total",'Inputs indirect expenditure'!E142, IF($B$9="PCT",'Inputs indirect expenditure'!E70,'Inputs indirect expenditure'!E34)))</f>
        <v>0</v>
      </c>
      <c r="J61" s="744">
        <f>IF($B$9="SHA", 'Inputs indirect expenditure'!F105, IF($B$9="Total",'Inputs indirect expenditure'!F142, IF($B$9="PCT",'Inputs indirect expenditure'!F70,'Inputs indirect expenditure'!F34)))</f>
        <v>0</v>
      </c>
      <c r="K61" s="744">
        <f>IF($B$9="SHA", 'Inputs indirect expenditure'!G105, IF($B$9="Total",'Inputs indirect expenditure'!G142, IF($B$9="PCT",'Inputs indirect expenditure'!G70,'Inputs indirect expenditure'!G34)))</f>
        <v>0</v>
      </c>
      <c r="L61" s="744">
        <f>IF($B$9="SHA", 'Inputs indirect expenditure'!H105, IF($B$9="Total",'Inputs indirect expenditure'!H142, IF($B$9="PCT",'Inputs indirect expenditure'!H70,'Inputs indirect expenditure'!H34)))</f>
        <v>0</v>
      </c>
      <c r="M61" s="396"/>
    </row>
    <row r="62" spans="1:13" ht="23.25" x14ac:dyDescent="0.35">
      <c r="A62" s="1435"/>
      <c r="B62" s="1437" t="s">
        <v>76</v>
      </c>
      <c r="C62" s="1440">
        <f>IF($B$9="PCT", 'Inputs indirect expenditure'!E56, IF($B$9="Trusts and Foundation Trusts",'Inputs indirect expenditure'!E20, IF($B$9="SHA",'Inputs indirect expenditure'!E93,'Inputs indirect expenditure'!E129)))</f>
        <v>0</v>
      </c>
      <c r="D62" s="1440">
        <f>IF($B$9="PCT", 'Inputs indirect expenditure'!F56, IF($B$9="Trusts and Foundation Trusts",'Inputs indirect expenditure'!F20, IF($B$9="SHA",'Inputs indirect expenditure'!F93,'Inputs indirect expenditure'!F129)))</f>
        <v>0</v>
      </c>
      <c r="E62" s="1440">
        <f>IF($B$9="PCT", 'Inputs indirect expenditure'!G56, IF($B$9="Trusts and Foundation Trusts",'Inputs indirect expenditure'!G20, IF($B$9="SHA",'Inputs indirect expenditure'!G93,'Inputs indirect expenditure'!G129)))</f>
        <v>1082</v>
      </c>
      <c r="F62" s="1440">
        <f>IF($B$9="PCT", 'Inputs indirect expenditure'!H56, IF($B$9="Trusts and Foundation Trusts",'Inputs indirect expenditure'!H20, IF($B$9="SHA",'Inputs indirect expenditure'!H93,'Inputs indirect expenditure'!H129)))</f>
        <v>309802</v>
      </c>
      <c r="G62" s="1439"/>
      <c r="H62" s="1437" t="s">
        <v>74</v>
      </c>
      <c r="I62" s="1441" t="str">
        <f>IF($B$9="SHA", 'Inputs indirect expenditure'!E107, IF($B$9="Total",'Inputs indirect expenditure'!E144, IF($B$9="PCT",'Inputs indirect expenditure'!E72,'Inputs indirect expenditure'!E36)))</f>
        <v>N/A</v>
      </c>
      <c r="J62" s="744" t="str">
        <f>IF($B$9="SHA", 'Inputs indirect expenditure'!F107, IF($B$9="Total",'Inputs indirect expenditure'!F144, IF($B$9="PCT",'Inputs indirect expenditure'!F72,'Inputs indirect expenditure'!F36)))</f>
        <v>N/A</v>
      </c>
      <c r="K62" s="744" t="str">
        <f>IF($B$9="SHA", 'Inputs indirect expenditure'!G107, IF($B$9="Total",'Inputs indirect expenditure'!G144, IF($B$9="PCT",'Inputs indirect expenditure'!G72,'Inputs indirect expenditure'!G36)))</f>
        <v>N/A</v>
      </c>
      <c r="L62" s="744" t="str">
        <f>IF($B$9="SHA", 'Inputs indirect expenditure'!H107, IF($B$9="Total",'Inputs indirect expenditure'!H144, IF($B$9="PCT",'Inputs indirect expenditure'!H72,'Inputs indirect expenditure'!H36)))</f>
        <v>N/A</v>
      </c>
      <c r="M62" s="396"/>
    </row>
    <row r="63" spans="1:13" ht="23.25" x14ac:dyDescent="0.35">
      <c r="A63" s="1435"/>
      <c r="B63" s="1437" t="str">
        <f>IF($B$9="Trusts and Foundation Trusts",'Inputs indirect expenditure'!D21,'Inputs indirect expenditure'!D57)</f>
        <v>2007/08</v>
      </c>
      <c r="C63" s="1440">
        <f>IF($B$9="PCT", 'Inputs indirect expenditure'!E57, IF($B$9="Trusts and Foundation Trusts",'Inputs indirect expenditure'!E21, IF($B$9="SHA",'Inputs indirect expenditure'!E94,'Inputs indirect expenditure'!E130)))</f>
        <v>145865</v>
      </c>
      <c r="D63" s="1440">
        <f>IF($B$9="PCT", 'Inputs indirect expenditure'!F57, IF($B$9="Trusts and Foundation Trusts",'Inputs indirect expenditure'!F21, IF($B$9="SHA",'Inputs indirect expenditure'!F94,'Inputs indirect expenditure'!F130)))</f>
        <v>162855</v>
      </c>
      <c r="E63" s="1440">
        <f>IF($B$9="PCT", 'Inputs indirect expenditure'!G57, IF($B$9="Trusts and Foundation Trusts",'Inputs indirect expenditure'!G21, IF($B$9="SHA",'Inputs indirect expenditure'!G94,'Inputs indirect expenditure'!G130)))</f>
        <v>1056</v>
      </c>
      <c r="F63" s="1440">
        <f>IF($B$9="PCT", 'Inputs indirect expenditure'!H57, IF($B$9="Trusts and Foundation Trusts",'Inputs indirect expenditure'!H21, IF($B$9="SHA",'Inputs indirect expenditure'!H94,'Inputs indirect expenditure'!H130)))</f>
        <v>195760</v>
      </c>
      <c r="G63" s="1319"/>
      <c r="H63" s="1437" t="s">
        <v>75</v>
      </c>
      <c r="I63" s="1441" t="str">
        <f>IF($B$9="SHA", 'Inputs indirect expenditure'!E108, IF($B$9="Total",'Inputs indirect expenditure'!E145, IF($B$9="PCT",'Inputs indirect expenditure'!E73,'Inputs indirect expenditure'!E37)))</f>
        <v>N/A</v>
      </c>
      <c r="J63" s="745" t="str">
        <f>IF($B$9="SHA", 'Inputs indirect expenditure'!F108, IF($B$9="Total",'Inputs indirect expenditure'!F145, IF($B$9="PCT",'Inputs indirect expenditure'!F73,'Inputs indirect expenditure'!F37)))</f>
        <v>N/A</v>
      </c>
      <c r="K63" s="743" t="str">
        <f>IF($B$9="SHA", 'Inputs indirect expenditure'!G108, IF($B$9="Total",'Inputs indirect expenditure'!G145, IF($B$9="PCT",'Inputs indirect expenditure'!G73,'Inputs indirect expenditure'!G37)))</f>
        <v>N/A</v>
      </c>
      <c r="L63" s="744" t="str">
        <f>IF($B$9="SHA", 'Inputs indirect expenditure'!H108, IF($B$9="Total",'Inputs indirect expenditure'!H145, IF($B$9="PCT",'Inputs indirect expenditure'!H73,'Inputs indirect expenditure'!H37)))</f>
        <v>N/A</v>
      </c>
      <c r="M63" s="396"/>
    </row>
    <row r="64" spans="1:13" ht="24" customHeight="1" x14ac:dyDescent="0.35">
      <c r="A64" s="1435"/>
      <c r="B64" s="1437" t="str">
        <f>IF($B$9="Trusts and Foundation Trusts",'Inputs indirect expenditure'!D22,'Inputs indirect expenditure'!D58)</f>
        <v>2008/09</v>
      </c>
      <c r="C64" s="1440">
        <f>IF($B$9="PCT", 'Inputs indirect expenditure'!E58, IF($B$9="Trusts and Foundation Trusts",'Inputs indirect expenditure'!E22, IF($B$9="SHA",'Inputs indirect expenditure'!E95,'Inputs indirect expenditure'!E131)))</f>
        <v>175388</v>
      </c>
      <c r="D64" s="1440">
        <f>IF($B$9="PCT", 'Inputs indirect expenditure'!F58, IF($B$9="Trusts and Foundation Trusts",'Inputs indirect expenditure'!F22, IF($B$9="SHA",'Inputs indirect expenditure'!F95,'Inputs indirect expenditure'!F131)))</f>
        <v>19316</v>
      </c>
      <c r="E64" s="1440">
        <f>IF($B$9="PCT", 'Inputs indirect expenditure'!G58, IF($B$9="Trusts and Foundation Trusts",'Inputs indirect expenditure'!G22, IF($B$9="SHA",'Inputs indirect expenditure'!G95,'Inputs indirect expenditure'!G131)))</f>
        <v>1034</v>
      </c>
      <c r="F64" s="1440">
        <f>IF($B$9="PCT", 'Inputs indirect expenditure'!H58, IF($B$9="Trusts and Foundation Trusts",'Inputs indirect expenditure'!H22, IF($B$9="SHA",'Inputs indirect expenditure'!H95,'Inputs indirect expenditure'!H131)))</f>
        <v>234591</v>
      </c>
      <c r="G64" s="1442"/>
      <c r="H64" s="1437" t="s">
        <v>76</v>
      </c>
      <c r="I64" s="1441" t="str">
        <f>IF($B$9="SHA", 'Inputs indirect expenditure'!E109, IF($B$9="Total",'Inputs indirect expenditure'!E146, IF($B$9="PCT",'Inputs indirect expenditure'!E74,'Inputs indirect expenditure'!E38)))</f>
        <v>N/A</v>
      </c>
      <c r="J64" s="745" t="str">
        <f>IF($B$9="SHA", 'Inputs indirect expenditure'!F109, IF($B$9="Total",'Inputs indirect expenditure'!F146, IF($B$9="PCT",'Inputs indirect expenditure'!F74,'Inputs indirect expenditure'!F38)))</f>
        <v>N/A</v>
      </c>
      <c r="K64" s="743" t="str">
        <f>IF($B$9="SHA", 'Inputs indirect expenditure'!G109, IF($B$9="Total",'Inputs indirect expenditure'!G146, IF($B$9="PCT",'Inputs indirect expenditure'!G74,'Inputs indirect expenditure'!G38)))</f>
        <v>N/A</v>
      </c>
      <c r="L64" s="744" t="str">
        <f>IF($B$9="SHA", 'Inputs indirect expenditure'!H109, IF($B$9="Total",'Inputs indirect expenditure'!H146, IF($B$9="PCT",'Inputs indirect expenditure'!H74,'Inputs indirect expenditure'!H38)))</f>
        <v>N/A</v>
      </c>
      <c r="M64" s="396"/>
    </row>
    <row r="65" spans="1:13" x14ac:dyDescent="0.25">
      <c r="A65" s="1439"/>
      <c r="B65" s="1437" t="str">
        <f>IF($B$9="Trusts and Foundation Trusts",'Inputs indirect expenditure'!D23,'Inputs indirect expenditure'!D59)</f>
        <v>2009/10</v>
      </c>
      <c r="C65" s="1440">
        <f>IF($B$9="PCT", 'Inputs indirect expenditure'!E59, IF($B$9="Trusts and Foundation Trusts",'Inputs indirect expenditure'!E23, IF($B$9="SHA",'Inputs indirect expenditure'!E96,'Inputs indirect expenditure'!E132)))</f>
        <v>202473</v>
      </c>
      <c r="D65" s="1440">
        <f>IF($B$9="PCT", 'Inputs indirect expenditure'!F59, IF($B$9="Trusts and Foundation Trusts",'Inputs indirect expenditure'!F23, IF($B$9="SHA",'Inputs indirect expenditure'!F96,'Inputs indirect expenditure'!F132)))</f>
        <v>31084</v>
      </c>
      <c r="E65" s="1440">
        <f>IF($B$9="PCT", 'Inputs indirect expenditure'!G59, IF($B$9="Trusts and Foundation Trusts",'Inputs indirect expenditure'!G23, IF($B$9="SHA",'Inputs indirect expenditure'!G96,'Inputs indirect expenditure'!G132)))</f>
        <v>965</v>
      </c>
      <c r="F65" s="1440">
        <f>IF($B$9="PCT", 'Inputs indirect expenditure'!H59, IF($B$9="Trusts and Foundation Trusts",'Inputs indirect expenditure'!H23, IF($B$9="SHA",'Inputs indirect expenditure'!H96,'Inputs indirect expenditure'!H132)))</f>
        <v>244343</v>
      </c>
      <c r="G65" s="1439"/>
      <c r="H65" s="1437" t="s">
        <v>4</v>
      </c>
      <c r="I65" s="1441">
        <f>IF($B$9="SHA", 'Inputs indirect expenditure'!E110, IF($B$9="Total",'Inputs indirect expenditure'!E147, IF($B$9="PCT",'Inputs indirect expenditure'!E75,'Inputs indirect expenditure'!E39)))</f>
        <v>145865</v>
      </c>
      <c r="J65" s="745">
        <f>IF($B$9="SHA", 'Inputs indirect expenditure'!F110, IF($B$9="Total",'Inputs indirect expenditure'!F147, IF($B$9="PCT",'Inputs indirect expenditure'!F75,'Inputs indirect expenditure'!F39)))</f>
        <v>162855</v>
      </c>
      <c r="K65" s="743">
        <f>IF($B$9="SHA", 'Inputs indirect expenditure'!G110, IF($B$9="Total",'Inputs indirect expenditure'!G147, IF($B$9="PCT",'Inputs indirect expenditure'!G75,'Inputs indirect expenditure'!G39)))</f>
        <v>1082</v>
      </c>
      <c r="L65" s="744">
        <f>IF($B$9="SHA", 'Inputs indirect expenditure'!H110, IF($B$9="Total",'Inputs indirect expenditure'!H147, IF($B$9="PCT",'Inputs indirect expenditure'!H75,'Inputs indirect expenditure'!H39)))</f>
        <v>309802</v>
      </c>
      <c r="M65" s="396"/>
    </row>
    <row r="66" spans="1:13" x14ac:dyDescent="0.25">
      <c r="A66" s="1439"/>
      <c r="B66" s="1437" t="str">
        <f>IF($B$9="Trusts and Foundation Trusts",'Inputs indirect expenditure'!D24,'Inputs indirect expenditure'!D60)</f>
        <v>2010/11</v>
      </c>
      <c r="C66" s="1440">
        <f>IF($B$9="PCT", 'Inputs indirect expenditure'!E60, IF($B$9="Trusts and Foundation Trusts",'Inputs indirect expenditure'!E24, IF($B$9="SHA",'Inputs indirect expenditure'!E97,'Inputs indirect expenditure'!E133)))</f>
        <v>218896</v>
      </c>
      <c r="D66" s="1440">
        <f>IF($B$9="PCT", 'Inputs indirect expenditure'!F60, IF($B$9="Trusts and Foundation Trusts",'Inputs indirect expenditure'!F24, IF($B$9="SHA",'Inputs indirect expenditure'!F97,'Inputs indirect expenditure'!F133)))</f>
        <v>24482</v>
      </c>
      <c r="E66" s="1440">
        <f>IF($B$9="PCT", 'Inputs indirect expenditure'!G60, IF($B$9="Trusts and Foundation Trusts",'Inputs indirect expenditure'!G24, IF($B$9="SHA",'Inputs indirect expenditure'!G97,'Inputs indirect expenditure'!G133)))</f>
        <v>845</v>
      </c>
      <c r="F66" s="1440">
        <f>IF($B$9="PCT", 'Inputs indirect expenditure'!H60, IF($B$9="Trusts and Foundation Trusts",'Inputs indirect expenditure'!H24, IF($B$9="SHA",'Inputs indirect expenditure'!H97,'Inputs indirect expenditure'!H133)))</f>
        <v>257349</v>
      </c>
      <c r="G66" s="1439"/>
      <c r="H66" s="1437" t="s">
        <v>5</v>
      </c>
      <c r="I66" s="1441">
        <f>IF($B$9="SHA", 'Inputs indirect expenditure'!E111, IF($B$9="Total",'Inputs indirect expenditure'!E148, IF($B$9="PCT",'Inputs indirect expenditure'!E76,'Inputs indirect expenditure'!E40)))</f>
        <v>175388</v>
      </c>
      <c r="J66" s="745">
        <f>IF($B$9="SHA", 'Inputs indirect expenditure'!F111, IF($B$9="Total",'Inputs indirect expenditure'!F148, IF($B$9="PCT",'Inputs indirect expenditure'!F76,'Inputs indirect expenditure'!F40)))</f>
        <v>19316</v>
      </c>
      <c r="K66" s="743">
        <f>IF($B$9="SHA", 'Inputs indirect expenditure'!G111, IF($B$9="Total",'Inputs indirect expenditure'!G148, IF($B$9="PCT",'Inputs indirect expenditure'!G76,'Inputs indirect expenditure'!G40)))</f>
        <v>1056</v>
      </c>
      <c r="L66" s="744">
        <f>IF($B$9="SHA", 'Inputs indirect expenditure'!H111, IF($B$9="Total",'Inputs indirect expenditure'!H148, IF($B$9="PCT",'Inputs indirect expenditure'!H76,'Inputs indirect expenditure'!H40)))</f>
        <v>195760</v>
      </c>
      <c r="M66" s="396"/>
    </row>
    <row r="67" spans="1:13" x14ac:dyDescent="0.25">
      <c r="A67" s="1439"/>
      <c r="B67" s="1437" t="s">
        <v>489</v>
      </c>
      <c r="C67" s="1440">
        <f>IF($B$9="PCT", 'Inputs indirect expenditure'!E61, IF($B$9="Trusts and Foundation Trusts",'Inputs indirect expenditure'!E25, IF($B$9="SHA",'Inputs indirect expenditure'!E98,'Inputs indirect expenditure'!E134)))</f>
        <v>238502</v>
      </c>
      <c r="D67" s="1440">
        <f>IF($B$9="PCT", 'Inputs indirect expenditure'!F61, IF($B$9="Trusts and Foundation Trusts",'Inputs indirect expenditure'!F25, IF($B$9="SHA",'Inputs indirect expenditure'!F98,'Inputs indirect expenditure'!F134)))</f>
        <v>18002</v>
      </c>
      <c r="E67" s="1440">
        <f>IF($B$9="PCT", 'Inputs indirect expenditure'!G61, IF($B$9="Trusts and Foundation Trusts",'Inputs indirect expenditure'!G25, IF($B$9="SHA",'Inputs indirect expenditure'!G98,'Inputs indirect expenditure'!G134)))</f>
        <v>0</v>
      </c>
      <c r="F67" s="1440">
        <f>IF($B$9="PCT", 'Inputs indirect expenditure'!H61, IF($B$9="Trusts and Foundation Trusts",'Inputs indirect expenditure'!H25, IF($B$9="SHA",'Inputs indirect expenditure'!H98,'Inputs indirect expenditure'!H134)))</f>
        <v>0</v>
      </c>
      <c r="G67" s="1439"/>
      <c r="H67" s="1437" t="s">
        <v>6</v>
      </c>
      <c r="I67" s="1441">
        <f>IF($B$9="SHA", 'Inputs indirect expenditure'!E112, IF($B$9="Total",'Inputs indirect expenditure'!E149, IF($B$9="PCT",'Inputs indirect expenditure'!E77,'Inputs indirect expenditure'!E41)))</f>
        <v>202473</v>
      </c>
      <c r="J67" s="745">
        <f>IF($B$9="SHA", 'Inputs indirect expenditure'!F112, IF($B$9="Total",'Inputs indirect expenditure'!F149, IF($B$9="PCT",'Inputs indirect expenditure'!F77,'Inputs indirect expenditure'!F41)))</f>
        <v>31084</v>
      </c>
      <c r="K67" s="743">
        <f>IF($B$9="SHA", 'Inputs indirect expenditure'!G112, IF($B$9="Total",'Inputs indirect expenditure'!G149, IF($B$9="PCT",'Inputs indirect expenditure'!G77,'Inputs indirect expenditure'!G41)))</f>
        <v>1034</v>
      </c>
      <c r="L67" s="744">
        <f>IF($B$9="SHA", 'Inputs indirect expenditure'!H112, IF($B$9="Total",'Inputs indirect expenditure'!H149, IF($B$9="PCT",'Inputs indirect expenditure'!H77,'Inputs indirect expenditure'!H41)))</f>
        <v>234591</v>
      </c>
      <c r="M67" s="396"/>
    </row>
    <row r="68" spans="1:13" x14ac:dyDescent="0.25">
      <c r="A68" s="1443"/>
      <c r="B68" s="1319"/>
      <c r="C68" s="1319"/>
      <c r="D68" s="1319"/>
      <c r="E68" s="1319"/>
      <c r="F68" s="1319"/>
      <c r="G68" s="1439"/>
      <c r="H68" s="1437" t="s">
        <v>7</v>
      </c>
      <c r="I68" s="1441">
        <f>IF($B$9="SHA", 'Inputs indirect expenditure'!E113, IF($B$9="Total",'Inputs indirect expenditure'!E150, IF($B$9="PCT",'Inputs indirect expenditure'!E78,'Inputs indirect expenditure'!E42)))</f>
        <v>218896</v>
      </c>
      <c r="J68" s="744">
        <f>IF($B$9="SHA", 'Inputs indirect expenditure'!F113, IF($B$9="Total",'Inputs indirect expenditure'!F150, IF($B$9="PCT",'Inputs indirect expenditure'!F78,'Inputs indirect expenditure'!F42)))</f>
        <v>24482</v>
      </c>
      <c r="K68" s="744">
        <f>IF($B$9="SHA", 'Inputs indirect expenditure'!G113, IF($B$9="Total",'Inputs indirect expenditure'!G150, IF($B$9="PCT",'Inputs indirect expenditure'!G78,'Inputs indirect expenditure'!G42)))</f>
        <v>965</v>
      </c>
      <c r="L68" s="744">
        <f>IF($B$9="SHA", 'Inputs indirect expenditure'!H113, IF($B$9="Total",'Inputs indirect expenditure'!H150, IF($B$9="PCT",'Inputs indirect expenditure'!H78,'Inputs indirect expenditure'!H42)))</f>
        <v>244343</v>
      </c>
      <c r="M68" s="396"/>
    </row>
    <row r="69" spans="1:13" x14ac:dyDescent="0.25">
      <c r="A69" s="1443"/>
      <c r="B69" s="1942"/>
      <c r="C69" s="1943"/>
      <c r="D69" s="1319"/>
      <c r="E69" s="1319"/>
      <c r="F69" s="1319"/>
      <c r="G69" s="1439"/>
      <c r="H69" s="1437" t="s">
        <v>489</v>
      </c>
      <c r="I69" s="1441">
        <f>IF($B$9="SHA", 'Inputs indirect expenditure'!E114, IF($B$9="Total",'Inputs indirect expenditure'!E151, IF($B$9="PCT",'Inputs indirect expenditure'!E79,'Inputs indirect expenditure'!E43)))</f>
        <v>238502</v>
      </c>
      <c r="J69" s="744">
        <f>IF($B$9="SHA", 'Inputs indirect expenditure'!F114, IF($B$9="Total",'Inputs indirect expenditure'!F151, IF($B$9="PCT",'Inputs indirect expenditure'!F79,'Inputs indirect expenditure'!F43)))</f>
        <v>18002</v>
      </c>
      <c r="K69" s="744">
        <f>IF($B$9="SHA", 'Inputs indirect expenditure'!G114, IF($B$9="Total",'Inputs indirect expenditure'!G151, IF($B$9="PCT",'Inputs indirect expenditure'!G79,'Inputs indirect expenditure'!G43)))</f>
        <v>845</v>
      </c>
      <c r="L69" s="744">
        <f>IF($B$9="SHA", 'Inputs indirect expenditure'!H114, IF($B$9="Total",'Inputs indirect expenditure'!H151, IF($B$9="PCT",'Inputs indirect expenditure'!H79,'Inputs indirect expenditure'!H43)))</f>
        <v>257349</v>
      </c>
      <c r="M69" s="396"/>
    </row>
    <row r="70" spans="1:13" x14ac:dyDescent="0.25">
      <c r="A70" s="1439"/>
      <c r="B70" s="1439"/>
      <c r="C70" s="1439"/>
      <c r="D70" s="1439"/>
      <c r="E70" s="1439"/>
      <c r="F70" s="1439"/>
      <c r="G70" s="1439"/>
      <c r="H70" s="1319"/>
      <c r="I70" s="1319"/>
      <c r="J70" s="567"/>
      <c r="K70" s="396"/>
      <c r="L70" s="396"/>
      <c r="M70" s="396"/>
    </row>
    <row r="71" spans="1:13" x14ac:dyDescent="0.25">
      <c r="A71" s="1439"/>
      <c r="B71" s="1439"/>
      <c r="C71" s="1439"/>
      <c r="D71" s="1439"/>
      <c r="E71" s="1439"/>
      <c r="F71" s="1439"/>
      <c r="G71" s="1439"/>
      <c r="H71" s="1942"/>
      <c r="I71" s="1942"/>
      <c r="J71" s="567"/>
      <c r="K71" s="747"/>
      <c r="L71" s="396"/>
      <c r="M71" s="396"/>
    </row>
    <row r="72" spans="1:13" x14ac:dyDescent="0.25">
      <c r="A72" s="1439"/>
      <c r="B72" s="1439"/>
      <c r="C72" s="1439"/>
      <c r="D72" s="1439"/>
      <c r="E72" s="1439"/>
      <c r="F72" s="1439"/>
      <c r="G72" s="1439"/>
      <c r="H72" s="1439"/>
      <c r="I72" s="1439"/>
      <c r="J72" s="396"/>
      <c r="K72" s="747"/>
      <c r="L72" s="396"/>
      <c r="M72" s="396"/>
    </row>
    <row r="73" spans="1:13" ht="24" customHeight="1" x14ac:dyDescent="0.25">
      <c r="A73" s="1439"/>
      <c r="B73" s="1439"/>
      <c r="C73" s="1439"/>
      <c r="D73" s="1439"/>
      <c r="E73" s="1439"/>
      <c r="F73" s="1439"/>
      <c r="G73" s="1439"/>
      <c r="H73" s="1439"/>
      <c r="I73" s="1439"/>
      <c r="J73" s="396"/>
      <c r="K73" s="747"/>
      <c r="L73" s="396"/>
      <c r="M73" s="396"/>
    </row>
    <row r="74" spans="1:13" x14ac:dyDescent="0.25">
      <c r="A74" s="1439"/>
      <c r="B74" s="1439"/>
      <c r="C74" s="1439"/>
      <c r="D74" s="1439"/>
      <c r="E74" s="1439"/>
      <c r="F74" s="1439"/>
      <c r="G74" s="1439"/>
      <c r="H74" s="1439"/>
      <c r="I74" s="1439"/>
      <c r="J74" s="396"/>
      <c r="K74" s="747"/>
      <c r="L74" s="396"/>
      <c r="M74" s="396"/>
    </row>
    <row r="75" spans="1:13" x14ac:dyDescent="0.25">
      <c r="A75" s="1439"/>
      <c r="B75" s="1439"/>
      <c r="C75" s="1439"/>
      <c r="D75" s="1439"/>
      <c r="E75" s="1439"/>
      <c r="F75" s="1439"/>
      <c r="G75" s="1439"/>
      <c r="H75" s="1439"/>
      <c r="I75" s="1439"/>
      <c r="J75" s="396"/>
      <c r="K75" s="747"/>
      <c r="L75" s="396"/>
      <c r="M75" s="396"/>
    </row>
    <row r="76" spans="1:13" x14ac:dyDescent="0.25">
      <c r="A76" s="1443"/>
      <c r="B76" s="1439"/>
      <c r="C76" s="1439"/>
      <c r="D76" s="1439"/>
      <c r="E76" s="1439"/>
      <c r="F76" s="1439"/>
      <c r="G76" s="1439"/>
      <c r="H76" s="1439"/>
      <c r="I76" s="1439"/>
      <c r="J76" s="396"/>
      <c r="K76" s="747"/>
      <c r="L76" s="396"/>
      <c r="M76" s="396"/>
    </row>
    <row r="77" spans="1:13" x14ac:dyDescent="0.25">
      <c r="A77" s="1439"/>
      <c r="B77" s="1439"/>
      <c r="C77" s="1439"/>
      <c r="D77" s="1439"/>
      <c r="E77" s="1439"/>
      <c r="F77" s="1439"/>
      <c r="G77" s="1439"/>
      <c r="H77" s="1439"/>
      <c r="I77" s="1439"/>
      <c r="J77" s="396"/>
      <c r="K77" s="747"/>
      <c r="L77" s="396"/>
      <c r="M77" s="396"/>
    </row>
    <row r="78" spans="1:13" x14ac:dyDescent="0.25">
      <c r="A78" s="1439"/>
      <c r="B78" s="1439"/>
      <c r="C78" s="1439"/>
      <c r="D78" s="1439"/>
      <c r="E78" s="1439"/>
      <c r="F78" s="1439"/>
      <c r="G78" s="1439"/>
      <c r="H78" s="1439"/>
      <c r="I78" s="1439"/>
      <c r="J78" s="396"/>
      <c r="K78" s="747"/>
      <c r="L78" s="396"/>
      <c r="M78" s="396"/>
    </row>
    <row r="79" spans="1:13" x14ac:dyDescent="0.25">
      <c r="A79" s="1439"/>
      <c r="B79" s="1439"/>
      <c r="C79" s="1439"/>
      <c r="D79" s="1439"/>
      <c r="E79" s="1439"/>
      <c r="F79" s="1439"/>
      <c r="G79" s="1439"/>
      <c r="H79" s="1439"/>
      <c r="I79" s="1439"/>
      <c r="J79" s="396"/>
      <c r="K79" s="396"/>
      <c r="L79" s="396"/>
      <c r="M79" s="396"/>
    </row>
    <row r="80" spans="1:13" x14ac:dyDescent="0.25">
      <c r="A80" s="1439"/>
      <c r="B80" s="1439"/>
      <c r="C80" s="1439"/>
      <c r="D80" s="1439"/>
      <c r="E80" s="1439"/>
      <c r="F80" s="1439"/>
      <c r="G80" s="1439"/>
      <c r="H80" s="1439"/>
      <c r="I80" s="1439"/>
      <c r="J80" s="396"/>
      <c r="K80" s="396"/>
      <c r="L80" s="396"/>
      <c r="M80" s="396"/>
    </row>
    <row r="81" spans="1:13" ht="24" customHeight="1" x14ac:dyDescent="0.25">
      <c r="A81" s="1439"/>
      <c r="B81" s="1439"/>
      <c r="C81" s="1439"/>
      <c r="D81" s="1439"/>
      <c r="E81" s="1439"/>
      <c r="F81" s="1439"/>
      <c r="G81" s="1439"/>
      <c r="H81" s="1439"/>
      <c r="I81" s="1439"/>
      <c r="J81" s="396"/>
      <c r="K81" s="396"/>
      <c r="L81" s="396"/>
      <c r="M81" s="396"/>
    </row>
    <row r="82" spans="1:13" x14ac:dyDescent="0.25">
      <c r="A82" s="1439"/>
      <c r="B82" s="1439"/>
      <c r="C82" s="1439"/>
      <c r="D82" s="1439"/>
      <c r="E82" s="1439"/>
      <c r="F82" s="1439"/>
      <c r="G82" s="1439"/>
      <c r="H82" s="1439"/>
      <c r="I82" s="1439"/>
      <c r="J82" s="396"/>
      <c r="K82" s="396"/>
      <c r="L82" s="396"/>
      <c r="M82" s="396"/>
    </row>
    <row r="83" spans="1:13" x14ac:dyDescent="0.25">
      <c r="A83" s="1439"/>
      <c r="B83" s="1439"/>
      <c r="C83" s="1439"/>
      <c r="D83" s="1439"/>
      <c r="E83" s="1439"/>
      <c r="F83" s="1439"/>
      <c r="G83" s="1439"/>
      <c r="H83" s="1439"/>
      <c r="I83" s="1439"/>
      <c r="J83" s="396"/>
      <c r="K83" s="396"/>
      <c r="L83" s="396"/>
      <c r="M83" s="396"/>
    </row>
    <row r="84" spans="1:13" x14ac:dyDescent="0.25">
      <c r="A84" s="1439"/>
      <c r="B84" s="1439"/>
      <c r="C84" s="1439"/>
      <c r="D84" s="1439"/>
      <c r="E84" s="1439"/>
      <c r="F84" s="1439"/>
      <c r="G84" s="1439"/>
      <c r="H84" s="1439"/>
      <c r="I84" s="1439"/>
      <c r="J84" s="396"/>
      <c r="K84" s="396"/>
      <c r="L84" s="396"/>
      <c r="M84" s="396"/>
    </row>
    <row r="85" spans="1:13" x14ac:dyDescent="0.25">
      <c r="A85" s="1439"/>
      <c r="B85" s="1439"/>
      <c r="C85" s="1439"/>
      <c r="D85" s="1439"/>
      <c r="E85" s="1439"/>
      <c r="F85" s="1439"/>
      <c r="G85" s="1439"/>
      <c r="H85" s="1439"/>
      <c r="I85" s="1439"/>
      <c r="J85" s="396"/>
      <c r="K85" s="396"/>
      <c r="L85" s="396"/>
      <c r="M85" s="396"/>
    </row>
    <row r="86" spans="1:13" x14ac:dyDescent="0.25">
      <c r="A86" s="1439"/>
      <c r="B86" s="1439"/>
      <c r="C86" s="1439"/>
      <c r="D86" s="1439"/>
      <c r="E86" s="1439"/>
      <c r="F86" s="1439"/>
      <c r="G86" s="1439"/>
      <c r="H86" s="1439"/>
      <c r="I86" s="1439"/>
      <c r="J86" s="396"/>
      <c r="K86" s="396"/>
      <c r="L86" s="396"/>
      <c r="M86" s="396"/>
    </row>
    <row r="87" spans="1:13" x14ac:dyDescent="0.25">
      <c r="A87" s="1439"/>
      <c r="B87" s="1439"/>
      <c r="C87" s="1439"/>
      <c r="D87" s="1439"/>
      <c r="E87" s="1439"/>
      <c r="F87" s="1439"/>
      <c r="G87" s="1439"/>
      <c r="H87" s="1439"/>
      <c r="I87" s="1439"/>
      <c r="J87" s="396"/>
      <c r="K87" s="396"/>
      <c r="L87" s="396"/>
      <c r="M87" s="396"/>
    </row>
    <row r="88" spans="1:13" x14ac:dyDescent="0.25">
      <c r="A88" s="1439"/>
      <c r="B88" s="1439"/>
      <c r="C88" s="1439"/>
      <c r="D88" s="1439"/>
      <c r="E88" s="1439"/>
      <c r="F88" s="1439"/>
      <c r="G88" s="1439"/>
      <c r="H88" s="1439"/>
      <c r="I88" s="1439"/>
      <c r="J88" s="396"/>
      <c r="K88" s="396"/>
      <c r="L88" s="396"/>
      <c r="M88" s="396"/>
    </row>
    <row r="92" spans="1:13" ht="24" customHeight="1" x14ac:dyDescent="0.25"/>
  </sheetData>
  <customSheetViews>
    <customSheetView guid="{9EA95E61-FCA5-4867-AEB4-B8C24058ACDD}" showGridLines="0" showRowCol="0" topLeftCell="A22">
      <selection activeCell="G27" sqref="G27"/>
      <pageMargins left="0.7" right="0.7" top="0.75" bottom="0.75" header="0.3" footer="0.3"/>
      <pageSetup paperSize="9" orientation="portrait" r:id="rId1"/>
    </customSheetView>
  </customSheetViews>
  <mergeCells count="5">
    <mergeCell ref="B9:D9"/>
    <mergeCell ref="B69:C69"/>
    <mergeCell ref="H71:I71"/>
    <mergeCell ref="I12:I16"/>
    <mergeCell ref="L12:L16"/>
  </mergeCells>
  <conditionalFormatting sqref="E12:E16">
    <cfRule type="iconSet" priority="1">
      <iconSet iconSet="3Arrows" showValue="0">
        <cfvo type="percent" val="0"/>
        <cfvo type="num" val="0"/>
        <cfvo type="num" val="0" gte="0"/>
      </iconSet>
    </cfRule>
  </conditionalFormatting>
  <dataValidations count="4">
    <dataValidation allowBlank="1" showInputMessage="1" showErrorMessage="1" promptTitle="Current data" prompt="This data has not been deflated_x000a_" sqref="B69:C69"/>
    <dataValidation allowBlank="1" showInputMessage="1" showErrorMessage="1" promptTitle="Constant data" prompt="Data has been deflated using appropriate deflators. More on the deflators can be found in the Deflators worksheet." sqref="G64"/>
    <dataValidation allowBlank="1" showInputMessage="1" showErrorMessage="1" promptTitle="Constant data" prompt="This data has been deflated using an appropriate deflator_x000a__x000a_" sqref="H71"/>
    <dataValidation type="list" allowBlank="1" showInputMessage="1" showErrorMessage="1" sqref="B9:D9">
      <formula1>authority2</formula1>
    </dataValidation>
  </dataValidations>
  <pageMargins left="0.7" right="0.7" top="0.75" bottom="0.75" header="0.3" footer="0.3"/>
  <pageSetup paperSize="9" orientation="portrait" r:id="rId2"/>
  <ignoredErrors>
    <ignoredError sqref="I23:I25 J25 L25" evalError="1"/>
  </ignoredErrors>
  <drawing r:id="rId3"/>
  <legacyDrawing r:id="rId4"/>
  <mc:AlternateContent xmlns:mc="http://schemas.openxmlformats.org/markup-compatibility/2006">
    <mc:Choice Requires="x14">
      <controls>
        <mc:AlternateContent xmlns:mc="http://schemas.openxmlformats.org/markup-compatibility/2006">
          <mc:Choice Requires="x14">
            <control shapeId="12289" r:id="rId5" name="Check Box 1">
              <controlPr defaultSize="0" autoFill="0" autoLine="0" autoPict="0">
                <anchor moveWithCells="1">
                  <from>
                    <xdr:col>0</xdr:col>
                    <xdr:colOff>600075</xdr:colOff>
                    <xdr:row>17</xdr:row>
                    <xdr:rowOff>219075</xdr:rowOff>
                  </from>
                  <to>
                    <xdr:col>1</xdr:col>
                    <xdr:colOff>1123950</xdr:colOff>
                    <xdr:row>18</xdr:row>
                    <xdr:rowOff>209550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2:W151"/>
  <sheetViews>
    <sheetView showGridLines="0" showRowColHeaders="0" topLeftCell="A91" zoomScale="60" zoomScaleNormal="60" workbookViewId="0">
      <selection activeCell="I107" sqref="I107"/>
    </sheetView>
  </sheetViews>
  <sheetFormatPr defaultRowHeight="15" x14ac:dyDescent="0.25"/>
  <cols>
    <col min="2" max="2" width="12" bestFit="1" customWidth="1"/>
    <col min="3" max="3" width="13" bestFit="1" customWidth="1"/>
    <col min="4" max="4" width="10.42578125" customWidth="1"/>
    <col min="5" max="5" width="20.140625" customWidth="1"/>
    <col min="6" max="6" width="25.85546875" customWidth="1"/>
    <col min="7" max="7" width="42.28515625" customWidth="1"/>
    <col min="8" max="8" width="14.7109375" customWidth="1"/>
    <col min="9" max="9" width="25.42578125" customWidth="1"/>
    <col min="10" max="10" width="15.140625" customWidth="1"/>
    <col min="11" max="11" width="21.28515625" customWidth="1"/>
    <col min="12" max="12" width="11.28515625" customWidth="1"/>
    <col min="13" max="13" width="26.28515625" customWidth="1"/>
    <col min="14" max="14" width="16.28515625" customWidth="1"/>
    <col min="15" max="15" width="26.28515625" bestFit="1" customWidth="1"/>
    <col min="16" max="16" width="16.28515625" bestFit="1" customWidth="1"/>
    <col min="17" max="17" width="22.5703125" bestFit="1" customWidth="1"/>
    <col min="18" max="18" width="21.28515625" bestFit="1" customWidth="1"/>
    <col min="19" max="19" width="22.28515625" bestFit="1" customWidth="1"/>
  </cols>
  <sheetData>
    <row r="2" spans="1:23" x14ac:dyDescent="0.25">
      <c r="B2" s="225">
        <f>E25+G25</f>
        <v>40937972.477849998</v>
      </c>
    </row>
    <row r="4" spans="1:23" ht="59.25" x14ac:dyDescent="0.75">
      <c r="D4" s="4" t="s">
        <v>129</v>
      </c>
    </row>
    <row r="5" spans="1:23" ht="59.25" x14ac:dyDescent="0.75">
      <c r="D5" s="4"/>
    </row>
    <row r="6" spans="1:23" ht="18" customHeight="1" x14ac:dyDescent="0.25"/>
    <row r="8" spans="1:23" x14ac:dyDescent="0.25">
      <c r="A8" s="1395">
        <v>29975525</v>
      </c>
      <c r="B8" s="1395">
        <v>32092219</v>
      </c>
      <c r="C8" s="1395">
        <v>34243625</v>
      </c>
      <c r="D8" s="1395">
        <v>36510927</v>
      </c>
      <c r="E8" s="1395">
        <v>40937972</v>
      </c>
      <c r="F8" s="8"/>
      <c r="G8" s="8"/>
      <c r="H8" s="8"/>
      <c r="I8" s="8"/>
      <c r="J8" s="8"/>
      <c r="K8" s="8"/>
      <c r="L8" s="8"/>
      <c r="M8" s="8"/>
      <c r="N8" s="8"/>
      <c r="O8" s="8"/>
      <c r="P8" s="8"/>
      <c r="Q8" s="8"/>
      <c r="R8" s="8"/>
      <c r="S8" s="8"/>
      <c r="T8" s="8"/>
      <c r="U8" s="8"/>
      <c r="V8" s="8"/>
      <c r="W8" s="8"/>
    </row>
    <row r="9" spans="1:23" ht="22.5" x14ac:dyDescent="0.3">
      <c r="B9" s="8"/>
      <c r="C9" s="11"/>
      <c r="D9" s="8"/>
      <c r="E9" s="8"/>
      <c r="F9" s="8"/>
      <c r="G9" s="8"/>
      <c r="H9" s="8"/>
      <c r="I9" s="8"/>
      <c r="J9" s="8"/>
      <c r="K9" s="8"/>
      <c r="L9" s="8"/>
      <c r="M9" s="8"/>
      <c r="N9" s="8"/>
      <c r="O9" s="8"/>
      <c r="P9" s="8"/>
      <c r="Q9" s="8"/>
      <c r="R9" s="8"/>
      <c r="S9" s="8"/>
      <c r="T9" s="8"/>
      <c r="U9" s="8"/>
      <c r="V9" s="8"/>
      <c r="W9" s="8"/>
    </row>
    <row r="10" spans="1:23" ht="23.25" thickBot="1" x14ac:dyDescent="0.35">
      <c r="B10" s="8"/>
      <c r="C10" s="11"/>
      <c r="D10" s="1947" t="s">
        <v>134</v>
      </c>
      <c r="E10" s="1947"/>
      <c r="F10" s="1947"/>
      <c r="G10" s="1947"/>
      <c r="H10" s="1947"/>
      <c r="I10" s="1947"/>
      <c r="J10" s="1947"/>
      <c r="K10" s="1947"/>
      <c r="L10" s="1947"/>
      <c r="M10" s="1947"/>
      <c r="N10" s="1947"/>
      <c r="O10" s="1947"/>
      <c r="P10" s="1947"/>
      <c r="Q10" s="1947"/>
      <c r="R10" s="1947"/>
      <c r="S10" s="1947"/>
      <c r="T10" s="8"/>
      <c r="U10" s="8"/>
      <c r="V10" s="8"/>
      <c r="W10" s="8"/>
    </row>
    <row r="11" spans="1:23" ht="22.5" customHeight="1" x14ac:dyDescent="0.3">
      <c r="B11" s="8"/>
      <c r="C11" s="11"/>
      <c r="D11" s="42" t="s">
        <v>1</v>
      </c>
      <c r="E11" s="43" t="s">
        <v>42</v>
      </c>
      <c r="F11" s="43" t="s">
        <v>43</v>
      </c>
      <c r="G11" s="43" t="s">
        <v>44</v>
      </c>
      <c r="H11" s="43" t="s">
        <v>45</v>
      </c>
      <c r="I11" s="43" t="s">
        <v>46</v>
      </c>
      <c r="J11" s="43" t="s">
        <v>47</v>
      </c>
      <c r="K11" s="43" t="s">
        <v>251</v>
      </c>
      <c r="L11" s="43" t="s">
        <v>48</v>
      </c>
      <c r="M11" s="43" t="s">
        <v>49</v>
      </c>
      <c r="N11" s="43" t="s">
        <v>50</v>
      </c>
      <c r="O11" s="43" t="s">
        <v>51</v>
      </c>
      <c r="P11" s="43" t="s">
        <v>52</v>
      </c>
      <c r="Q11" s="43" t="s">
        <v>53</v>
      </c>
      <c r="R11" s="43" t="s">
        <v>54</v>
      </c>
      <c r="S11" s="16" t="s">
        <v>55</v>
      </c>
      <c r="T11" s="8"/>
      <c r="U11" s="8"/>
      <c r="V11" s="8"/>
      <c r="W11" s="8"/>
    </row>
    <row r="12" spans="1:23" ht="22.5" x14ac:dyDescent="0.3">
      <c r="B12" s="8"/>
      <c r="C12" s="11"/>
      <c r="D12" s="17" t="s">
        <v>68</v>
      </c>
      <c r="E12" s="484">
        <v>16062074.593</v>
      </c>
      <c r="F12" s="487">
        <v>590687.15899999999</v>
      </c>
      <c r="G12" s="484" t="s">
        <v>491</v>
      </c>
      <c r="H12" s="486">
        <f t="shared" ref="H12:H17" si="0">E12+F12</f>
        <v>16652761.752</v>
      </c>
      <c r="I12" s="486"/>
      <c r="J12" s="486"/>
      <c r="K12" s="486"/>
      <c r="L12" s="44"/>
      <c r="M12" s="44"/>
      <c r="N12" s="45"/>
      <c r="O12" s="45"/>
      <c r="P12" s="45"/>
      <c r="Q12" s="45"/>
      <c r="R12" s="45"/>
      <c r="S12" s="46"/>
      <c r="T12" s="8"/>
      <c r="U12" s="8"/>
      <c r="V12" s="8"/>
      <c r="W12" s="8"/>
    </row>
    <row r="13" spans="1:23" ht="22.5" x14ac:dyDescent="0.3">
      <c r="B13" s="8"/>
      <c r="C13" s="11"/>
      <c r="D13" s="17" t="s">
        <v>69</v>
      </c>
      <c r="E13" s="484">
        <v>17460154.157000002</v>
      </c>
      <c r="F13" s="487">
        <v>728551.80700000003</v>
      </c>
      <c r="G13" s="484" t="s">
        <v>491</v>
      </c>
      <c r="H13" s="486">
        <f t="shared" si="0"/>
        <v>18188705.964000002</v>
      </c>
      <c r="I13" s="486"/>
      <c r="J13" s="486"/>
      <c r="K13" s="486"/>
      <c r="L13" s="44"/>
      <c r="M13" s="44"/>
      <c r="N13" s="45"/>
      <c r="O13" s="45"/>
      <c r="P13" s="45"/>
      <c r="Q13" s="45"/>
      <c r="R13" s="45"/>
      <c r="S13" s="46"/>
      <c r="T13" s="8"/>
      <c r="U13" s="8"/>
      <c r="V13" s="8"/>
      <c r="W13" s="8"/>
    </row>
    <row r="14" spans="1:23" ht="22.5" x14ac:dyDescent="0.3">
      <c r="B14" s="8"/>
      <c r="C14" s="11"/>
      <c r="D14" s="17" t="s">
        <v>70</v>
      </c>
      <c r="E14" s="484">
        <v>18909441.085999999</v>
      </c>
      <c r="F14" s="487">
        <v>902167.53799999994</v>
      </c>
      <c r="G14" s="484" t="s">
        <v>491</v>
      </c>
      <c r="H14" s="486">
        <f t="shared" si="0"/>
        <v>19811608.623999998</v>
      </c>
      <c r="I14" s="486"/>
      <c r="J14" s="486"/>
      <c r="K14" s="486"/>
      <c r="L14" s="44"/>
      <c r="M14" s="44"/>
      <c r="N14" s="45"/>
      <c r="O14" s="45"/>
      <c r="P14" s="45"/>
      <c r="Q14" s="45"/>
      <c r="R14" s="45"/>
      <c r="S14" s="46"/>
      <c r="T14" s="8"/>
      <c r="U14" s="8"/>
      <c r="V14" s="8"/>
      <c r="W14" s="8"/>
    </row>
    <row r="15" spans="1:23" ht="22.5" x14ac:dyDescent="0.3">
      <c r="B15" s="8"/>
      <c r="C15" s="11"/>
      <c r="D15" s="17" t="s">
        <v>71</v>
      </c>
      <c r="E15" s="484">
        <v>20000589.883000001</v>
      </c>
      <c r="F15" s="487">
        <v>1120235.922</v>
      </c>
      <c r="G15" s="484" t="s">
        <v>491</v>
      </c>
      <c r="H15" s="486">
        <f t="shared" si="0"/>
        <v>21120825.805</v>
      </c>
      <c r="I15" s="486"/>
      <c r="J15" s="486"/>
      <c r="K15" s="486"/>
      <c r="L15" s="44"/>
      <c r="M15" s="44"/>
      <c r="N15" s="45"/>
      <c r="O15" s="45"/>
      <c r="P15" s="45"/>
      <c r="Q15" s="45"/>
      <c r="R15" s="45"/>
      <c r="S15" s="46"/>
      <c r="T15" s="8"/>
      <c r="U15" s="8"/>
      <c r="V15" s="8"/>
      <c r="W15" s="8"/>
    </row>
    <row r="16" spans="1:23" ht="22.5" x14ac:dyDescent="0.3">
      <c r="B16" s="8"/>
      <c r="C16" s="11"/>
      <c r="D16" s="17" t="s">
        <v>72</v>
      </c>
      <c r="E16" s="484">
        <v>20115477.929000001</v>
      </c>
      <c r="F16" s="487">
        <v>1252751.7379999999</v>
      </c>
      <c r="G16" s="484" t="s">
        <v>491</v>
      </c>
      <c r="H16" s="486">
        <f t="shared" si="0"/>
        <v>21368229.667000003</v>
      </c>
      <c r="I16" s="486"/>
      <c r="J16" s="486"/>
      <c r="K16" s="486"/>
      <c r="L16" s="44"/>
      <c r="M16" s="44"/>
      <c r="N16" s="45"/>
      <c r="O16" s="45"/>
      <c r="P16" s="45"/>
      <c r="Q16" s="45"/>
      <c r="R16" s="45"/>
      <c r="S16" s="46"/>
      <c r="T16" s="8"/>
      <c r="U16" s="8"/>
      <c r="V16" s="8"/>
      <c r="W16" s="8"/>
    </row>
    <row r="17" spans="2:23" ht="22.5" x14ac:dyDescent="0.3">
      <c r="B17" s="8"/>
      <c r="C17" s="11"/>
      <c r="D17" s="17" t="s">
        <v>73</v>
      </c>
      <c r="E17" s="484">
        <v>22355269.756999999</v>
      </c>
      <c r="F17" s="487">
        <v>1198549.466</v>
      </c>
      <c r="G17" s="484" t="s">
        <v>491</v>
      </c>
      <c r="H17" s="486">
        <f t="shared" si="0"/>
        <v>23553819.222999997</v>
      </c>
      <c r="I17" s="486"/>
      <c r="J17" s="486"/>
      <c r="K17" s="486"/>
      <c r="L17" s="44"/>
      <c r="M17" s="44"/>
      <c r="N17" s="45"/>
      <c r="O17" s="45"/>
      <c r="P17" s="45"/>
      <c r="Q17" s="45"/>
      <c r="R17" s="45"/>
      <c r="S17" s="46"/>
      <c r="T17" s="8"/>
      <c r="U17" s="8"/>
      <c r="V17" s="8"/>
      <c r="W17" s="8"/>
    </row>
    <row r="18" spans="2:23" ht="22.5" x14ac:dyDescent="0.3">
      <c r="B18" s="8"/>
      <c r="C18" s="11"/>
      <c r="D18" s="17" t="s">
        <v>74</v>
      </c>
      <c r="E18" s="484">
        <v>25618723.30074</v>
      </c>
      <c r="F18" s="487">
        <v>1073683.10451</v>
      </c>
      <c r="G18" s="484">
        <v>30925.008089999999</v>
      </c>
      <c r="H18" s="486">
        <f>E18+F18+G18</f>
        <v>26723331.413339999</v>
      </c>
      <c r="I18" s="486" t="e">
        <f>I11-I8-I1</f>
        <v>#VALUE!</v>
      </c>
      <c r="J18" s="486" t="e">
        <f>J11-J8-J1</f>
        <v>#VALUE!</v>
      </c>
      <c r="K18" s="486" t="e">
        <f>K11-K8-K1</f>
        <v>#VALUE!</v>
      </c>
      <c r="L18" s="44"/>
      <c r="M18" s="44"/>
      <c r="N18" s="45"/>
      <c r="O18" s="45"/>
      <c r="P18" s="45"/>
      <c r="Q18" s="45"/>
      <c r="R18" s="45"/>
      <c r="S18" s="46"/>
      <c r="T18" s="8"/>
      <c r="U18" s="8"/>
      <c r="V18" s="8"/>
      <c r="W18" s="8"/>
    </row>
    <row r="19" spans="2:23" ht="22.5" x14ac:dyDescent="0.3">
      <c r="B19" s="8"/>
      <c r="C19" s="11"/>
      <c r="D19" s="17" t="s">
        <v>75</v>
      </c>
      <c r="E19" s="484">
        <v>27532377.5</v>
      </c>
      <c r="F19" s="487">
        <v>948813.5</v>
      </c>
      <c r="G19" s="484">
        <v>41226</v>
      </c>
      <c r="H19" s="602">
        <f t="shared" ref="H19:H24" si="1">SUM(E19:G19)</f>
        <v>28522417</v>
      </c>
      <c r="I19" s="44"/>
      <c r="J19" s="44"/>
      <c r="K19" s="44"/>
      <c r="L19" s="44"/>
      <c r="M19" s="44"/>
      <c r="N19" s="45"/>
      <c r="O19" s="45"/>
      <c r="P19" s="45"/>
      <c r="Q19" s="45"/>
      <c r="R19" s="45"/>
      <c r="S19" s="46"/>
      <c r="T19" s="8"/>
      <c r="U19" s="8"/>
      <c r="V19" s="8"/>
      <c r="W19" s="8"/>
    </row>
    <row r="20" spans="2:23" ht="22.5" x14ac:dyDescent="0.3">
      <c r="B20" s="8"/>
      <c r="C20" s="11"/>
      <c r="D20" s="17" t="s">
        <v>76</v>
      </c>
      <c r="E20" s="484">
        <v>28597580</v>
      </c>
      <c r="F20" s="487">
        <v>719431</v>
      </c>
      <c r="G20" s="484">
        <v>54201</v>
      </c>
      <c r="H20" s="602">
        <f t="shared" si="1"/>
        <v>29371212</v>
      </c>
      <c r="I20" s="44"/>
      <c r="J20" s="44"/>
      <c r="K20" s="44"/>
      <c r="L20" s="44"/>
      <c r="M20" s="44"/>
      <c r="N20" s="45"/>
      <c r="O20" s="45"/>
      <c r="P20" s="45"/>
      <c r="Q20" s="45"/>
      <c r="R20" s="45"/>
      <c r="S20" s="46"/>
      <c r="T20" s="8"/>
      <c r="U20" s="8"/>
      <c r="V20" s="8"/>
      <c r="W20" s="8"/>
    </row>
    <row r="21" spans="2:23" ht="22.5" x14ac:dyDescent="0.3">
      <c r="B21" s="8"/>
      <c r="C21" s="1085">
        <f>E21+G21</f>
        <v>29975524.70163</v>
      </c>
      <c r="D21" s="17" t="s">
        <v>4</v>
      </c>
      <c r="E21" s="484">
        <v>29889105.70163</v>
      </c>
      <c r="F21" s="487">
        <v>909031.29836999997</v>
      </c>
      <c r="G21" s="487">
        <v>86419</v>
      </c>
      <c r="H21" s="602">
        <f t="shared" si="1"/>
        <v>30884556</v>
      </c>
      <c r="I21" s="44">
        <v>10140836</v>
      </c>
      <c r="J21" s="44">
        <v>3583241</v>
      </c>
      <c r="K21" s="44">
        <v>3067890</v>
      </c>
      <c r="L21" s="44">
        <v>44928720</v>
      </c>
      <c r="M21" s="44">
        <v>44413369</v>
      </c>
      <c r="N21" s="45">
        <v>0.69450000000000001</v>
      </c>
      <c r="O21" s="45">
        <v>0.22570000000000001</v>
      </c>
      <c r="P21" s="45">
        <v>7.9799999999999996E-2</v>
      </c>
      <c r="Q21" s="45">
        <v>0.7026</v>
      </c>
      <c r="R21" s="45">
        <v>0.2283</v>
      </c>
      <c r="S21" s="46">
        <v>6.9099999999999995E-2</v>
      </c>
      <c r="T21" s="8"/>
      <c r="U21" s="8"/>
      <c r="V21" s="8"/>
      <c r="W21" s="8"/>
    </row>
    <row r="22" spans="2:23" ht="22.5" x14ac:dyDescent="0.3">
      <c r="B22" s="8"/>
      <c r="C22" s="1085">
        <f>E22+G22</f>
        <v>32041487.253731035</v>
      </c>
      <c r="D22" s="17" t="s">
        <v>5</v>
      </c>
      <c r="E22" s="484">
        <v>31923704.696791034</v>
      </c>
      <c r="F22" s="488">
        <v>1393760.7426</v>
      </c>
      <c r="G22" s="488">
        <v>117782.55693999999</v>
      </c>
      <c r="H22" s="602">
        <f t="shared" si="1"/>
        <v>33435247.996331036</v>
      </c>
      <c r="I22" s="44">
        <v>11322441</v>
      </c>
      <c r="J22" s="44">
        <v>3462980</v>
      </c>
      <c r="K22" s="44">
        <v>3101044</v>
      </c>
      <c r="L22" s="44">
        <v>48847686</v>
      </c>
      <c r="M22" s="44">
        <v>48485750</v>
      </c>
      <c r="N22" s="45">
        <v>0.69730000000000003</v>
      </c>
      <c r="O22" s="45">
        <v>0.23180000000000001</v>
      </c>
      <c r="P22" s="45">
        <v>7.0900000000000005E-2</v>
      </c>
      <c r="Q22" s="45">
        <v>0.70250000000000001</v>
      </c>
      <c r="R22" s="45">
        <v>0.23350000000000001</v>
      </c>
      <c r="S22" s="46">
        <v>6.4000000000000001E-2</v>
      </c>
      <c r="T22" s="8"/>
      <c r="U22" s="8"/>
      <c r="V22" s="8"/>
      <c r="W22" s="8"/>
    </row>
    <row r="23" spans="2:23" ht="22.5" x14ac:dyDescent="0.3">
      <c r="B23" s="8"/>
      <c r="C23" s="1085">
        <f>E23+G23</f>
        <v>34284052.597619995</v>
      </c>
      <c r="D23" s="17" t="s">
        <v>6</v>
      </c>
      <c r="E23" s="485">
        <v>34145273.229639992</v>
      </c>
      <c r="F23" s="489">
        <v>1592444.8954399999</v>
      </c>
      <c r="G23" s="489">
        <v>138779.36798000001</v>
      </c>
      <c r="H23" s="602">
        <f t="shared" si="1"/>
        <v>35876497.493059993</v>
      </c>
      <c r="I23" s="44">
        <v>11983232</v>
      </c>
      <c r="J23" s="44">
        <v>5853133</v>
      </c>
      <c r="K23" s="44">
        <v>3172464</v>
      </c>
      <c r="L23" s="44">
        <v>54651102</v>
      </c>
      <c r="M23" s="44">
        <v>51970432</v>
      </c>
      <c r="N23" s="45">
        <v>0.67359999999999998</v>
      </c>
      <c r="O23" s="45">
        <v>0.21929999999999999</v>
      </c>
      <c r="P23" s="45">
        <v>0.1071</v>
      </c>
      <c r="Q23" s="45">
        <v>0.70840000000000003</v>
      </c>
      <c r="R23" s="45">
        <v>0.2306</v>
      </c>
      <c r="S23" s="46">
        <v>6.0999999999999999E-2</v>
      </c>
      <c r="T23" s="8"/>
      <c r="U23" s="8"/>
      <c r="V23" s="8"/>
      <c r="W23" s="8"/>
    </row>
    <row r="24" spans="2:23" ht="23.25" thickBot="1" x14ac:dyDescent="0.35">
      <c r="B24" s="8"/>
      <c r="C24" s="1085">
        <f>E24+G24</f>
        <v>36510927</v>
      </c>
      <c r="D24" s="18" t="s">
        <v>7</v>
      </c>
      <c r="E24" s="11">
        <v>36360777</v>
      </c>
      <c r="F24" s="490">
        <v>1712024</v>
      </c>
      <c r="G24" s="490">
        <v>150150</v>
      </c>
      <c r="H24" s="602">
        <f t="shared" si="1"/>
        <v>38222951</v>
      </c>
      <c r="I24" s="47">
        <v>12961217</v>
      </c>
      <c r="J24" s="47">
        <v>4528390</v>
      </c>
      <c r="K24" s="47">
        <v>3235668</v>
      </c>
      <c r="L24" s="47">
        <v>56567241</v>
      </c>
      <c r="M24" s="47">
        <v>55274519</v>
      </c>
      <c r="N24" s="48">
        <v>0.69079999999999997</v>
      </c>
      <c r="O24" s="48">
        <v>0.2291</v>
      </c>
      <c r="P24" s="48">
        <v>8.0100000000000005E-2</v>
      </c>
      <c r="Q24" s="48">
        <v>0.70699999999999996</v>
      </c>
      <c r="R24" s="48">
        <v>0.23449999999999999</v>
      </c>
      <c r="S24" s="49">
        <v>5.8500000000000003E-2</v>
      </c>
      <c r="T24" s="8"/>
      <c r="U24" s="8"/>
      <c r="V24" s="8"/>
      <c r="W24" s="8"/>
    </row>
    <row r="25" spans="2:23" ht="22.5" x14ac:dyDescent="0.3">
      <c r="B25" s="8"/>
      <c r="C25" s="1085">
        <f>E25+G25</f>
        <v>40937972.477849998</v>
      </c>
      <c r="D25" s="11" t="s">
        <v>489</v>
      </c>
      <c r="E25" s="601">
        <v>40775049.303849995</v>
      </c>
      <c r="F25" s="569">
        <v>1709917.0605600001</v>
      </c>
      <c r="G25" s="569">
        <v>162923.174</v>
      </c>
      <c r="H25" s="602">
        <f>SUM(E25:G25)</f>
        <v>42647889.538410001</v>
      </c>
      <c r="I25" s="11"/>
      <c r="J25" s="11"/>
      <c r="K25" s="11"/>
      <c r="L25" s="11"/>
      <c r="M25" s="11"/>
      <c r="N25" s="11"/>
      <c r="O25" s="11"/>
      <c r="P25" s="11"/>
      <c r="Q25" s="11"/>
      <c r="R25" s="11"/>
      <c r="S25" s="11"/>
      <c r="T25" s="8"/>
      <c r="U25" s="8"/>
      <c r="V25" s="8"/>
      <c r="W25" s="8"/>
    </row>
    <row r="26" spans="2:23" ht="22.5" x14ac:dyDescent="0.3">
      <c r="B26" s="8"/>
      <c r="C26" s="8"/>
      <c r="D26" s="484"/>
      <c r="E26" s="484"/>
      <c r="F26" s="484"/>
      <c r="G26" s="484"/>
      <c r="H26" s="484"/>
      <c r="I26" s="484"/>
      <c r="J26" s="485"/>
      <c r="K26" s="11"/>
      <c r="L26" s="11"/>
      <c r="M26" s="11"/>
      <c r="N26" s="11"/>
      <c r="O26" s="11"/>
      <c r="P26" s="11"/>
      <c r="Q26" s="11"/>
      <c r="R26" s="11"/>
      <c r="S26" s="11"/>
      <c r="T26" s="8"/>
      <c r="U26" s="8"/>
      <c r="V26" s="8"/>
      <c r="W26" s="8"/>
    </row>
    <row r="27" spans="2:23" ht="22.5" x14ac:dyDescent="0.3">
      <c r="B27" s="8"/>
      <c r="C27" s="8"/>
      <c r="D27" s="11"/>
      <c r="E27" s="487"/>
      <c r="F27" s="487"/>
      <c r="G27" s="487"/>
      <c r="H27" s="487"/>
      <c r="I27" s="488"/>
      <c r="J27" s="489"/>
      <c r="K27" s="490"/>
      <c r="L27" s="11"/>
      <c r="M27" s="11"/>
      <c r="N27" s="11"/>
      <c r="O27" s="11"/>
      <c r="P27" s="11"/>
      <c r="Q27" s="11"/>
      <c r="R27" s="11"/>
      <c r="S27" s="11"/>
      <c r="T27" s="8"/>
      <c r="U27" s="8"/>
      <c r="V27" s="8"/>
      <c r="W27" s="8"/>
    </row>
    <row r="28" spans="2:23" ht="23.25" thickBot="1" x14ac:dyDescent="0.35">
      <c r="B28" s="8"/>
      <c r="C28" s="8"/>
      <c r="D28" s="1947" t="s">
        <v>133</v>
      </c>
      <c r="E28" s="1947"/>
      <c r="F28" s="1947"/>
      <c r="G28" s="1947"/>
      <c r="H28" s="1947"/>
      <c r="I28" s="1947"/>
      <c r="J28" s="1947"/>
      <c r="K28" s="1947"/>
      <c r="L28" s="1947"/>
      <c r="M28" s="1947"/>
      <c r="N28" s="1947"/>
      <c r="O28" s="1947"/>
      <c r="P28" s="1947"/>
      <c r="Q28" s="1947"/>
      <c r="R28" s="1947"/>
      <c r="S28" s="1947"/>
      <c r="T28" s="8"/>
      <c r="U28" s="8"/>
      <c r="V28" s="8"/>
      <c r="W28" s="8"/>
    </row>
    <row r="29" spans="2:23" ht="15" customHeight="1" x14ac:dyDescent="0.3">
      <c r="B29" s="8"/>
      <c r="C29" s="8"/>
      <c r="D29" s="50" t="s">
        <v>1</v>
      </c>
      <c r="E29" s="51" t="s">
        <v>42</v>
      </c>
      <c r="F29" s="51" t="s">
        <v>43</v>
      </c>
      <c r="G29" s="51" t="s">
        <v>44</v>
      </c>
      <c r="H29" s="51" t="s">
        <v>45</v>
      </c>
      <c r="I29" s="51" t="s">
        <v>46</v>
      </c>
      <c r="J29" s="51" t="s">
        <v>47</v>
      </c>
      <c r="K29" s="51" t="s">
        <v>251</v>
      </c>
      <c r="L29" s="51" t="s">
        <v>48</v>
      </c>
      <c r="M29" s="51" t="s">
        <v>49</v>
      </c>
      <c r="N29" s="51" t="s">
        <v>50</v>
      </c>
      <c r="O29" s="51" t="s">
        <v>51</v>
      </c>
      <c r="P29" s="51" t="s">
        <v>52</v>
      </c>
      <c r="Q29" s="51" t="s">
        <v>53</v>
      </c>
      <c r="R29" s="51" t="s">
        <v>54</v>
      </c>
      <c r="S29" s="23" t="s">
        <v>55</v>
      </c>
      <c r="T29" s="8"/>
      <c r="U29" s="8"/>
      <c r="V29" s="8"/>
      <c r="W29" s="8"/>
    </row>
    <row r="30" spans="2:23" ht="22.5" x14ac:dyDescent="0.3">
      <c r="B30" s="8"/>
      <c r="C30" s="11"/>
      <c r="D30" s="17" t="s">
        <v>68</v>
      </c>
      <c r="E30" s="484"/>
      <c r="F30" s="487"/>
      <c r="G30" s="484"/>
      <c r="H30" s="486"/>
      <c r="I30" s="486"/>
      <c r="J30" s="486"/>
      <c r="K30" s="486"/>
      <c r="L30" s="44"/>
      <c r="M30" s="44"/>
      <c r="N30" s="45"/>
      <c r="O30" s="45"/>
      <c r="P30" s="45"/>
      <c r="Q30" s="45"/>
      <c r="R30" s="45"/>
      <c r="S30" s="46"/>
      <c r="T30" s="8"/>
      <c r="U30" s="8"/>
      <c r="V30" s="8"/>
      <c r="W30" s="8"/>
    </row>
    <row r="31" spans="2:23" ht="22.5" x14ac:dyDescent="0.3">
      <c r="B31" s="8"/>
      <c r="C31" s="11"/>
      <c r="D31" s="17" t="s">
        <v>69</v>
      </c>
      <c r="E31" s="484"/>
      <c r="F31" s="487"/>
      <c r="G31" s="484"/>
      <c r="H31" s="486"/>
      <c r="I31" s="1395">
        <v>32603522</v>
      </c>
      <c r="J31" s="1395">
        <v>33853279</v>
      </c>
      <c r="K31" s="1395">
        <v>35464941</v>
      </c>
      <c r="L31" s="1395">
        <v>36968916</v>
      </c>
      <c r="M31" s="1395">
        <v>40937972</v>
      </c>
      <c r="N31" s="45"/>
      <c r="O31" s="45"/>
      <c r="P31" s="45"/>
      <c r="Q31" s="45"/>
      <c r="R31" s="45"/>
      <c r="S31" s="46"/>
      <c r="T31" s="8"/>
      <c r="U31" s="8"/>
      <c r="V31" s="8"/>
      <c r="W31" s="8"/>
    </row>
    <row r="32" spans="2:23" ht="22.5" x14ac:dyDescent="0.3">
      <c r="B32" s="8"/>
      <c r="C32" s="11"/>
      <c r="D32" s="17" t="s">
        <v>70</v>
      </c>
      <c r="E32" s="484"/>
      <c r="F32" s="487"/>
      <c r="G32" s="484"/>
      <c r="H32" s="486"/>
      <c r="I32" s="1395">
        <v>988400</v>
      </c>
      <c r="J32" s="1395">
        <v>1469942</v>
      </c>
      <c r="K32" s="1395">
        <v>1760043</v>
      </c>
      <c r="L32" s="1395">
        <v>1733499</v>
      </c>
      <c r="M32" s="1395">
        <v>1709917</v>
      </c>
      <c r="N32" s="45"/>
      <c r="O32" s="45"/>
      <c r="P32" s="45"/>
      <c r="Q32" s="45"/>
      <c r="R32" s="45"/>
      <c r="S32" s="46"/>
      <c r="T32" s="8"/>
      <c r="U32" s="8"/>
      <c r="V32" s="8"/>
      <c r="W32" s="8"/>
    </row>
    <row r="33" spans="1:23" ht="22.5" x14ac:dyDescent="0.3">
      <c r="B33" s="8"/>
      <c r="C33" s="11"/>
      <c r="D33" s="17" t="s">
        <v>71</v>
      </c>
      <c r="E33" s="484"/>
      <c r="F33" s="487"/>
      <c r="G33" s="484"/>
      <c r="H33" s="486"/>
      <c r="I33" s="486"/>
      <c r="J33" s="486"/>
      <c r="K33" s="486"/>
      <c r="L33" s="44"/>
      <c r="M33" s="44"/>
      <c r="N33" s="45"/>
      <c r="O33" s="45"/>
      <c r="P33" s="45"/>
      <c r="Q33" s="45"/>
      <c r="R33" s="45"/>
      <c r="S33" s="46"/>
      <c r="T33" s="8"/>
      <c r="U33" s="8"/>
      <c r="V33" s="8"/>
      <c r="W33" s="8"/>
    </row>
    <row r="34" spans="1:23" ht="22.5" x14ac:dyDescent="0.3">
      <c r="B34" s="8"/>
      <c r="C34" s="11"/>
      <c r="D34" s="17" t="s">
        <v>72</v>
      </c>
      <c r="E34" s="484"/>
      <c r="F34" s="487"/>
      <c r="G34" s="484"/>
      <c r="H34" s="486"/>
      <c r="I34" s="486"/>
      <c r="J34" s="486"/>
      <c r="K34" s="486"/>
      <c r="L34" s="44"/>
      <c r="M34" s="44"/>
      <c r="N34" s="45"/>
      <c r="O34" s="45"/>
      <c r="P34" s="45"/>
      <c r="Q34" s="45"/>
      <c r="R34" s="45"/>
      <c r="S34" s="46"/>
      <c r="T34" s="8"/>
      <c r="U34" s="8"/>
      <c r="V34" s="8"/>
      <c r="W34" s="8"/>
    </row>
    <row r="35" spans="1:23" ht="22.5" x14ac:dyDescent="0.3">
      <c r="B35" s="8"/>
      <c r="C35" s="11"/>
      <c r="D35" s="17" t="s">
        <v>73</v>
      </c>
      <c r="E35" s="484"/>
      <c r="F35" s="487"/>
      <c r="G35" s="484"/>
      <c r="H35" s="486"/>
      <c r="I35" s="486"/>
      <c r="J35" s="486"/>
      <c r="K35" s="486"/>
      <c r="L35" s="44"/>
      <c r="M35" s="44"/>
      <c r="N35" s="45"/>
      <c r="O35" s="45"/>
      <c r="P35" s="45"/>
      <c r="Q35" s="45"/>
      <c r="R35" s="45"/>
      <c r="S35" s="46"/>
      <c r="T35" s="8"/>
      <c r="U35" s="8"/>
      <c r="V35" s="8"/>
      <c r="W35" s="8"/>
    </row>
    <row r="36" spans="1:23" ht="23.25" thickBot="1" x14ac:dyDescent="0.35">
      <c r="A36" s="11">
        <v>0.82000890608516352</v>
      </c>
      <c r="B36" s="11">
        <v>0.93301957651469847</v>
      </c>
      <c r="C36" s="8"/>
      <c r="D36" s="17" t="s">
        <v>74</v>
      </c>
      <c r="E36" s="31">
        <f t="shared" ref="E36:E41" si="2">E18/A36/0.99</f>
        <v>31557581.986662231</v>
      </c>
      <c r="F36" s="31">
        <f>F18/A36/0.99</f>
        <v>1322581.2309425133</v>
      </c>
      <c r="G36" s="31">
        <f t="shared" ref="G36:G41" si="3">G18/B36/0.99</f>
        <v>33479.878338435708</v>
      </c>
      <c r="H36" s="31">
        <f t="shared" ref="H36:H42" si="4">SUM(E36:G36)</f>
        <v>32913643.095943183</v>
      </c>
      <c r="I36" s="26"/>
      <c r="J36" s="26"/>
      <c r="K36" s="26"/>
      <c r="L36" s="26"/>
      <c r="M36" s="26"/>
      <c r="N36" s="27"/>
      <c r="O36" s="27"/>
      <c r="P36" s="27"/>
      <c r="Q36" s="27"/>
      <c r="R36" s="27"/>
      <c r="S36" s="28"/>
      <c r="T36" s="8"/>
      <c r="U36" s="8"/>
      <c r="V36" s="8"/>
      <c r="W36" s="8"/>
    </row>
    <row r="37" spans="1:23" ht="23.25" thickBot="1" x14ac:dyDescent="0.35">
      <c r="A37" s="11">
        <v>0.85854933495649211</v>
      </c>
      <c r="B37" s="11">
        <v>1.0133233616058415</v>
      </c>
      <c r="C37" s="8"/>
      <c r="D37" s="17" t="s">
        <v>75</v>
      </c>
      <c r="E37" s="31">
        <f t="shared" si="2"/>
        <v>32392410.302946247</v>
      </c>
      <c r="F37" s="31">
        <f>F19/A37/0.99</f>
        <v>1116298.6630186401</v>
      </c>
      <c r="G37" s="31">
        <f t="shared" si="3"/>
        <v>41094.902002883216</v>
      </c>
      <c r="H37" s="31">
        <f t="shared" si="4"/>
        <v>33549803.86796777</v>
      </c>
      <c r="I37" s="26"/>
      <c r="J37" s="26"/>
      <c r="K37" s="26"/>
      <c r="L37" s="26"/>
      <c r="M37" s="26"/>
      <c r="N37" s="27"/>
      <c r="O37" s="27"/>
      <c r="P37" s="27"/>
      <c r="Q37" s="27"/>
      <c r="R37" s="27"/>
      <c r="S37" s="28"/>
      <c r="T37" s="8"/>
      <c r="U37" s="8"/>
      <c r="V37" s="8"/>
      <c r="W37" s="8"/>
    </row>
    <row r="38" spans="1:23" ht="23.25" thickBot="1" x14ac:dyDescent="0.35">
      <c r="A38" s="11">
        <v>0.89374985851557864</v>
      </c>
      <c r="B38" s="11">
        <v>1.0878658630048472</v>
      </c>
      <c r="C38" s="8"/>
      <c r="D38" s="17" t="s">
        <v>76</v>
      </c>
      <c r="E38" s="31">
        <f t="shared" si="2"/>
        <v>32320502.396970097</v>
      </c>
      <c r="F38" s="31">
        <f>F20/A38/0.99</f>
        <v>813088.77744041965</v>
      </c>
      <c r="G38" s="31">
        <f t="shared" si="3"/>
        <v>50326.503211766751</v>
      </c>
      <c r="H38" s="31">
        <f t="shared" si="4"/>
        <v>33183917.677622285</v>
      </c>
      <c r="I38" s="26"/>
      <c r="J38" s="26"/>
      <c r="K38" s="26"/>
      <c r="L38" s="26"/>
      <c r="M38" s="26"/>
      <c r="N38" s="27"/>
      <c r="O38" s="27"/>
      <c r="P38" s="27"/>
      <c r="Q38" s="27"/>
      <c r="R38" s="27"/>
      <c r="S38" s="28"/>
      <c r="T38" s="8"/>
      <c r="U38" s="8"/>
      <c r="V38" s="8"/>
      <c r="W38" s="8"/>
    </row>
    <row r="39" spans="1:23" ht="23.25" thickBot="1" x14ac:dyDescent="0.35">
      <c r="A39" s="11">
        <v>0.92446405985302782</v>
      </c>
      <c r="B39" s="11">
        <v>1.0374918414074443</v>
      </c>
      <c r="C39" s="8"/>
      <c r="D39" s="24" t="s">
        <v>4</v>
      </c>
      <c r="E39" s="31">
        <f t="shared" si="2"/>
        <v>32657857.856618159</v>
      </c>
      <c r="F39" s="31">
        <v>988400</v>
      </c>
      <c r="G39" s="31">
        <f t="shared" si="3"/>
        <v>84137.451214556466</v>
      </c>
      <c r="H39" s="31">
        <f t="shared" si="4"/>
        <v>33730395.307832718</v>
      </c>
      <c r="I39" s="26">
        <v>11802440</v>
      </c>
      <c r="J39" s="26">
        <v>3975415</v>
      </c>
      <c r="K39" s="26">
        <v>3399738</v>
      </c>
      <c r="L39" s="26">
        <v>49512604</v>
      </c>
      <c r="M39" s="26">
        <v>48936926</v>
      </c>
      <c r="N39" s="27">
        <v>0.68130000000000002</v>
      </c>
      <c r="O39" s="27">
        <v>0.2384</v>
      </c>
      <c r="P39" s="27">
        <v>8.0299999999999996E-2</v>
      </c>
      <c r="Q39" s="27">
        <v>0.68940000000000001</v>
      </c>
      <c r="R39" s="27">
        <v>0.2412</v>
      </c>
      <c r="S39" s="28">
        <v>6.9500000000000006E-2</v>
      </c>
      <c r="T39" s="8"/>
      <c r="U39" s="8"/>
    </row>
    <row r="40" spans="1:23" ht="23.25" thickBot="1" x14ac:dyDescent="0.35">
      <c r="A40" s="11">
        <v>0.9517686714348732</v>
      </c>
      <c r="B40" s="11">
        <v>0.95301421777443041</v>
      </c>
      <c r="C40" s="8"/>
      <c r="D40" s="24" t="s">
        <v>5</v>
      </c>
      <c r="E40" s="31">
        <f t="shared" si="2"/>
        <v>33880256.125452325</v>
      </c>
      <c r="F40" s="31">
        <v>1469942</v>
      </c>
      <c r="G40" s="31">
        <f t="shared" si="3"/>
        <v>124837.88543596877</v>
      </c>
      <c r="H40" s="31">
        <f t="shared" si="4"/>
        <v>35475036.010888293</v>
      </c>
      <c r="I40" s="26">
        <v>13041839</v>
      </c>
      <c r="J40" s="26">
        <v>3646986</v>
      </c>
      <c r="K40" s="26">
        <v>3266000</v>
      </c>
      <c r="L40" s="26">
        <v>52430969</v>
      </c>
      <c r="M40" s="26">
        <v>52049984</v>
      </c>
      <c r="N40" s="27">
        <v>0.68169999999999997</v>
      </c>
      <c r="O40" s="27">
        <v>0.2487</v>
      </c>
      <c r="P40" s="27">
        <v>6.9599999999999995E-2</v>
      </c>
      <c r="Q40" s="27">
        <v>0.68669999999999998</v>
      </c>
      <c r="R40" s="27">
        <v>0.25059999999999999</v>
      </c>
      <c r="S40" s="28">
        <v>6.2700000000000006E-2</v>
      </c>
      <c r="T40" s="8"/>
      <c r="U40" s="8"/>
    </row>
    <row r="41" spans="1:23" ht="23.25" thickBot="1" x14ac:dyDescent="0.35">
      <c r="A41" s="11">
        <v>0.97093136095156707</v>
      </c>
      <c r="B41" s="11">
        <v>0.92480567620738297</v>
      </c>
      <c r="C41" s="8"/>
      <c r="D41" s="24" t="s">
        <v>6</v>
      </c>
      <c r="E41" s="31">
        <f t="shared" si="2"/>
        <v>35522773.665104441</v>
      </c>
      <c r="F41" s="31">
        <v>1760043</v>
      </c>
      <c r="G41" s="31">
        <f t="shared" si="3"/>
        <v>151579.06507738915</v>
      </c>
      <c r="H41" s="31">
        <f t="shared" si="4"/>
        <v>37434395.730181828</v>
      </c>
      <c r="I41" s="26">
        <v>12365473</v>
      </c>
      <c r="J41" s="26">
        <v>6002137</v>
      </c>
      <c r="K41" s="26">
        <v>3254864</v>
      </c>
      <c r="L41" s="26">
        <v>56320947</v>
      </c>
      <c r="M41" s="26">
        <v>53573674</v>
      </c>
      <c r="N41" s="27">
        <v>0.67390000000000005</v>
      </c>
      <c r="O41" s="27">
        <v>0.21959999999999999</v>
      </c>
      <c r="P41" s="27">
        <v>0.1066</v>
      </c>
      <c r="Q41" s="27">
        <v>0.70840000000000003</v>
      </c>
      <c r="R41" s="27">
        <v>0.23080000000000001</v>
      </c>
      <c r="S41" s="28">
        <v>6.08E-2</v>
      </c>
      <c r="T41" s="8"/>
      <c r="U41" s="8"/>
    </row>
    <row r="42" spans="1:23" ht="23.25" thickBot="1" x14ac:dyDescent="0.35">
      <c r="A42" s="11">
        <v>1</v>
      </c>
      <c r="B42" s="11">
        <v>1</v>
      </c>
      <c r="C42" s="52"/>
      <c r="D42" s="29" t="s">
        <v>7</v>
      </c>
      <c r="E42" s="31">
        <f>E24/A42/0.99</f>
        <v>36728057.575757578</v>
      </c>
      <c r="F42" s="1395">
        <v>1733499</v>
      </c>
      <c r="G42" s="31">
        <f>G24/B42/0.99</f>
        <v>151666.66666666666</v>
      </c>
      <c r="H42" s="31">
        <f t="shared" si="4"/>
        <v>38613223.242424242</v>
      </c>
      <c r="I42" s="31">
        <v>13150413</v>
      </c>
      <c r="J42" s="31">
        <v>4528390</v>
      </c>
      <c r="K42" s="31">
        <v>3235668</v>
      </c>
      <c r="L42" s="31">
        <v>56756437</v>
      </c>
      <c r="M42" s="31">
        <v>55463715</v>
      </c>
      <c r="N42" s="32">
        <v>0.6885</v>
      </c>
      <c r="O42" s="32">
        <v>0.23169999999999999</v>
      </c>
      <c r="P42" s="32">
        <v>7.9799999999999996E-2</v>
      </c>
      <c r="Q42" s="32">
        <v>0.7046</v>
      </c>
      <c r="R42" s="32">
        <v>0.23710000000000001</v>
      </c>
      <c r="S42" s="33">
        <v>5.8299999999999998E-2</v>
      </c>
      <c r="T42" s="8"/>
      <c r="U42" s="8"/>
    </row>
    <row r="43" spans="1:23" ht="23.25" thickBot="1" x14ac:dyDescent="0.35">
      <c r="A43" s="5"/>
      <c r="B43" s="52"/>
      <c r="C43" s="52"/>
      <c r="D43" s="11" t="s">
        <v>489</v>
      </c>
      <c r="E43" s="602">
        <f>E25</f>
        <v>40775049.303849995</v>
      </c>
      <c r="F43" s="602">
        <f>F25</f>
        <v>1709917.0605600001</v>
      </c>
      <c r="G43" s="602">
        <f>G25</f>
        <v>162923.174</v>
      </c>
      <c r="H43" s="31">
        <f>SUM(E43:G43)</f>
        <v>42647889.538410001</v>
      </c>
      <c r="I43" s="11"/>
      <c r="J43" s="11"/>
      <c r="K43" s="11"/>
      <c r="L43" s="11"/>
      <c r="M43" s="11"/>
      <c r="N43" s="11"/>
      <c r="O43" s="11"/>
      <c r="P43" s="11"/>
      <c r="Q43" s="11"/>
      <c r="R43" s="11"/>
      <c r="S43" s="11"/>
      <c r="T43" s="8"/>
      <c r="U43" s="8"/>
    </row>
    <row r="44" spans="1:23" ht="23.25" thickBot="1" x14ac:dyDescent="0.35">
      <c r="B44" s="8"/>
      <c r="C44" s="8"/>
      <c r="D44" s="11"/>
      <c r="E44" s="11"/>
      <c r="F44" s="11"/>
      <c r="G44" s="11"/>
      <c r="H44" s="11"/>
      <c r="I44" s="11"/>
      <c r="J44" s="11"/>
      <c r="K44" s="11"/>
      <c r="L44" s="11"/>
      <c r="M44" s="11"/>
      <c r="N44" s="11"/>
      <c r="O44" s="11"/>
      <c r="P44" s="11"/>
      <c r="Q44" s="11"/>
      <c r="R44" s="11"/>
      <c r="S44" s="11"/>
      <c r="T44" s="8"/>
      <c r="U44" s="8"/>
    </row>
    <row r="45" spans="1:23" ht="23.25" x14ac:dyDescent="0.35">
      <c r="A45" s="1396">
        <v>6438776</v>
      </c>
      <c r="B45" s="1396">
        <v>6996578</v>
      </c>
      <c r="C45" s="1396">
        <v>7658575</v>
      </c>
      <c r="D45" s="1396">
        <v>6784016</v>
      </c>
      <c r="E45" s="1396">
        <v>2183240</v>
      </c>
      <c r="F45" s="11"/>
      <c r="G45" s="11"/>
      <c r="H45" s="11"/>
      <c r="I45" s="11"/>
      <c r="J45" s="11"/>
      <c r="K45" s="11"/>
      <c r="L45" s="11"/>
      <c r="M45" s="11"/>
      <c r="N45" s="11"/>
      <c r="O45" s="11"/>
      <c r="P45" s="10"/>
      <c r="Q45" s="10"/>
      <c r="R45" s="10" t="s">
        <v>246</v>
      </c>
      <c r="S45" s="10"/>
    </row>
    <row r="46" spans="1:23" ht="24" thickBot="1" x14ac:dyDescent="0.4">
      <c r="D46" s="1947" t="s">
        <v>130</v>
      </c>
      <c r="E46" s="1947"/>
      <c r="F46" s="1947"/>
      <c r="G46" s="1947"/>
      <c r="H46" s="1947"/>
      <c r="I46" s="1947"/>
      <c r="J46" s="1947"/>
      <c r="K46" s="1947"/>
      <c r="L46" s="1947"/>
      <c r="M46" s="1947"/>
      <c r="N46" s="1947"/>
      <c r="O46" s="1947"/>
      <c r="P46" s="10"/>
      <c r="Q46" s="10"/>
      <c r="R46" s="10" t="s">
        <v>247</v>
      </c>
      <c r="S46" s="10"/>
    </row>
    <row r="47" spans="1:23" ht="68.25" x14ac:dyDescent="0.35">
      <c r="D47" s="21" t="s">
        <v>1</v>
      </c>
      <c r="E47" s="51" t="s">
        <v>42</v>
      </c>
      <c r="F47" s="51" t="s">
        <v>43</v>
      </c>
      <c r="G47" s="51" t="s">
        <v>44</v>
      </c>
      <c r="H47" s="51" t="s">
        <v>58</v>
      </c>
      <c r="I47" s="51" t="s">
        <v>60</v>
      </c>
      <c r="J47" s="51" t="s">
        <v>59</v>
      </c>
      <c r="K47" s="51" t="s">
        <v>263</v>
      </c>
      <c r="L47" s="51" t="s">
        <v>61</v>
      </c>
      <c r="M47" s="22" t="s">
        <v>50</v>
      </c>
      <c r="N47" s="22" t="s">
        <v>52</v>
      </c>
      <c r="O47" s="23" t="s">
        <v>51</v>
      </c>
      <c r="P47" s="51"/>
      <c r="Q47" s="10"/>
      <c r="R47" s="10" t="s">
        <v>248</v>
      </c>
      <c r="S47" s="10"/>
    </row>
    <row r="48" spans="1:23" ht="23.25" x14ac:dyDescent="0.35">
      <c r="B48" s="8"/>
      <c r="C48" s="11"/>
      <c r="D48" s="17" t="s">
        <v>68</v>
      </c>
      <c r="E48" s="484"/>
      <c r="F48" s="487"/>
      <c r="G48" s="484"/>
      <c r="H48" s="486"/>
      <c r="I48" s="486"/>
      <c r="J48" s="486"/>
      <c r="K48" s="486"/>
      <c r="L48" s="44"/>
      <c r="M48" s="44"/>
      <c r="N48" s="45"/>
      <c r="O48" s="45"/>
      <c r="P48" s="45"/>
      <c r="Q48" s="45"/>
      <c r="R48" s="10" t="s">
        <v>48</v>
      </c>
      <c r="S48" s="46"/>
    </row>
    <row r="49" spans="1:19" ht="23.25" x14ac:dyDescent="0.35">
      <c r="B49" s="8"/>
      <c r="C49" s="11"/>
      <c r="D49" s="17" t="s">
        <v>69</v>
      </c>
      <c r="E49" s="484"/>
      <c r="F49" s="487"/>
      <c r="G49" s="484"/>
      <c r="H49" s="486"/>
      <c r="I49" s="486"/>
      <c r="J49" s="486"/>
      <c r="K49" s="486"/>
      <c r="L49" s="44"/>
      <c r="M49" s="44"/>
      <c r="N49" s="45"/>
      <c r="O49" s="45"/>
      <c r="P49" s="45"/>
      <c r="Q49" s="45"/>
      <c r="R49" s="10"/>
      <c r="S49" s="46"/>
    </row>
    <row r="50" spans="1:19" ht="23.25" x14ac:dyDescent="0.35">
      <c r="B50" s="8"/>
      <c r="C50" s="11"/>
      <c r="D50" s="17" t="s">
        <v>70</v>
      </c>
      <c r="E50" s="484"/>
      <c r="F50" s="487"/>
      <c r="G50" s="484"/>
      <c r="H50" s="486"/>
      <c r="I50" s="486"/>
      <c r="J50" s="486"/>
      <c r="K50" s="486"/>
      <c r="L50" s="44"/>
      <c r="M50" s="44"/>
      <c r="N50" s="45"/>
      <c r="O50" s="45"/>
      <c r="P50" s="45"/>
      <c r="Q50" s="45"/>
      <c r="R50" s="10" t="s">
        <v>249</v>
      </c>
      <c r="S50" s="46"/>
    </row>
    <row r="51" spans="1:19" ht="23.25" x14ac:dyDescent="0.35">
      <c r="B51" s="8"/>
      <c r="C51" s="11"/>
      <c r="D51" s="17" t="s">
        <v>71</v>
      </c>
      <c r="E51" s="484"/>
      <c r="F51" s="487"/>
      <c r="G51" s="484"/>
      <c r="H51" s="486"/>
      <c r="I51" s="486"/>
      <c r="J51" s="486"/>
      <c r="K51" s="486"/>
      <c r="L51" s="44"/>
      <c r="M51" s="44"/>
      <c r="N51" s="45"/>
      <c r="O51" s="45"/>
      <c r="P51" s="45"/>
      <c r="Q51" s="45"/>
      <c r="R51" s="10" t="s">
        <v>250</v>
      </c>
      <c r="S51" s="46"/>
    </row>
    <row r="52" spans="1:19" ht="23.25" x14ac:dyDescent="0.35">
      <c r="B52" s="8"/>
      <c r="C52" s="11"/>
      <c r="D52" s="17" t="s">
        <v>72</v>
      </c>
      <c r="E52" s="484"/>
      <c r="F52" s="487"/>
      <c r="G52" s="484"/>
      <c r="H52" s="486"/>
      <c r="I52" s="486"/>
      <c r="J52" s="486"/>
      <c r="K52" s="486"/>
      <c r="L52" s="44"/>
      <c r="M52" s="44"/>
      <c r="N52" s="45"/>
      <c r="O52" s="45"/>
      <c r="P52" s="45"/>
      <c r="Q52" s="45"/>
      <c r="R52" s="10"/>
      <c r="S52" s="46"/>
    </row>
    <row r="53" spans="1:19" ht="23.25" x14ac:dyDescent="0.35">
      <c r="B53" s="8"/>
      <c r="C53" s="11"/>
      <c r="D53" s="17" t="s">
        <v>73</v>
      </c>
      <c r="E53" s="484"/>
      <c r="F53" s="487"/>
      <c r="G53" s="484"/>
      <c r="H53" s="486"/>
      <c r="I53" s="486"/>
      <c r="J53" s="486"/>
      <c r="K53" s="486"/>
      <c r="L53" s="44"/>
      <c r="M53" s="44"/>
      <c r="N53" s="45"/>
      <c r="O53" s="45"/>
      <c r="P53" s="45"/>
      <c r="Q53" s="45"/>
      <c r="R53" s="10"/>
      <c r="S53" s="46"/>
    </row>
    <row r="54" spans="1:19" ht="23.25" x14ac:dyDescent="0.35">
      <c r="D54" s="17" t="s">
        <v>74</v>
      </c>
      <c r="E54" s="481">
        <v>5394202.6534299999</v>
      </c>
      <c r="F54" s="480">
        <v>280105.34421999997</v>
      </c>
      <c r="G54" s="482">
        <v>88067.509760000015</v>
      </c>
      <c r="H54" s="483">
        <f>SUM(E54:G54)</f>
        <v>5762375.5074100001</v>
      </c>
      <c r="I54" s="26"/>
      <c r="J54" s="26"/>
      <c r="K54" s="25"/>
      <c r="L54" s="26"/>
      <c r="M54" s="27"/>
      <c r="N54" s="27"/>
      <c r="O54" s="28"/>
      <c r="P54" s="25"/>
      <c r="Q54" s="10"/>
      <c r="R54" s="10"/>
      <c r="S54" s="10"/>
    </row>
    <row r="55" spans="1:19" ht="23.25" x14ac:dyDescent="0.35">
      <c r="D55" s="17" t="s">
        <v>75</v>
      </c>
      <c r="E55" s="481">
        <v>6038688.8149999995</v>
      </c>
      <c r="F55" s="480">
        <v>273434</v>
      </c>
      <c r="G55" s="482">
        <v>77949</v>
      </c>
      <c r="H55" s="483">
        <f>SUM(E55:G55)</f>
        <v>6390071.8149999995</v>
      </c>
      <c r="I55" s="26"/>
      <c r="J55" s="26"/>
      <c r="K55" s="25"/>
      <c r="L55" s="26"/>
      <c r="M55" s="27"/>
      <c r="N55" s="27"/>
      <c r="O55" s="28"/>
      <c r="P55" s="25"/>
      <c r="Q55" s="10"/>
      <c r="R55" s="10"/>
      <c r="S55" s="10"/>
    </row>
    <row r="56" spans="1:19" ht="23.25" x14ac:dyDescent="0.35">
      <c r="D56" s="17" t="s">
        <v>76</v>
      </c>
      <c r="E56" s="481">
        <v>6251134.125</v>
      </c>
      <c r="F56" s="480">
        <v>241940</v>
      </c>
      <c r="G56" s="482">
        <v>52026</v>
      </c>
      <c r="H56" s="483">
        <f>SUM(E56:G56)</f>
        <v>6545100.125</v>
      </c>
      <c r="I56" s="26"/>
      <c r="J56" s="26"/>
      <c r="K56" s="25"/>
      <c r="L56" s="26"/>
      <c r="M56" s="27"/>
      <c r="N56" s="27"/>
      <c r="O56" s="28"/>
      <c r="P56" s="25"/>
      <c r="Q56" s="10"/>
      <c r="R56" s="10"/>
      <c r="S56" s="10"/>
    </row>
    <row r="57" spans="1:19" ht="23.25" x14ac:dyDescent="0.35">
      <c r="C57" s="438">
        <f>E57+G57</f>
        <v>6438776</v>
      </c>
      <c r="D57" s="24" t="s">
        <v>4</v>
      </c>
      <c r="E57" s="26">
        <v>6396089</v>
      </c>
      <c r="F57" s="26">
        <v>282634</v>
      </c>
      <c r="G57" s="26">
        <v>42687</v>
      </c>
      <c r="H57" s="26">
        <v>6721410</v>
      </c>
      <c r="I57" s="26">
        <v>8330011</v>
      </c>
      <c r="J57" s="26">
        <v>785366</v>
      </c>
      <c r="K57" s="25">
        <v>152</v>
      </c>
      <c r="L57" s="26">
        <v>15836787</v>
      </c>
      <c r="M57" s="27">
        <v>0.4244</v>
      </c>
      <c r="N57" s="27">
        <v>4.9599999999999998E-2</v>
      </c>
      <c r="O57" s="28">
        <v>0.52600000000000002</v>
      </c>
      <c r="P57" s="25"/>
      <c r="Q57" s="10"/>
      <c r="R57" s="10"/>
      <c r="S57" s="10"/>
    </row>
    <row r="58" spans="1:19" ht="23.25" x14ac:dyDescent="0.35">
      <c r="C58" s="438">
        <f>E58+G58</f>
        <v>6996578</v>
      </c>
      <c r="D58" s="24" t="s">
        <v>5</v>
      </c>
      <c r="E58" s="26">
        <v>6973918</v>
      </c>
      <c r="F58" s="26">
        <v>482375</v>
      </c>
      <c r="G58" s="26">
        <v>22660</v>
      </c>
      <c r="H58" s="26">
        <v>7478953</v>
      </c>
      <c r="I58" s="26">
        <v>8949262</v>
      </c>
      <c r="J58" s="26">
        <v>819014</v>
      </c>
      <c r="K58" s="25">
        <v>152</v>
      </c>
      <c r="L58" s="26">
        <v>17247229</v>
      </c>
      <c r="M58" s="27">
        <v>0.43359999999999999</v>
      </c>
      <c r="N58" s="27">
        <v>4.7500000000000001E-2</v>
      </c>
      <c r="O58" s="28">
        <v>0.51890000000000003</v>
      </c>
      <c r="P58" s="25"/>
      <c r="Q58" s="10"/>
      <c r="R58" s="10"/>
      <c r="S58" s="10"/>
    </row>
    <row r="59" spans="1:19" ht="23.25" x14ac:dyDescent="0.35">
      <c r="B59" s="5"/>
      <c r="C59" s="438">
        <f>E59+G59</f>
        <v>7658575</v>
      </c>
      <c r="D59" s="24" t="s">
        <v>6</v>
      </c>
      <c r="E59" s="26">
        <v>7638859</v>
      </c>
      <c r="F59" s="26">
        <v>571766</v>
      </c>
      <c r="G59" s="26">
        <v>19716</v>
      </c>
      <c r="H59" s="26">
        <v>8230341</v>
      </c>
      <c r="I59" s="26">
        <v>10063997</v>
      </c>
      <c r="J59" s="26">
        <v>1287693</v>
      </c>
      <c r="K59" s="25">
        <v>152</v>
      </c>
      <c r="L59" s="26">
        <v>19582031</v>
      </c>
      <c r="M59" s="27">
        <v>0.42030000000000001</v>
      </c>
      <c r="N59" s="27">
        <v>6.5799999999999997E-2</v>
      </c>
      <c r="O59" s="28">
        <v>0.51390000000000002</v>
      </c>
      <c r="P59" s="25"/>
      <c r="Q59" s="10"/>
      <c r="R59" s="10"/>
      <c r="S59" s="10"/>
    </row>
    <row r="60" spans="1:19" ht="24" thickBot="1" x14ac:dyDescent="0.4">
      <c r="A60" s="5"/>
      <c r="C60" s="438">
        <f>E60+G60</f>
        <v>6784016</v>
      </c>
      <c r="D60" s="29" t="s">
        <v>7</v>
      </c>
      <c r="E60" s="31">
        <v>6766939</v>
      </c>
      <c r="F60" s="31">
        <v>391383</v>
      </c>
      <c r="G60" s="31">
        <v>17077</v>
      </c>
      <c r="H60" s="31">
        <v>7175399</v>
      </c>
      <c r="I60" s="31">
        <v>10873838</v>
      </c>
      <c r="J60" s="31">
        <v>833328</v>
      </c>
      <c r="K60" s="30">
        <v>151</v>
      </c>
      <c r="L60" s="31">
        <v>18882565</v>
      </c>
      <c r="M60" s="32">
        <v>0.38</v>
      </c>
      <c r="N60" s="32">
        <v>4.41E-2</v>
      </c>
      <c r="O60" s="33">
        <v>0.57589999999999997</v>
      </c>
      <c r="P60" s="30"/>
      <c r="Q60" s="10"/>
      <c r="R60" s="45"/>
      <c r="S60" s="10"/>
    </row>
    <row r="61" spans="1:19" ht="23.25" x14ac:dyDescent="0.35">
      <c r="C61" s="569">
        <v>2183240.3862099997</v>
      </c>
      <c r="D61" s="11" t="s">
        <v>489</v>
      </c>
      <c r="E61" s="569">
        <f>C61-G61</f>
        <v>2169768.3862099997</v>
      </c>
      <c r="F61" s="569">
        <v>145073.67000000001</v>
      </c>
      <c r="G61" s="601">
        <v>13472</v>
      </c>
      <c r="H61" s="602">
        <f>SUM(E61:G61)</f>
        <v>2328314.0562099996</v>
      </c>
      <c r="I61" s="11">
        <v>0.97093136095156707</v>
      </c>
      <c r="J61" s="11">
        <v>1</v>
      </c>
      <c r="K61" s="11"/>
      <c r="L61" s="11"/>
      <c r="M61" s="11"/>
      <c r="N61" s="11"/>
      <c r="O61" s="11"/>
      <c r="P61" s="10"/>
      <c r="Q61" s="10"/>
      <c r="R61" s="45"/>
      <c r="S61" s="10"/>
    </row>
    <row r="62" spans="1:19" ht="23.25" x14ac:dyDescent="0.35">
      <c r="D62" s="482"/>
      <c r="E62" s="482"/>
      <c r="F62" s="482">
        <f>F59/I61</f>
        <v>588884.05812707229</v>
      </c>
      <c r="G62" s="491">
        <f>G59/I61</f>
        <v>20306.275801697473</v>
      </c>
      <c r="H62" s="11"/>
      <c r="I62" s="11"/>
      <c r="J62" s="11"/>
      <c r="K62" s="11"/>
      <c r="L62" s="11"/>
      <c r="M62" s="11"/>
      <c r="N62" s="11"/>
      <c r="O62" s="11"/>
      <c r="P62" s="10"/>
      <c r="Q62" s="10"/>
      <c r="R62" s="45"/>
      <c r="S62" s="10"/>
    </row>
    <row r="63" spans="1:19" ht="24" thickBot="1" x14ac:dyDescent="0.4">
      <c r="D63" s="11"/>
      <c r="E63" s="11"/>
      <c r="F63" s="11"/>
      <c r="G63" s="11"/>
      <c r="H63" s="11"/>
      <c r="I63" s="11"/>
      <c r="J63" s="11"/>
      <c r="K63" s="11"/>
      <c r="L63" s="11"/>
      <c r="M63" s="11"/>
      <c r="N63" s="11"/>
      <c r="O63" s="11"/>
      <c r="P63" s="10"/>
      <c r="Q63" s="10"/>
      <c r="R63" s="45"/>
      <c r="S63" s="10"/>
    </row>
    <row r="64" spans="1:19" ht="24" thickBot="1" x14ac:dyDescent="0.4">
      <c r="D64" s="1947" t="s">
        <v>137</v>
      </c>
      <c r="E64" s="1947"/>
      <c r="F64" s="1947"/>
      <c r="G64" s="1947"/>
      <c r="H64" s="1947"/>
      <c r="I64" s="1947"/>
      <c r="J64" s="1947"/>
      <c r="K64" s="1947"/>
      <c r="L64" s="1947"/>
      <c r="M64" s="1947"/>
      <c r="N64" s="1947"/>
      <c r="O64" s="1947"/>
      <c r="P64" s="51"/>
      <c r="Q64" s="10"/>
      <c r="R64" s="45"/>
      <c r="S64" s="10"/>
    </row>
    <row r="65" spans="1:23" ht="68.25" x14ac:dyDescent="0.35">
      <c r="D65" s="21" t="s">
        <v>1</v>
      </c>
      <c r="E65" s="51" t="s">
        <v>42</v>
      </c>
      <c r="F65" s="51" t="s">
        <v>43</v>
      </c>
      <c r="G65" s="51" t="s">
        <v>44</v>
      </c>
      <c r="H65" s="51" t="s">
        <v>58</v>
      </c>
      <c r="I65" s="51" t="s">
        <v>60</v>
      </c>
      <c r="J65" s="22" t="s">
        <v>59</v>
      </c>
      <c r="K65" s="51" t="s">
        <v>263</v>
      </c>
      <c r="L65" s="22" t="s">
        <v>61</v>
      </c>
      <c r="M65" s="22" t="s">
        <v>50</v>
      </c>
      <c r="N65" s="22" t="s">
        <v>52</v>
      </c>
      <c r="O65" s="23" t="s">
        <v>51</v>
      </c>
      <c r="P65" s="25"/>
      <c r="Q65" s="10"/>
      <c r="R65" s="45"/>
      <c r="S65" s="10"/>
    </row>
    <row r="66" spans="1:23" ht="23.25" x14ac:dyDescent="0.35">
      <c r="B66" s="8"/>
      <c r="C66" s="11"/>
      <c r="D66" s="17" t="s">
        <v>68</v>
      </c>
      <c r="E66" s="484"/>
      <c r="F66" s="487"/>
      <c r="G66" s="484"/>
      <c r="H66" s="486"/>
      <c r="I66" s="486"/>
      <c r="J66" s="486"/>
      <c r="K66" s="486"/>
      <c r="L66" s="44"/>
      <c r="M66" s="44"/>
      <c r="N66" s="45"/>
      <c r="O66" s="45"/>
      <c r="P66" s="45"/>
      <c r="Q66" s="45"/>
      <c r="R66" s="10"/>
      <c r="S66" s="46"/>
      <c r="T66" s="8"/>
      <c r="U66" s="8"/>
      <c r="V66" s="8"/>
      <c r="W66" s="8"/>
    </row>
    <row r="67" spans="1:23" ht="23.25" x14ac:dyDescent="0.35">
      <c r="B67" s="8"/>
      <c r="C67" s="11"/>
      <c r="D67" s="17" t="s">
        <v>69</v>
      </c>
      <c r="E67" s="484"/>
      <c r="F67" s="487"/>
      <c r="G67" s="484"/>
      <c r="H67" s="486"/>
      <c r="I67" s="486"/>
      <c r="J67" s="486"/>
      <c r="K67" s="486"/>
      <c r="L67" s="44"/>
      <c r="M67" s="44"/>
      <c r="N67" s="45"/>
      <c r="O67" s="45"/>
      <c r="P67" s="45"/>
      <c r="Q67" s="45"/>
      <c r="R67" s="10"/>
      <c r="S67" s="46"/>
      <c r="T67" s="8"/>
      <c r="U67" s="8"/>
      <c r="V67" s="8"/>
      <c r="W67" s="8"/>
    </row>
    <row r="68" spans="1:23" ht="23.25" x14ac:dyDescent="0.35">
      <c r="B68" s="8"/>
      <c r="C68" s="11"/>
      <c r="D68" s="17" t="s">
        <v>70</v>
      </c>
      <c r="E68" s="484"/>
      <c r="F68" s="487"/>
      <c r="G68" s="484"/>
      <c r="H68" s="486"/>
      <c r="I68" s="486"/>
      <c r="J68" s="486"/>
      <c r="K68" s="486"/>
      <c r="L68" s="44"/>
      <c r="M68" s="44"/>
      <c r="N68" s="45"/>
      <c r="O68" s="45"/>
      <c r="P68" s="45"/>
      <c r="Q68" s="45"/>
      <c r="R68" s="10"/>
      <c r="S68" s="46"/>
      <c r="T68" s="8"/>
      <c r="U68" s="8"/>
      <c r="V68" s="8"/>
      <c r="W68" s="8"/>
    </row>
    <row r="69" spans="1:23" ht="23.25" x14ac:dyDescent="0.35">
      <c r="B69" s="8"/>
      <c r="C69" s="11"/>
      <c r="D69" s="17" t="s">
        <v>71</v>
      </c>
      <c r="E69" s="484"/>
      <c r="F69" s="487"/>
      <c r="G69" s="484"/>
      <c r="H69" s="486"/>
      <c r="I69" s="486"/>
      <c r="J69" s="486"/>
      <c r="K69" s="486"/>
      <c r="L69" s="44"/>
      <c r="M69" s="44"/>
      <c r="N69" s="45"/>
      <c r="O69" s="45"/>
      <c r="P69" s="45"/>
      <c r="Q69" s="45"/>
      <c r="R69" s="10"/>
      <c r="S69" s="46"/>
      <c r="T69" s="8"/>
      <c r="U69" s="8"/>
      <c r="V69" s="8"/>
      <c r="W69" s="8"/>
    </row>
    <row r="70" spans="1:23" ht="23.25" x14ac:dyDescent="0.35">
      <c r="B70" s="8"/>
      <c r="C70" s="11"/>
      <c r="D70" s="17" t="s">
        <v>72</v>
      </c>
      <c r="E70" s="484"/>
      <c r="F70" s="487"/>
      <c r="G70" s="484"/>
      <c r="H70" s="486"/>
      <c r="I70" s="486"/>
      <c r="J70" s="486"/>
      <c r="K70" s="486"/>
      <c r="L70" s="44"/>
      <c r="M70" s="44"/>
      <c r="N70" s="45"/>
      <c r="O70" s="45"/>
      <c r="P70" s="45"/>
      <c r="Q70" s="45"/>
      <c r="R70" s="10"/>
      <c r="S70" s="46"/>
      <c r="T70" s="8"/>
      <c r="U70" s="8"/>
      <c r="V70" s="8"/>
      <c r="W70" s="8"/>
    </row>
    <row r="71" spans="1:23" ht="23.25" x14ac:dyDescent="0.35">
      <c r="B71" s="8"/>
      <c r="C71" s="11"/>
      <c r="D71" s="17" t="s">
        <v>73</v>
      </c>
      <c r="E71" s="484"/>
      <c r="F71" s="487"/>
      <c r="G71" s="484"/>
      <c r="H71" s="486"/>
      <c r="I71" s="486"/>
      <c r="J71" s="486"/>
      <c r="K71" s="486"/>
      <c r="L71" s="44"/>
      <c r="M71" s="44"/>
      <c r="N71" s="45"/>
      <c r="O71" s="45"/>
      <c r="P71" s="45"/>
      <c r="Q71" s="45"/>
      <c r="R71" s="10"/>
      <c r="S71" s="46"/>
      <c r="T71" s="8"/>
      <c r="U71" s="8"/>
      <c r="V71" s="8"/>
      <c r="W71" s="8"/>
    </row>
    <row r="72" spans="1:23" ht="24" thickBot="1" x14ac:dyDescent="0.4">
      <c r="A72" s="11">
        <v>0.82000890608516352</v>
      </c>
      <c r="B72" s="11">
        <v>0.93301957651469847</v>
      </c>
      <c r="D72" s="17" t="s">
        <v>74</v>
      </c>
      <c r="E72" s="31">
        <f t="shared" ref="E72:E77" si="5">E54/A72/0.99</f>
        <v>6644671.1840387117</v>
      </c>
      <c r="F72" s="26">
        <f>F54/B72</f>
        <v>300213.79108285764</v>
      </c>
      <c r="G72" s="31">
        <f t="shared" ref="G72:G77" si="6">G54/A72/0.99</f>
        <v>108483.06634905962</v>
      </c>
      <c r="H72" s="602">
        <f t="shared" ref="H72:H78" si="7">SUM(E72:G72)</f>
        <v>7053368.0414706282</v>
      </c>
      <c r="I72" s="26"/>
      <c r="J72" s="26"/>
      <c r="K72" s="25"/>
      <c r="L72" s="26"/>
      <c r="M72" s="27"/>
      <c r="N72" s="27"/>
      <c r="O72" s="28"/>
      <c r="P72" s="25"/>
      <c r="Q72" s="10"/>
      <c r="R72" s="10"/>
      <c r="S72" s="10"/>
    </row>
    <row r="73" spans="1:23" ht="24" thickBot="1" x14ac:dyDescent="0.4">
      <c r="A73" s="11">
        <v>0.85854933495649211</v>
      </c>
      <c r="B73" s="11">
        <v>1.0133233616058415</v>
      </c>
      <c r="D73" s="17" t="s">
        <v>75</v>
      </c>
      <c r="E73" s="31">
        <f t="shared" si="5"/>
        <v>7104642.0087510515</v>
      </c>
      <c r="F73" s="26">
        <f>F55/B73</f>
        <v>269838.83956517256</v>
      </c>
      <c r="G73" s="31">
        <f t="shared" si="6"/>
        <v>91708.607101016139</v>
      </c>
      <c r="H73" s="602">
        <f t="shared" si="7"/>
        <v>7466189.45541724</v>
      </c>
      <c r="I73" s="26"/>
      <c r="J73" s="26"/>
      <c r="K73" s="25"/>
      <c r="L73" s="26"/>
      <c r="M73" s="27"/>
      <c r="N73" s="27"/>
      <c r="O73" s="28"/>
      <c r="P73" s="25"/>
      <c r="Q73" s="10"/>
      <c r="R73" s="10"/>
      <c r="S73" s="10"/>
    </row>
    <row r="74" spans="1:23" ht="24" thickBot="1" x14ac:dyDescent="0.4">
      <c r="A74" s="11">
        <v>0.89374985851557864</v>
      </c>
      <c r="B74" s="11">
        <v>1.0878658630048472</v>
      </c>
      <c r="D74" s="17" t="s">
        <v>76</v>
      </c>
      <c r="E74" s="31">
        <f t="shared" si="5"/>
        <v>7064926.3144239504</v>
      </c>
      <c r="F74" s="26">
        <f>F56/B74</f>
        <v>222398.74255427573</v>
      </c>
      <c r="G74" s="31">
        <f t="shared" si="6"/>
        <v>58798.907379742137</v>
      </c>
      <c r="H74" s="602">
        <f t="shared" si="7"/>
        <v>7346123.9643579675</v>
      </c>
      <c r="I74" s="26"/>
      <c r="J74" s="26"/>
      <c r="K74" s="25"/>
      <c r="L74" s="26"/>
      <c r="M74" s="27"/>
      <c r="N74" s="27"/>
      <c r="O74" s="28"/>
      <c r="P74" s="25"/>
      <c r="Q74" s="10"/>
      <c r="R74" s="10"/>
      <c r="S74" s="10"/>
    </row>
    <row r="75" spans="1:23" ht="24" thickBot="1" x14ac:dyDescent="0.4">
      <c r="A75" s="11">
        <v>0.92446405985302782</v>
      </c>
      <c r="B75" s="11">
        <v>1.0374918414074443</v>
      </c>
      <c r="D75" s="24" t="s">
        <v>4</v>
      </c>
      <c r="E75" s="31">
        <f t="shared" si="5"/>
        <v>6988585.3222061293</v>
      </c>
      <c r="F75" s="26">
        <v>305550</v>
      </c>
      <c r="G75" s="31">
        <f t="shared" si="6"/>
        <v>46641.274323889658</v>
      </c>
      <c r="H75" s="602">
        <f t="shared" si="7"/>
        <v>7340776.5965300193</v>
      </c>
      <c r="I75" s="26">
        <v>8861120</v>
      </c>
      <c r="J75" s="26">
        <v>871259</v>
      </c>
      <c r="K75" s="25">
        <v>152</v>
      </c>
      <c r="L75" s="26">
        <v>16998768</v>
      </c>
      <c r="M75" s="27">
        <v>0.42749999999999999</v>
      </c>
      <c r="N75" s="27">
        <v>5.1299999999999998E-2</v>
      </c>
      <c r="O75" s="28">
        <v>0.52129999999999999</v>
      </c>
      <c r="P75" s="25"/>
      <c r="Q75" s="10"/>
      <c r="R75" s="10"/>
      <c r="S75" s="10"/>
    </row>
    <row r="76" spans="1:23" ht="24" thickBot="1" x14ac:dyDescent="0.4">
      <c r="A76" s="11">
        <v>0.9517686714348732</v>
      </c>
      <c r="B76" s="11">
        <v>0.95301421777443041</v>
      </c>
      <c r="D76" s="24" t="s">
        <v>5</v>
      </c>
      <c r="E76" s="31">
        <f t="shared" si="5"/>
        <v>7401337.980101441</v>
      </c>
      <c r="F76" s="26">
        <v>506165</v>
      </c>
      <c r="G76" s="31">
        <f t="shared" si="6"/>
        <v>24048.794182710302</v>
      </c>
      <c r="H76" s="602">
        <f t="shared" si="7"/>
        <v>7931551.7742841514</v>
      </c>
      <c r="I76" s="26">
        <v>9063637</v>
      </c>
      <c r="J76" s="26">
        <v>863252</v>
      </c>
      <c r="K76" s="25">
        <v>152</v>
      </c>
      <c r="L76" s="26">
        <v>17774689</v>
      </c>
      <c r="M76" s="27">
        <v>0.4415</v>
      </c>
      <c r="N76" s="27">
        <v>4.8599999999999997E-2</v>
      </c>
      <c r="O76" s="28">
        <v>0.50990000000000002</v>
      </c>
      <c r="P76" s="25"/>
      <c r="Q76" s="10"/>
      <c r="R76" s="10"/>
      <c r="S76" s="10"/>
    </row>
    <row r="77" spans="1:23" ht="24" thickBot="1" x14ac:dyDescent="0.4">
      <c r="A77" s="11">
        <v>0.97093136095156707</v>
      </c>
      <c r="B77" s="11">
        <v>0.92480567620738297</v>
      </c>
      <c r="D77" s="24" t="s">
        <v>6</v>
      </c>
      <c r="E77" s="31">
        <f t="shared" si="5"/>
        <v>7947028.4947404126</v>
      </c>
      <c r="F77" s="26">
        <v>589449</v>
      </c>
      <c r="G77" s="31">
        <f t="shared" si="6"/>
        <v>20511.389698684317</v>
      </c>
      <c r="H77" s="602">
        <f t="shared" si="7"/>
        <v>8556988.8844390959</v>
      </c>
      <c r="I77" s="26">
        <v>10334325</v>
      </c>
      <c r="J77" s="26">
        <v>1314834</v>
      </c>
      <c r="K77" s="25">
        <v>152</v>
      </c>
      <c r="L77" s="26">
        <v>20134046</v>
      </c>
      <c r="M77" s="27">
        <v>0.4214</v>
      </c>
      <c r="N77" s="27">
        <v>6.5299999999999997E-2</v>
      </c>
      <c r="O77" s="28">
        <v>0.51329999999999998</v>
      </c>
      <c r="P77" s="30"/>
      <c r="Q77" s="10"/>
      <c r="R77" s="10"/>
      <c r="S77" s="10"/>
    </row>
    <row r="78" spans="1:23" ht="24" thickBot="1" x14ac:dyDescent="0.4">
      <c r="A78" s="11">
        <v>1</v>
      </c>
      <c r="B78" s="11">
        <v>1</v>
      </c>
      <c r="D78" s="29" t="s">
        <v>7</v>
      </c>
      <c r="E78" s="31">
        <f>E60/A78/0.99</f>
        <v>6835291.9191919193</v>
      </c>
      <c r="F78" s="31">
        <f>F60/A78/0.99</f>
        <v>395336.36363636365</v>
      </c>
      <c r="G78" s="31">
        <f>G60/A78/0.99</f>
        <v>17249.494949494951</v>
      </c>
      <c r="H78" s="602">
        <f t="shared" si="7"/>
        <v>7247877.7777777771</v>
      </c>
      <c r="I78" s="31">
        <v>10873838</v>
      </c>
      <c r="J78" s="31">
        <v>833328</v>
      </c>
      <c r="K78" s="30">
        <v>151</v>
      </c>
      <c r="L78" s="31">
        <v>18882565</v>
      </c>
      <c r="M78" s="32">
        <v>0.38</v>
      </c>
      <c r="N78" s="32">
        <v>4.41E-2</v>
      </c>
      <c r="O78" s="33">
        <v>0.57589999999999997</v>
      </c>
      <c r="P78" s="10"/>
      <c r="Q78" s="10"/>
      <c r="R78" s="45"/>
      <c r="S78" s="10"/>
    </row>
    <row r="79" spans="1:23" ht="23.25" x14ac:dyDescent="0.35">
      <c r="A79" s="11">
        <v>1</v>
      </c>
      <c r="D79" s="11" t="s">
        <v>489</v>
      </c>
      <c r="E79" s="602">
        <f>E61</f>
        <v>2169768.3862099997</v>
      </c>
      <c r="F79" s="602">
        <f>F61</f>
        <v>145073.67000000001</v>
      </c>
      <c r="G79" s="602">
        <f>G61</f>
        <v>13472</v>
      </c>
      <c r="H79" s="602">
        <f>SUM(E79:G79)</f>
        <v>2328314.0562099996</v>
      </c>
      <c r="I79" s="11"/>
      <c r="J79" s="11"/>
      <c r="K79" s="11"/>
      <c r="L79" s="11"/>
      <c r="M79" s="11"/>
      <c r="N79" s="11"/>
      <c r="O79" s="11"/>
      <c r="P79" s="10"/>
      <c r="Q79" s="10"/>
      <c r="R79" s="45"/>
      <c r="S79" s="10"/>
    </row>
    <row r="80" spans="1:23" ht="23.25" x14ac:dyDescent="0.35">
      <c r="D80" s="11"/>
      <c r="E80" s="499" t="s">
        <v>465</v>
      </c>
      <c r="F80" s="499" t="s">
        <v>466</v>
      </c>
      <c r="G80" s="499" t="s">
        <v>467</v>
      </c>
      <c r="H80" s="11"/>
      <c r="I80" s="11"/>
      <c r="J80" s="11"/>
      <c r="K80" s="11"/>
      <c r="L80" s="11"/>
      <c r="M80" s="11"/>
      <c r="N80" s="11"/>
      <c r="O80" s="11"/>
      <c r="P80" s="10"/>
      <c r="Q80" s="10"/>
      <c r="R80" s="45"/>
      <c r="S80" s="10"/>
    </row>
    <row r="81" spans="2:22" ht="23.25" x14ac:dyDescent="0.35">
      <c r="D81" s="11"/>
      <c r="E81" s="11"/>
      <c r="F81" s="11"/>
      <c r="G81" s="11"/>
      <c r="H81" s="11"/>
      <c r="I81" s="11"/>
      <c r="J81" s="11"/>
      <c r="K81" s="11"/>
      <c r="L81" s="11"/>
      <c r="M81" s="11"/>
      <c r="N81" s="11"/>
      <c r="O81" s="11"/>
      <c r="P81" s="10"/>
      <c r="Q81" s="10"/>
      <c r="R81" s="45"/>
      <c r="S81" s="10"/>
    </row>
    <row r="82" spans="2:22" ht="24" thickBot="1" x14ac:dyDescent="0.4">
      <c r="D82" s="1947" t="s">
        <v>131</v>
      </c>
      <c r="E82" s="1947"/>
      <c r="F82" s="1947"/>
      <c r="G82" s="1947"/>
      <c r="H82" s="1947"/>
      <c r="I82" s="1947"/>
      <c r="J82" s="1947"/>
      <c r="K82" s="1947"/>
      <c r="L82" s="1947"/>
      <c r="M82" s="1947"/>
      <c r="N82" s="1947"/>
      <c r="O82" s="11"/>
      <c r="P82" s="10"/>
      <c r="Q82" s="10"/>
      <c r="R82" s="45"/>
      <c r="S82" s="10"/>
    </row>
    <row r="83" spans="2:22" ht="68.25" x14ac:dyDescent="0.35">
      <c r="D83" s="21" t="s">
        <v>1</v>
      </c>
      <c r="E83" s="22" t="s">
        <v>42</v>
      </c>
      <c r="F83" s="22" t="s">
        <v>43</v>
      </c>
      <c r="G83" s="22" t="s">
        <v>44</v>
      </c>
      <c r="H83" s="22" t="s">
        <v>58</v>
      </c>
      <c r="I83" s="22" t="s">
        <v>60</v>
      </c>
      <c r="J83" s="22" t="s">
        <v>59</v>
      </c>
      <c r="K83" s="22" t="s">
        <v>61</v>
      </c>
      <c r="L83" s="51" t="s">
        <v>101</v>
      </c>
      <c r="M83" s="22" t="s">
        <v>51</v>
      </c>
      <c r="N83" s="23" t="s">
        <v>52</v>
      </c>
      <c r="O83" s="11"/>
      <c r="P83" s="10"/>
      <c r="Q83" s="10"/>
      <c r="R83" s="45"/>
      <c r="S83" s="10"/>
    </row>
    <row r="84" spans="2:22" ht="23.25" x14ac:dyDescent="0.35">
      <c r="B84" s="8"/>
      <c r="C84" s="11"/>
      <c r="D84" s="17" t="s">
        <v>68</v>
      </c>
      <c r="E84" s="484"/>
      <c r="F84" s="487"/>
      <c r="G84" s="484"/>
      <c r="H84" s="486"/>
      <c r="I84" s="486"/>
      <c r="J84" s="486"/>
      <c r="K84" s="486"/>
      <c r="L84" s="44"/>
      <c r="M84" s="44"/>
      <c r="N84" s="45"/>
      <c r="O84" s="45"/>
      <c r="P84" s="45"/>
      <c r="Q84" s="45"/>
      <c r="R84" s="10"/>
      <c r="S84" s="46"/>
      <c r="T84" s="8"/>
      <c r="U84" s="8"/>
      <c r="V84" s="8"/>
    </row>
    <row r="85" spans="2:22" ht="23.25" x14ac:dyDescent="0.35">
      <c r="B85" s="8"/>
      <c r="C85" s="11"/>
      <c r="D85" s="17" t="s">
        <v>69</v>
      </c>
      <c r="E85" s="484"/>
      <c r="F85" s="487"/>
      <c r="G85" s="484"/>
      <c r="H85" s="486"/>
      <c r="I85" s="486"/>
      <c r="J85" s="486"/>
      <c r="K85" s="486"/>
      <c r="L85" s="44"/>
      <c r="M85" s="44"/>
      <c r="N85" s="45"/>
      <c r="O85" s="45"/>
      <c r="P85" s="45"/>
      <c r="Q85" s="45"/>
      <c r="R85" s="10"/>
      <c r="S85" s="46"/>
      <c r="T85" s="8"/>
      <c r="U85" s="8"/>
      <c r="V85" s="8"/>
    </row>
    <row r="86" spans="2:22" ht="23.25" x14ac:dyDescent="0.35">
      <c r="B86" s="8"/>
      <c r="C86" s="11"/>
      <c r="D86" s="17" t="s">
        <v>70</v>
      </c>
      <c r="E86" s="484"/>
      <c r="F86" s="487"/>
      <c r="G86" s="484"/>
      <c r="H86" s="486"/>
      <c r="I86" s="486"/>
      <c r="J86" s="486"/>
      <c r="K86" s="486"/>
      <c r="L86" s="44"/>
      <c r="M86" s="44"/>
      <c r="N86" s="45"/>
      <c r="O86" s="45"/>
      <c r="P86" s="45"/>
      <c r="Q86" s="45"/>
      <c r="R86" s="10"/>
      <c r="S86" s="46"/>
      <c r="T86" s="8"/>
      <c r="U86" s="8"/>
      <c r="V86" s="8"/>
    </row>
    <row r="87" spans="2:22" ht="23.25" x14ac:dyDescent="0.35">
      <c r="B87" s="8"/>
      <c r="C87" s="11"/>
      <c r="D87" s="17" t="s">
        <v>71</v>
      </c>
      <c r="E87" s="484"/>
      <c r="F87" s="487"/>
      <c r="G87" s="484"/>
      <c r="H87" s="486"/>
      <c r="I87" s="486"/>
      <c r="J87" s="486"/>
      <c r="K87" s="486"/>
      <c r="L87" s="44"/>
      <c r="M87" s="44"/>
      <c r="N87" s="45"/>
      <c r="O87" s="45"/>
      <c r="P87" s="45"/>
      <c r="Q87" s="45"/>
      <c r="R87" s="10"/>
      <c r="S87" s="46"/>
      <c r="T87" s="8"/>
      <c r="U87" s="8"/>
      <c r="V87" s="8"/>
    </row>
    <row r="88" spans="2:22" ht="23.25" x14ac:dyDescent="0.35">
      <c r="B88" s="8"/>
      <c r="C88" s="11"/>
      <c r="D88" s="17" t="s">
        <v>72</v>
      </c>
      <c r="E88" s="484"/>
      <c r="F88" s="487"/>
      <c r="G88" s="484"/>
      <c r="H88" s="486"/>
      <c r="I88" s="486"/>
      <c r="J88" s="486"/>
      <c r="K88" s="486"/>
      <c r="L88" s="44"/>
      <c r="M88" s="44"/>
      <c r="N88" s="45"/>
      <c r="O88" s="45"/>
      <c r="P88" s="45"/>
      <c r="Q88" s="45"/>
      <c r="R88" s="10"/>
      <c r="S88" s="46"/>
      <c r="T88" s="8"/>
      <c r="U88" s="8"/>
      <c r="V88" s="8"/>
    </row>
    <row r="89" spans="2:22" ht="24" customHeight="1" x14ac:dyDescent="0.35">
      <c r="B89" s="8"/>
      <c r="C89" s="11"/>
      <c r="D89" s="17" t="s">
        <v>73</v>
      </c>
      <c r="E89" s="484"/>
      <c r="F89" s="487"/>
      <c r="G89" s="484"/>
      <c r="H89" s="486"/>
      <c r="I89" s="486"/>
      <c r="J89" s="486"/>
      <c r="K89" s="486"/>
      <c r="L89" s="44"/>
      <c r="M89" s="44"/>
      <c r="N89" s="45"/>
      <c r="O89" s="45"/>
      <c r="P89" s="45"/>
      <c r="Q89" s="45"/>
      <c r="R89" s="10"/>
      <c r="S89" s="46"/>
      <c r="T89" s="8"/>
      <c r="U89" s="8"/>
      <c r="V89" s="8"/>
    </row>
    <row r="90" spans="2:22" ht="45.75" customHeight="1" x14ac:dyDescent="0.35">
      <c r="D90" s="24"/>
      <c r="E90" s="26" t="s">
        <v>464</v>
      </c>
      <c r="F90" s="26" t="s">
        <v>464</v>
      </c>
      <c r="G90" s="26" t="s">
        <v>464</v>
      </c>
      <c r="H90" s="26" t="s">
        <v>464</v>
      </c>
      <c r="I90" s="26"/>
      <c r="J90" s="26"/>
      <c r="K90" s="26"/>
      <c r="L90" s="27"/>
      <c r="M90" s="27"/>
      <c r="N90" s="28"/>
      <c r="O90" s="11"/>
      <c r="P90" s="10"/>
      <c r="Q90" s="10"/>
      <c r="R90" s="10"/>
      <c r="S90" s="10"/>
    </row>
    <row r="91" spans="2:22" ht="23.25" x14ac:dyDescent="0.35">
      <c r="D91" s="24"/>
      <c r="E91" s="26" t="s">
        <v>464</v>
      </c>
      <c r="F91" s="26" t="s">
        <v>464</v>
      </c>
      <c r="G91" s="26" t="s">
        <v>464</v>
      </c>
      <c r="H91" s="26" t="s">
        <v>464</v>
      </c>
      <c r="I91" s="26"/>
      <c r="J91" s="26"/>
      <c r="K91" s="26"/>
      <c r="L91" s="27"/>
      <c r="M91" s="27"/>
      <c r="N91" s="28"/>
      <c r="O91" s="11"/>
      <c r="P91" s="10"/>
      <c r="Q91" s="10"/>
      <c r="R91" s="10"/>
      <c r="S91" s="10"/>
    </row>
    <row r="92" spans="2:22" ht="23.25" x14ac:dyDescent="0.35">
      <c r="D92" s="24"/>
      <c r="E92" s="26" t="s">
        <v>464</v>
      </c>
      <c r="F92" s="26" t="s">
        <v>464</v>
      </c>
      <c r="G92" s="26" t="s">
        <v>464</v>
      </c>
      <c r="H92" s="26" t="s">
        <v>464</v>
      </c>
      <c r="I92" s="26"/>
      <c r="J92" s="26"/>
      <c r="K92" s="26"/>
      <c r="L92" s="27"/>
      <c r="M92" s="27"/>
      <c r="N92" s="28"/>
      <c r="O92" s="11"/>
      <c r="P92" s="10"/>
      <c r="Q92" s="10"/>
      <c r="R92" s="10"/>
      <c r="S92" s="10"/>
    </row>
    <row r="93" spans="2:22" ht="23.25" x14ac:dyDescent="0.35">
      <c r="D93" s="24" t="s">
        <v>4</v>
      </c>
      <c r="E93" s="496"/>
      <c r="F93" s="26"/>
      <c r="G93" s="26">
        <v>1082</v>
      </c>
      <c r="H93" s="11">
        <f>SUM(E94,F94,G93)</f>
        <v>309802</v>
      </c>
      <c r="I93" s="26">
        <v>94749</v>
      </c>
      <c r="J93" s="26">
        <v>22210</v>
      </c>
      <c r="K93" s="26">
        <v>279814</v>
      </c>
      <c r="L93" s="27" t="s">
        <v>101</v>
      </c>
      <c r="M93" s="27">
        <v>0.33860000000000001</v>
      </c>
      <c r="N93" s="28">
        <v>7.9399999999999998E-2</v>
      </c>
      <c r="O93" s="11"/>
      <c r="P93" s="10"/>
      <c r="Q93" s="10"/>
      <c r="R93" s="10"/>
      <c r="S93" s="10"/>
    </row>
    <row r="94" spans="2:22" ht="23.25" x14ac:dyDescent="0.35">
      <c r="D94" s="24" t="s">
        <v>5</v>
      </c>
      <c r="E94" s="26">
        <v>145865</v>
      </c>
      <c r="F94" s="26">
        <v>162855</v>
      </c>
      <c r="G94" s="26">
        <v>1056</v>
      </c>
      <c r="H94" s="11">
        <f>SUM(E95,F95,G94)</f>
        <v>195760</v>
      </c>
      <c r="I94" s="26">
        <v>109351</v>
      </c>
      <c r="J94" s="26">
        <v>4616</v>
      </c>
      <c r="K94" s="26">
        <v>308671</v>
      </c>
      <c r="L94" s="27" t="s">
        <v>101</v>
      </c>
      <c r="M94" s="27">
        <v>0.3543</v>
      </c>
      <c r="N94" s="28">
        <v>1.4999999999999999E-2</v>
      </c>
      <c r="O94" s="11"/>
      <c r="P94" s="10"/>
      <c r="Q94" s="10"/>
      <c r="R94" s="10"/>
      <c r="S94" s="10"/>
    </row>
    <row r="95" spans="2:22" ht="23.25" x14ac:dyDescent="0.35">
      <c r="D95" s="24" t="s">
        <v>6</v>
      </c>
      <c r="E95" s="26">
        <v>175388</v>
      </c>
      <c r="F95" s="26">
        <v>19316</v>
      </c>
      <c r="G95" s="26">
        <v>1034</v>
      </c>
      <c r="H95" s="11">
        <f>SUM(E96,F96,G95)</f>
        <v>234591</v>
      </c>
      <c r="I95" s="26">
        <v>111812</v>
      </c>
      <c r="J95" s="26">
        <v>8627</v>
      </c>
      <c r="K95" s="26">
        <v>353996</v>
      </c>
      <c r="L95" s="27" t="s">
        <v>101</v>
      </c>
      <c r="M95" s="27">
        <v>0.31590000000000001</v>
      </c>
      <c r="N95" s="28">
        <v>2.4400000000000002E-2</v>
      </c>
      <c r="O95" s="11"/>
      <c r="P95" s="10"/>
      <c r="Q95" s="10"/>
      <c r="R95" s="45"/>
      <c r="S95" s="10"/>
    </row>
    <row r="96" spans="2:22" ht="24" thickBot="1" x14ac:dyDescent="0.4">
      <c r="D96" s="29" t="s">
        <v>7</v>
      </c>
      <c r="E96" s="26">
        <v>202473</v>
      </c>
      <c r="F96" s="26">
        <v>31084</v>
      </c>
      <c r="G96" s="31">
        <v>965</v>
      </c>
      <c r="H96" s="11">
        <f>SUM(E97,F97,G96)</f>
        <v>244343</v>
      </c>
      <c r="I96" s="31">
        <v>96254</v>
      </c>
      <c r="J96" s="31">
        <v>10985</v>
      </c>
      <c r="K96" s="31">
        <v>350617</v>
      </c>
      <c r="L96" s="32" t="s">
        <v>101</v>
      </c>
      <c r="M96" s="32">
        <v>0.27450000000000002</v>
      </c>
      <c r="N96" s="33">
        <v>3.1300000000000001E-2</v>
      </c>
      <c r="O96" s="11"/>
      <c r="P96" s="10"/>
      <c r="Q96" s="10"/>
      <c r="R96" s="45"/>
      <c r="S96" s="10"/>
    </row>
    <row r="97" spans="2:22" ht="24" thickBot="1" x14ac:dyDescent="0.4">
      <c r="D97" s="11" t="s">
        <v>489</v>
      </c>
      <c r="E97" s="31">
        <v>218896</v>
      </c>
      <c r="F97" s="31">
        <v>24482</v>
      </c>
      <c r="G97" s="11">
        <f>845</f>
        <v>845</v>
      </c>
      <c r="H97" s="11">
        <f>SUM(E98,F98,G97)</f>
        <v>257349</v>
      </c>
      <c r="I97" s="11"/>
      <c r="J97" s="11"/>
      <c r="K97" s="11"/>
      <c r="L97" s="11"/>
      <c r="M97" s="11"/>
      <c r="N97" s="11"/>
      <c r="O97" s="11"/>
      <c r="P97" s="10"/>
      <c r="Q97" s="10"/>
      <c r="R97" s="45"/>
      <c r="S97" s="10"/>
    </row>
    <row r="98" spans="2:22" ht="23.25" x14ac:dyDescent="0.35">
      <c r="D98" s="488">
        <v>203494</v>
      </c>
      <c r="E98" s="11">
        <v>238502</v>
      </c>
      <c r="F98" s="11">
        <v>18002</v>
      </c>
      <c r="G98" s="11"/>
      <c r="H98" s="11"/>
      <c r="I98" s="11"/>
      <c r="J98" s="11"/>
      <c r="K98" s="11"/>
      <c r="L98" s="11"/>
      <c r="M98" s="11"/>
      <c r="N98" s="11"/>
      <c r="O98" s="11"/>
      <c r="P98" s="10"/>
      <c r="Q98" s="10"/>
      <c r="R98" s="45"/>
      <c r="S98" s="10"/>
    </row>
    <row r="99" spans="2:22" ht="24" thickBot="1" x14ac:dyDescent="0.4">
      <c r="D99" s="1947" t="s">
        <v>132</v>
      </c>
      <c r="E99" s="1947"/>
      <c r="F99" s="1947"/>
      <c r="G99" s="1947"/>
      <c r="H99" s="1947"/>
      <c r="I99" s="1947"/>
      <c r="J99" s="1947"/>
      <c r="K99" s="1947"/>
      <c r="L99" s="1947"/>
      <c r="M99" s="1947"/>
      <c r="N99" s="1947"/>
      <c r="O99" s="11"/>
      <c r="P99" s="10"/>
      <c r="Q99" s="10"/>
      <c r="R99" s="45"/>
      <c r="S99" s="10"/>
    </row>
    <row r="100" spans="2:22" ht="24" customHeight="1" x14ac:dyDescent="0.35">
      <c r="B100" s="11">
        <v>0.93301957651469847</v>
      </c>
      <c r="D100" s="21" t="s">
        <v>1</v>
      </c>
      <c r="E100" s="22" t="s">
        <v>42</v>
      </c>
      <c r="F100" s="22" t="s">
        <v>43</v>
      </c>
      <c r="G100" s="22" t="s">
        <v>44</v>
      </c>
      <c r="H100" s="22" t="s">
        <v>58</v>
      </c>
      <c r="I100" s="22" t="s">
        <v>60</v>
      </c>
      <c r="J100" s="22" t="s">
        <v>59</v>
      </c>
      <c r="K100" s="22" t="s">
        <v>61</v>
      </c>
      <c r="L100" s="51" t="s">
        <v>101</v>
      </c>
      <c r="M100" s="22" t="s">
        <v>51</v>
      </c>
      <c r="N100" s="23" t="s">
        <v>52</v>
      </c>
      <c r="O100" s="11"/>
      <c r="P100" s="10"/>
      <c r="Q100" s="10"/>
      <c r="R100" s="45"/>
      <c r="S100" s="10"/>
    </row>
    <row r="101" spans="2:22" ht="23.25" x14ac:dyDescent="0.35">
      <c r="B101" s="8"/>
      <c r="C101" s="11"/>
      <c r="D101" s="17" t="s">
        <v>68</v>
      </c>
      <c r="E101" s="484"/>
      <c r="F101" s="487"/>
      <c r="G101" s="484"/>
      <c r="H101" s="486"/>
      <c r="I101" s="486"/>
      <c r="J101" s="486"/>
      <c r="K101" s="486"/>
      <c r="L101" s="44"/>
      <c r="M101" s="44"/>
      <c r="N101" s="45"/>
      <c r="O101" s="45"/>
      <c r="P101" s="45"/>
      <c r="Q101" s="45"/>
      <c r="R101" s="10"/>
      <c r="S101" s="46"/>
      <c r="T101" s="8"/>
      <c r="U101" s="8"/>
      <c r="V101" s="8"/>
    </row>
    <row r="102" spans="2:22" ht="23.25" x14ac:dyDescent="0.35">
      <c r="B102" s="8"/>
      <c r="C102" s="11"/>
      <c r="D102" s="17" t="s">
        <v>69</v>
      </c>
      <c r="E102" s="484"/>
      <c r="F102" s="487"/>
      <c r="G102" s="484"/>
      <c r="H102" s="486"/>
      <c r="I102" s="486"/>
      <c r="J102" s="486"/>
      <c r="K102" s="486"/>
      <c r="L102" s="44"/>
      <c r="M102" s="44"/>
      <c r="N102" s="45"/>
      <c r="O102" s="45"/>
      <c r="P102" s="45"/>
      <c r="Q102" s="45"/>
      <c r="R102" s="10"/>
      <c r="S102" s="46"/>
      <c r="T102" s="8"/>
      <c r="U102" s="8"/>
      <c r="V102" s="8"/>
    </row>
    <row r="103" spans="2:22" ht="23.25" x14ac:dyDescent="0.35">
      <c r="B103" s="8"/>
      <c r="C103" s="11"/>
      <c r="D103" s="17" t="s">
        <v>70</v>
      </c>
      <c r="E103" s="484"/>
      <c r="F103" s="487"/>
      <c r="G103" s="484"/>
      <c r="H103" s="486"/>
      <c r="I103" s="486"/>
      <c r="J103" s="486"/>
      <c r="K103" s="486"/>
      <c r="L103" s="44"/>
      <c r="M103" s="44"/>
      <c r="N103" s="45"/>
      <c r="O103" s="45"/>
      <c r="P103" s="45"/>
      <c r="Q103" s="45"/>
      <c r="R103" s="10"/>
      <c r="S103" s="46"/>
      <c r="T103" s="8"/>
      <c r="U103" s="8"/>
      <c r="V103" s="8"/>
    </row>
    <row r="104" spans="2:22" ht="23.25" x14ac:dyDescent="0.35">
      <c r="B104" s="8"/>
      <c r="C104" s="11"/>
      <c r="D104" s="17" t="s">
        <v>71</v>
      </c>
      <c r="E104" s="484"/>
      <c r="F104" s="487"/>
      <c r="G104" s="484"/>
      <c r="H104" s="486"/>
      <c r="I104" s="486"/>
      <c r="J104" s="486"/>
      <c r="K104" s="486"/>
      <c r="L104" s="44"/>
      <c r="M104" s="44"/>
      <c r="N104" s="45"/>
      <c r="O104" s="45"/>
      <c r="P104" s="45"/>
      <c r="Q104" s="45"/>
      <c r="R104" s="10"/>
      <c r="S104" s="46"/>
      <c r="T104" s="8"/>
      <c r="U104" s="8"/>
      <c r="V104" s="8"/>
    </row>
    <row r="105" spans="2:22" ht="23.25" x14ac:dyDescent="0.35">
      <c r="B105" s="8"/>
      <c r="C105" s="11"/>
      <c r="D105" s="17" t="s">
        <v>72</v>
      </c>
      <c r="E105" s="484"/>
      <c r="F105" s="487"/>
      <c r="G105" s="484"/>
      <c r="H105" s="486"/>
      <c r="I105" s="486"/>
      <c r="J105" s="486"/>
      <c r="K105" s="486"/>
      <c r="L105" s="44"/>
      <c r="M105" s="44"/>
      <c r="N105" s="45"/>
      <c r="O105" s="45"/>
      <c r="P105" s="45"/>
      <c r="Q105" s="45"/>
      <c r="R105" s="10"/>
      <c r="S105" s="46"/>
      <c r="T105" s="8"/>
      <c r="U105" s="8"/>
      <c r="V105" s="8"/>
    </row>
    <row r="106" spans="2:22" ht="23.25" customHeight="1" x14ac:dyDescent="0.35">
      <c r="B106" s="8"/>
      <c r="C106" s="11"/>
      <c r="D106" s="17" t="s">
        <v>73</v>
      </c>
      <c r="E106" s="484"/>
      <c r="F106" s="487"/>
      <c r="G106" s="484"/>
      <c r="H106" s="486"/>
      <c r="I106" s="486"/>
      <c r="J106" s="486"/>
      <c r="K106" s="486"/>
      <c r="L106" s="44"/>
      <c r="M106" s="44"/>
      <c r="N106" s="45"/>
      <c r="O106" s="45"/>
      <c r="P106" s="45"/>
      <c r="Q106" s="45"/>
      <c r="R106" s="10"/>
      <c r="S106" s="46"/>
      <c r="T106" s="8"/>
      <c r="U106" s="8"/>
      <c r="V106" s="8"/>
    </row>
    <row r="107" spans="2:22" ht="23.25" x14ac:dyDescent="0.35">
      <c r="D107" s="24"/>
      <c r="E107" s="26" t="s">
        <v>464</v>
      </c>
      <c r="F107" s="26" t="s">
        <v>464</v>
      </c>
      <c r="G107" s="26" t="s">
        <v>464</v>
      </c>
      <c r="H107" s="26" t="s">
        <v>464</v>
      </c>
      <c r="I107" s="26"/>
      <c r="J107" s="26"/>
      <c r="K107" s="26"/>
      <c r="L107" s="27"/>
      <c r="M107" s="27"/>
      <c r="N107" s="28"/>
      <c r="O107" s="11"/>
      <c r="P107" s="10"/>
      <c r="Q107" s="10"/>
      <c r="R107" s="10"/>
      <c r="S107" s="10"/>
    </row>
    <row r="108" spans="2:22" ht="23.25" x14ac:dyDescent="0.35">
      <c r="D108" s="24"/>
      <c r="E108" s="26" t="s">
        <v>464</v>
      </c>
      <c r="F108" s="26" t="s">
        <v>464</v>
      </c>
      <c r="G108" s="26" t="s">
        <v>464</v>
      </c>
      <c r="H108" s="26" t="s">
        <v>464</v>
      </c>
      <c r="I108" s="26"/>
      <c r="J108" s="26"/>
      <c r="K108" s="26"/>
      <c r="L108" s="27"/>
      <c r="M108" s="27"/>
      <c r="N108" s="28"/>
      <c r="O108" s="11"/>
      <c r="P108" s="10"/>
      <c r="Q108" s="10"/>
      <c r="R108" s="10"/>
      <c r="S108" s="10"/>
    </row>
    <row r="109" spans="2:22" ht="23.25" x14ac:dyDescent="0.35">
      <c r="D109" s="24"/>
      <c r="E109" s="26" t="s">
        <v>464</v>
      </c>
      <c r="F109" s="26" t="s">
        <v>464</v>
      </c>
      <c r="G109" s="26" t="s">
        <v>464</v>
      </c>
      <c r="H109" s="26" t="s">
        <v>464</v>
      </c>
      <c r="I109" s="26"/>
      <c r="J109" s="26"/>
      <c r="K109" s="26"/>
      <c r="L109" s="27"/>
      <c r="M109" s="27"/>
      <c r="N109" s="28"/>
      <c r="O109" s="11"/>
      <c r="P109" s="10"/>
      <c r="Q109" s="10"/>
      <c r="R109" s="10"/>
      <c r="S109" s="10"/>
    </row>
    <row r="110" spans="2:22" ht="23.25" x14ac:dyDescent="0.35">
      <c r="D110" s="24" t="s">
        <v>4</v>
      </c>
      <c r="E110" s="26">
        <v>145865</v>
      </c>
      <c r="F110" s="26">
        <v>162855</v>
      </c>
      <c r="G110" s="26">
        <v>1082</v>
      </c>
      <c r="H110" s="11">
        <f>SUM(E110:G110)</f>
        <v>309802</v>
      </c>
      <c r="I110" s="26">
        <v>101120</v>
      </c>
      <c r="J110" s="26">
        <v>29896</v>
      </c>
      <c r="K110" s="26">
        <v>307075</v>
      </c>
      <c r="L110" s="27" t="s">
        <v>101</v>
      </c>
      <c r="M110" s="27">
        <v>0.32929999999999998</v>
      </c>
      <c r="N110" s="28">
        <v>9.74E-2</v>
      </c>
      <c r="O110" s="11"/>
      <c r="P110" s="10"/>
      <c r="Q110" s="10"/>
      <c r="R110" s="10"/>
      <c r="S110" s="10"/>
    </row>
    <row r="111" spans="2:22" ht="23.25" x14ac:dyDescent="0.35">
      <c r="D111" s="24" t="s">
        <v>5</v>
      </c>
      <c r="E111" s="26">
        <v>175388</v>
      </c>
      <c r="F111" s="26">
        <v>19316</v>
      </c>
      <c r="G111" s="26">
        <v>1056</v>
      </c>
      <c r="H111" s="11">
        <f>SUM(E111:G111)</f>
        <v>195760</v>
      </c>
      <c r="I111" s="26">
        <v>110904</v>
      </c>
      <c r="J111" s="26">
        <v>8976</v>
      </c>
      <c r="K111" s="26">
        <v>324186</v>
      </c>
      <c r="L111" s="27" t="s">
        <v>101</v>
      </c>
      <c r="M111" s="27">
        <v>0.34210000000000002</v>
      </c>
      <c r="N111" s="28">
        <v>2.7699999999999999E-2</v>
      </c>
      <c r="O111" s="11"/>
      <c r="P111" s="10"/>
      <c r="Q111" s="10"/>
      <c r="R111" s="10"/>
      <c r="S111" s="10"/>
    </row>
    <row r="112" spans="2:22" ht="23.25" x14ac:dyDescent="0.35">
      <c r="D112" s="24" t="s">
        <v>6</v>
      </c>
      <c r="E112" s="26">
        <v>202473</v>
      </c>
      <c r="F112" s="26">
        <v>31084</v>
      </c>
      <c r="G112" s="26">
        <v>1034</v>
      </c>
      <c r="H112" s="11">
        <f>SUM(E112:G112)</f>
        <v>234591</v>
      </c>
      <c r="I112" s="26">
        <v>114915</v>
      </c>
      <c r="J112" s="26">
        <v>13381</v>
      </c>
      <c r="K112" s="26">
        <v>369076</v>
      </c>
      <c r="L112" s="27" t="s">
        <v>101</v>
      </c>
      <c r="M112" s="27">
        <v>0.31140000000000001</v>
      </c>
      <c r="N112" s="28">
        <v>3.6299999999999999E-2</v>
      </c>
      <c r="O112" s="11"/>
      <c r="P112" s="10"/>
      <c r="Q112" s="10"/>
      <c r="R112" s="10"/>
      <c r="S112" s="10"/>
    </row>
    <row r="113" spans="1:19" ht="24" thickBot="1" x14ac:dyDescent="0.4">
      <c r="D113" s="29" t="s">
        <v>7</v>
      </c>
      <c r="E113" s="31">
        <v>218896</v>
      </c>
      <c r="F113" s="31">
        <v>24482</v>
      </c>
      <c r="G113" s="31">
        <v>965</v>
      </c>
      <c r="H113" s="11">
        <f>SUM(E113:G113)</f>
        <v>244343</v>
      </c>
      <c r="I113" s="31">
        <v>96254</v>
      </c>
      <c r="J113" s="31">
        <v>13650</v>
      </c>
      <c r="K113" s="31">
        <v>353282</v>
      </c>
      <c r="L113" s="32" t="s">
        <v>101</v>
      </c>
      <c r="M113" s="32">
        <v>0.27250000000000002</v>
      </c>
      <c r="N113" s="33">
        <v>3.8600000000000002E-2</v>
      </c>
      <c r="O113" s="11"/>
      <c r="P113" s="10"/>
      <c r="Q113" s="10"/>
      <c r="R113" s="10"/>
      <c r="S113" s="10"/>
    </row>
    <row r="114" spans="1:19" ht="23.25" x14ac:dyDescent="0.35">
      <c r="D114" s="11" t="s">
        <v>489</v>
      </c>
      <c r="E114" s="11">
        <v>238502</v>
      </c>
      <c r="F114" s="11">
        <v>18002</v>
      </c>
      <c r="G114" s="11">
        <f>845</f>
        <v>845</v>
      </c>
      <c r="H114" s="11">
        <f>SUM(E114:G114)</f>
        <v>257349</v>
      </c>
      <c r="I114" s="11"/>
      <c r="J114" s="11"/>
      <c r="K114" s="11"/>
      <c r="L114" s="11"/>
      <c r="M114" s="11"/>
      <c r="N114" s="11"/>
      <c r="O114" s="11"/>
      <c r="P114" s="10"/>
      <c r="Q114" s="10"/>
      <c r="R114" s="10"/>
      <c r="S114" s="10"/>
    </row>
    <row r="115" spans="1:19" ht="23.25" x14ac:dyDescent="0.35">
      <c r="D115" s="11"/>
      <c r="E115" s="11"/>
      <c r="F115" s="11"/>
      <c r="G115" s="11"/>
      <c r="H115" s="11"/>
      <c r="I115" s="11"/>
      <c r="J115" s="11"/>
      <c r="K115" s="11"/>
      <c r="L115" s="11"/>
      <c r="M115" s="11"/>
      <c r="N115" s="11"/>
      <c r="O115" s="11"/>
      <c r="P115" s="10"/>
      <c r="Q115" s="10"/>
      <c r="R115" s="10"/>
      <c r="S115" s="10"/>
    </row>
    <row r="116" spans="1:19" ht="23.25" x14ac:dyDescent="0.35">
      <c r="D116" s="11"/>
      <c r="E116" s="11"/>
      <c r="F116" s="11"/>
      <c r="G116" s="11"/>
      <c r="H116" s="11"/>
      <c r="I116" s="11"/>
      <c r="J116" s="11"/>
      <c r="K116" s="11"/>
      <c r="L116" s="11"/>
      <c r="M116" s="11"/>
      <c r="N116" s="11"/>
      <c r="O116" s="11"/>
      <c r="P116" s="10"/>
      <c r="Q116" s="10"/>
      <c r="R116" s="10"/>
      <c r="S116" s="10"/>
    </row>
    <row r="117" spans="1:19" ht="23.25" x14ac:dyDescent="0.35">
      <c r="D117" s="11"/>
      <c r="E117" s="11"/>
      <c r="F117" s="11"/>
      <c r="G117" s="11"/>
      <c r="H117" s="11"/>
      <c r="I117" s="11"/>
      <c r="J117" s="11"/>
      <c r="K117" s="11"/>
      <c r="L117" s="34"/>
      <c r="M117" s="34"/>
      <c r="N117" s="34"/>
      <c r="O117" s="34"/>
      <c r="P117" s="10"/>
      <c r="Q117" s="10"/>
      <c r="R117" s="10"/>
      <c r="S117" s="10"/>
    </row>
    <row r="118" spans="1:19" ht="23.25" x14ac:dyDescent="0.35">
      <c r="D118" s="11"/>
      <c r="E118" s="11"/>
      <c r="F118" s="11"/>
      <c r="G118" s="11"/>
      <c r="H118" s="12"/>
      <c r="I118" s="11"/>
      <c r="J118" s="11"/>
      <c r="K118" s="11"/>
      <c r="L118" s="11"/>
      <c r="M118" s="11"/>
      <c r="N118" s="11"/>
      <c r="O118" s="11"/>
      <c r="P118" s="10"/>
      <c r="Q118" s="10"/>
      <c r="R118" s="10"/>
      <c r="S118" s="10"/>
    </row>
    <row r="119" spans="1:19" ht="24" thickBot="1" x14ac:dyDescent="0.4">
      <c r="D119" s="508" t="s">
        <v>490</v>
      </c>
      <c r="E119" s="35"/>
      <c r="F119" s="35"/>
      <c r="G119" s="35"/>
      <c r="H119" s="35"/>
      <c r="I119" s="35"/>
      <c r="J119" s="35"/>
      <c r="K119" s="35"/>
      <c r="L119" s="11"/>
      <c r="M119" s="11"/>
      <c r="N119" s="11"/>
      <c r="O119" s="11"/>
      <c r="P119" s="10"/>
      <c r="Q119" s="10"/>
      <c r="R119" s="10"/>
      <c r="S119" s="10"/>
    </row>
    <row r="120" spans="1:19" ht="113.25" x14ac:dyDescent="0.35">
      <c r="D120" s="50" t="s">
        <v>1</v>
      </c>
      <c r="E120" s="51" t="s">
        <v>42</v>
      </c>
      <c r="F120" s="51" t="s">
        <v>43</v>
      </c>
      <c r="G120" s="51" t="s">
        <v>44</v>
      </c>
      <c r="H120" s="51" t="s">
        <v>58</v>
      </c>
      <c r="I120" s="51" t="s">
        <v>60</v>
      </c>
      <c r="J120" s="51" t="s">
        <v>387</v>
      </c>
      <c r="K120" s="36" t="s">
        <v>59</v>
      </c>
      <c r="L120" s="11" t="s">
        <v>264</v>
      </c>
      <c r="M120" s="11"/>
      <c r="N120" s="11"/>
      <c r="O120" s="11"/>
      <c r="P120" s="10"/>
      <c r="Q120" s="10"/>
      <c r="R120" s="10"/>
      <c r="S120" s="10"/>
    </row>
    <row r="121" spans="1:19" ht="23.25" x14ac:dyDescent="0.35">
      <c r="B121" s="8"/>
      <c r="C121" s="11"/>
      <c r="D121" s="17" t="s">
        <v>68</v>
      </c>
      <c r="E121" s="484"/>
      <c r="F121" s="487"/>
      <c r="G121" s="484"/>
      <c r="H121" s="486"/>
      <c r="I121" s="486"/>
      <c r="J121" s="486"/>
      <c r="K121" s="486"/>
      <c r="L121" s="44"/>
      <c r="M121" s="44"/>
      <c r="N121" s="45"/>
      <c r="O121" s="45"/>
      <c r="P121" s="45"/>
      <c r="Q121" s="10"/>
      <c r="R121" s="10"/>
      <c r="S121" s="10"/>
    </row>
    <row r="122" spans="1:19" ht="23.25" x14ac:dyDescent="0.35">
      <c r="B122" s="8"/>
      <c r="C122" s="11"/>
      <c r="D122" s="17" t="s">
        <v>69</v>
      </c>
      <c r="E122" s="484"/>
      <c r="F122" s="487"/>
      <c r="G122" s="484"/>
      <c r="H122" s="486"/>
      <c r="I122" s="486"/>
      <c r="J122" s="486"/>
      <c r="K122" s="486"/>
      <c r="L122" s="44"/>
      <c r="M122" s="44"/>
      <c r="N122" s="45"/>
      <c r="O122" s="45"/>
      <c r="P122" s="45"/>
      <c r="Q122" s="10"/>
      <c r="R122" s="10"/>
      <c r="S122" s="10"/>
    </row>
    <row r="123" spans="1:19" ht="23.25" x14ac:dyDescent="0.35">
      <c r="B123" s="8"/>
      <c r="C123" s="11"/>
      <c r="D123" s="17" t="s">
        <v>70</v>
      </c>
      <c r="E123" s="484"/>
      <c r="F123" s="487"/>
      <c r="G123" s="484"/>
      <c r="H123" s="486"/>
      <c r="I123" s="486"/>
      <c r="J123" s="486"/>
      <c r="K123" s="486"/>
      <c r="L123" s="44"/>
      <c r="M123" s="44"/>
      <c r="N123" s="45"/>
      <c r="O123" s="45"/>
      <c r="P123" s="45"/>
      <c r="Q123" s="10"/>
      <c r="R123" s="10"/>
      <c r="S123" s="10"/>
    </row>
    <row r="124" spans="1:19" ht="23.25" x14ac:dyDescent="0.35">
      <c r="B124" s="8"/>
      <c r="C124" s="11"/>
      <c r="D124" s="17" t="s">
        <v>71</v>
      </c>
      <c r="E124" s="484"/>
      <c r="F124" s="487"/>
      <c r="G124" s="484"/>
      <c r="H124" s="486"/>
      <c r="I124" s="486"/>
      <c r="J124" s="486"/>
      <c r="K124" s="486"/>
      <c r="L124" s="44"/>
      <c r="M124" s="44"/>
      <c r="N124" s="45"/>
      <c r="O124" s="45"/>
      <c r="P124" s="45"/>
      <c r="Q124" s="10"/>
      <c r="R124" s="10"/>
      <c r="S124" s="10"/>
    </row>
    <row r="125" spans="1:19" ht="23.25" x14ac:dyDescent="0.35">
      <c r="B125" s="8"/>
      <c r="C125" s="11"/>
      <c r="D125" s="17" t="s">
        <v>72</v>
      </c>
      <c r="E125" s="484"/>
      <c r="F125" s="487"/>
      <c r="G125" s="484"/>
      <c r="H125" s="486"/>
      <c r="I125" s="486"/>
      <c r="J125" s="486"/>
      <c r="K125" s="486"/>
      <c r="L125" s="44"/>
      <c r="M125" s="44"/>
      <c r="N125" s="45"/>
      <c r="O125" s="45"/>
      <c r="P125" s="45"/>
      <c r="Q125" s="10"/>
      <c r="R125" s="10"/>
      <c r="S125" s="10"/>
    </row>
    <row r="126" spans="1:19" ht="23.25" x14ac:dyDescent="0.35">
      <c r="B126" s="8"/>
      <c r="C126" s="11"/>
      <c r="D126" s="17" t="s">
        <v>73</v>
      </c>
      <c r="E126" s="484"/>
      <c r="F126" s="487"/>
      <c r="G126" s="484"/>
      <c r="H126" s="486"/>
      <c r="I126" s="486"/>
      <c r="J126" s="486"/>
      <c r="K126" s="486"/>
      <c r="L126" s="44"/>
      <c r="M126" s="44"/>
      <c r="N126" s="45"/>
      <c r="O126" s="45"/>
      <c r="P126" s="45"/>
      <c r="Q126" s="10"/>
      <c r="R126" s="10"/>
      <c r="S126" s="10"/>
    </row>
    <row r="127" spans="1:19" ht="23.25" x14ac:dyDescent="0.35">
      <c r="A127" s="11">
        <v>0.82000890608516352</v>
      </c>
      <c r="B127" s="11">
        <v>1.0133233616058415</v>
      </c>
      <c r="D127" s="24"/>
      <c r="E127" s="569">
        <f t="shared" ref="E127:F133" si="8">SUM(E91,E54,E18)</f>
        <v>31012925.95417</v>
      </c>
      <c r="F127" s="569">
        <f t="shared" si="8"/>
        <v>1353788.4487299998</v>
      </c>
      <c r="G127" s="569">
        <f t="shared" ref="G127:G134" si="9">SUM(G91,G54,G18)</f>
        <v>118992.51785000002</v>
      </c>
      <c r="H127" s="602">
        <f t="shared" ref="H127:H133" si="10">SUM(E127:G127)</f>
        <v>32485706.92075</v>
      </c>
      <c r="I127" s="26"/>
      <c r="J127" s="37"/>
      <c r="K127" s="38"/>
      <c r="L127" s="41"/>
      <c r="M127" s="11"/>
      <c r="N127" s="11"/>
      <c r="O127" s="11"/>
      <c r="P127" s="10"/>
      <c r="Q127" s="10"/>
      <c r="S127" s="10"/>
    </row>
    <row r="128" spans="1:19" ht="23.25" x14ac:dyDescent="0.35">
      <c r="A128" s="11">
        <v>0.85854933495649211</v>
      </c>
      <c r="B128" s="11">
        <v>1.0878658630048472</v>
      </c>
      <c r="D128" s="24"/>
      <c r="E128" s="569">
        <f t="shared" si="8"/>
        <v>33571066.314999998</v>
      </c>
      <c r="F128" s="569">
        <f t="shared" si="8"/>
        <v>1222247.5</v>
      </c>
      <c r="G128" s="569">
        <f t="shared" si="9"/>
        <v>119175</v>
      </c>
      <c r="H128" s="602">
        <f t="shared" si="10"/>
        <v>34912488.814999998</v>
      </c>
      <c r="I128" s="26"/>
      <c r="J128" s="37"/>
      <c r="K128" s="38"/>
      <c r="L128" s="41"/>
      <c r="M128" s="11"/>
      <c r="N128" s="11"/>
      <c r="O128" s="11"/>
      <c r="P128" s="10"/>
      <c r="Q128" s="10"/>
      <c r="S128" s="10"/>
    </row>
    <row r="129" spans="1:19" ht="23.25" x14ac:dyDescent="0.35">
      <c r="A129" s="11">
        <v>0.89374985851557864</v>
      </c>
      <c r="B129" s="11">
        <v>1.0374918414074443</v>
      </c>
      <c r="D129" s="24"/>
      <c r="E129" s="569">
        <f t="shared" si="8"/>
        <v>34848714.125</v>
      </c>
      <c r="F129" s="569">
        <f t="shared" si="8"/>
        <v>961371</v>
      </c>
      <c r="G129" s="569">
        <f t="shared" si="9"/>
        <v>107309</v>
      </c>
      <c r="H129" s="602">
        <f t="shared" si="10"/>
        <v>35917394.125</v>
      </c>
      <c r="I129" s="26"/>
      <c r="J129" s="37"/>
      <c r="K129" s="38"/>
      <c r="L129" s="41"/>
      <c r="M129" s="11"/>
      <c r="N129" s="11"/>
      <c r="O129" s="11"/>
      <c r="P129" s="10"/>
      <c r="Q129" s="10"/>
      <c r="S129" s="10"/>
    </row>
    <row r="130" spans="1:19" ht="23.25" x14ac:dyDescent="0.35">
      <c r="A130" s="11">
        <v>0.92446405985302782</v>
      </c>
      <c r="B130" s="11">
        <v>0.95301421777443041</v>
      </c>
      <c r="D130" s="24" t="s">
        <v>4</v>
      </c>
      <c r="E130" s="569">
        <f t="shared" si="8"/>
        <v>36431059.701629996</v>
      </c>
      <c r="F130" s="569">
        <f t="shared" si="8"/>
        <v>1354520.29837</v>
      </c>
      <c r="G130" s="569">
        <f t="shared" si="9"/>
        <v>130162</v>
      </c>
      <c r="H130" s="602">
        <f t="shared" si="10"/>
        <v>37915742</v>
      </c>
      <c r="I130" s="26">
        <f>I39+K75+I110</f>
        <v>11903712</v>
      </c>
      <c r="J130" s="37">
        <f>K39+J75+J110</f>
        <v>4300893</v>
      </c>
      <c r="K130" s="38">
        <f>J39+J75+J110</f>
        <v>4876570</v>
      </c>
      <c r="L130" s="41">
        <f>SUM(E130,F130,G130,I130,J130,)</f>
        <v>54120347</v>
      </c>
      <c r="M130" s="11"/>
      <c r="N130" s="11"/>
      <c r="O130" s="11"/>
      <c r="P130" s="10"/>
      <c r="Q130" s="10"/>
      <c r="S130" s="10"/>
    </row>
    <row r="131" spans="1:19" ht="23.25" x14ac:dyDescent="0.35">
      <c r="A131" s="11">
        <v>0.9517686714348732</v>
      </c>
      <c r="B131" s="11">
        <v>0.92480567620738297</v>
      </c>
      <c r="D131" s="24" t="s">
        <v>5</v>
      </c>
      <c r="E131" s="569">
        <f t="shared" si="8"/>
        <v>39073010.696791038</v>
      </c>
      <c r="F131" s="569">
        <f t="shared" si="8"/>
        <v>1895451.7426</v>
      </c>
      <c r="G131" s="569">
        <f t="shared" si="9"/>
        <v>141476.55693999998</v>
      </c>
      <c r="H131" s="602">
        <f t="shared" si="10"/>
        <v>41109938.996331036</v>
      </c>
      <c r="I131" s="26">
        <f>I40+K76+I111</f>
        <v>13152895</v>
      </c>
      <c r="J131" s="37">
        <f>K40+J76+J111</f>
        <v>4138228</v>
      </c>
      <c r="K131" s="38">
        <f>J40+J76+J111</f>
        <v>4519214</v>
      </c>
      <c r="L131" s="41">
        <f>SUM(E131,F131,G131,I131,J131,)</f>
        <v>58401061.996331036</v>
      </c>
      <c r="M131" s="11"/>
      <c r="N131" s="11"/>
      <c r="O131" s="11"/>
      <c r="P131" s="10"/>
      <c r="Q131" s="10"/>
      <c r="S131" s="10"/>
    </row>
    <row r="132" spans="1:19" ht="23.25" x14ac:dyDescent="0.35">
      <c r="A132" s="11">
        <v>0.97093136095156707</v>
      </c>
      <c r="B132" s="11">
        <v>1</v>
      </c>
      <c r="D132" s="24" t="s">
        <v>6</v>
      </c>
      <c r="E132" s="569">
        <f t="shared" si="8"/>
        <v>41986605.229639992</v>
      </c>
      <c r="F132" s="569">
        <f t="shared" si="8"/>
        <v>2195294.8954400001</v>
      </c>
      <c r="G132" s="569">
        <f t="shared" si="9"/>
        <v>159460.36798000001</v>
      </c>
      <c r="H132" s="602">
        <f t="shared" si="10"/>
        <v>44341360.493059993</v>
      </c>
      <c r="I132" s="26">
        <f>I41+K77+I112</f>
        <v>12480540</v>
      </c>
      <c r="J132" s="37">
        <f>K41+J77+J112</f>
        <v>4583079</v>
      </c>
      <c r="K132" s="38">
        <f>J41+J77+J112</f>
        <v>7330352</v>
      </c>
      <c r="L132" s="41">
        <f>SUM(E132,F132,G132,I132,J132,)</f>
        <v>61404979.493059993</v>
      </c>
      <c r="M132" s="11"/>
      <c r="N132" s="11"/>
      <c r="O132" s="11"/>
      <c r="P132" s="10"/>
      <c r="Q132" s="10"/>
      <c r="S132" s="10"/>
    </row>
    <row r="133" spans="1:19" ht="24" thickBot="1" x14ac:dyDescent="0.4">
      <c r="A133" s="11">
        <v>1</v>
      </c>
      <c r="D133" s="29" t="s">
        <v>7</v>
      </c>
      <c r="E133" s="569">
        <f t="shared" si="8"/>
        <v>43346612</v>
      </c>
      <c r="F133" s="569">
        <f t="shared" si="8"/>
        <v>2127889</v>
      </c>
      <c r="G133" s="569">
        <f t="shared" si="9"/>
        <v>168072</v>
      </c>
      <c r="H133" s="602">
        <f t="shared" si="10"/>
        <v>45642573</v>
      </c>
      <c r="I133" s="39">
        <f>I42+K78+I113</f>
        <v>13246818</v>
      </c>
      <c r="J133" s="39">
        <f>K42+J78+J113</f>
        <v>4082646</v>
      </c>
      <c r="K133" s="40">
        <f>J42+J78+J113</f>
        <v>5375368</v>
      </c>
      <c r="L133" s="41">
        <f>SUM(E133,F133,G133,I133,J133,)</f>
        <v>62972037</v>
      </c>
      <c r="M133" s="11"/>
      <c r="N133" s="11"/>
      <c r="O133" s="11"/>
      <c r="P133" s="10"/>
      <c r="Q133" s="10"/>
      <c r="S133" s="10"/>
    </row>
    <row r="134" spans="1:19" ht="23.25" x14ac:dyDescent="0.35">
      <c r="A134" s="11">
        <v>1</v>
      </c>
      <c r="D134" s="11" t="s">
        <v>489</v>
      </c>
      <c r="E134" s="569">
        <f>SUM(E98,E61,E25)</f>
        <v>43183319.690059997</v>
      </c>
      <c r="F134" s="569">
        <f>SUM(F98,F61,F25)</f>
        <v>1872992.7305600001</v>
      </c>
      <c r="G134" s="569">
        <f t="shared" si="9"/>
        <v>176395.174</v>
      </c>
      <c r="H134" s="602">
        <f>SUM(E134:G134)</f>
        <v>45232707.594619997</v>
      </c>
      <c r="I134" s="11"/>
      <c r="J134" s="11"/>
      <c r="K134" s="11"/>
      <c r="L134" s="11"/>
      <c r="M134" s="11"/>
      <c r="N134" s="11"/>
      <c r="O134" s="11"/>
      <c r="P134" s="10"/>
      <c r="Q134" s="10"/>
      <c r="S134" s="10"/>
    </row>
    <row r="135" spans="1:19" ht="23.25" x14ac:dyDescent="0.35">
      <c r="D135" s="11"/>
      <c r="E135" s="11"/>
      <c r="F135" s="11"/>
      <c r="G135" s="11"/>
      <c r="H135" s="11"/>
      <c r="I135" s="11"/>
      <c r="J135" s="11"/>
      <c r="K135" s="11"/>
      <c r="L135" s="11"/>
      <c r="M135" s="11"/>
      <c r="N135" s="11"/>
      <c r="O135" s="11"/>
      <c r="P135" s="10"/>
      <c r="Q135" s="10"/>
      <c r="S135" s="10"/>
    </row>
    <row r="136" spans="1:19" ht="24" thickBot="1" x14ac:dyDescent="0.4">
      <c r="D136" s="1946" t="s">
        <v>63</v>
      </c>
      <c r="E136" s="1946"/>
      <c r="F136" s="1946"/>
      <c r="G136" s="1946"/>
      <c r="H136" s="1946"/>
      <c r="I136" s="1946"/>
      <c r="J136" s="1946"/>
      <c r="K136" s="1946"/>
      <c r="L136" s="11"/>
      <c r="M136" s="11"/>
      <c r="N136" s="11"/>
      <c r="O136" s="11"/>
      <c r="P136" s="10"/>
    </row>
    <row r="137" spans="1:19" ht="90.75" x14ac:dyDescent="0.35">
      <c r="D137" s="50" t="s">
        <v>1</v>
      </c>
      <c r="E137" s="51" t="s">
        <v>42</v>
      </c>
      <c r="F137" s="51" t="s">
        <v>43</v>
      </c>
      <c r="G137" s="51" t="s">
        <v>44</v>
      </c>
      <c r="H137" s="51" t="s">
        <v>58</v>
      </c>
      <c r="I137" s="51" t="s">
        <v>60</v>
      </c>
      <c r="J137" s="51" t="s">
        <v>62</v>
      </c>
      <c r="K137" s="36" t="s">
        <v>59</v>
      </c>
      <c r="L137" s="11" t="s">
        <v>264</v>
      </c>
      <c r="M137" s="10"/>
      <c r="N137" s="10"/>
      <c r="O137" s="10"/>
      <c r="P137" s="10"/>
    </row>
    <row r="138" spans="1:19" ht="22.5" x14ac:dyDescent="0.3">
      <c r="B138" s="8"/>
      <c r="C138" s="11"/>
      <c r="D138" s="17" t="s">
        <v>68</v>
      </c>
      <c r="E138" s="484"/>
      <c r="F138" s="487"/>
      <c r="G138" s="484"/>
      <c r="H138" s="486"/>
      <c r="I138" s="486"/>
      <c r="J138" s="486"/>
      <c r="K138" s="486"/>
      <c r="L138" s="44"/>
      <c r="M138" s="44"/>
      <c r="N138" s="45"/>
      <c r="O138" s="45"/>
      <c r="P138" s="45"/>
    </row>
    <row r="139" spans="1:19" ht="22.5" x14ac:dyDescent="0.3">
      <c r="B139" s="8"/>
      <c r="C139" s="11"/>
      <c r="D139" s="17" t="s">
        <v>69</v>
      </c>
      <c r="E139" s="484"/>
      <c r="F139" s="487"/>
      <c r="G139" s="484"/>
      <c r="H139" s="486"/>
      <c r="I139" s="486"/>
      <c r="J139" s="486"/>
      <c r="K139" s="486"/>
      <c r="L139" s="44"/>
      <c r="M139" s="44"/>
      <c r="N139" s="45"/>
      <c r="O139" s="45"/>
      <c r="P139" s="45"/>
    </row>
    <row r="140" spans="1:19" ht="22.5" x14ac:dyDescent="0.3">
      <c r="B140" s="8"/>
      <c r="C140" s="11"/>
      <c r="D140" s="17" t="s">
        <v>70</v>
      </c>
      <c r="E140" s="484"/>
      <c r="F140" s="487"/>
      <c r="G140" s="484"/>
      <c r="H140" s="486"/>
      <c r="I140" s="486"/>
      <c r="J140" s="486"/>
      <c r="K140" s="486"/>
      <c r="L140" s="44"/>
      <c r="M140" s="44"/>
      <c r="N140" s="45"/>
      <c r="O140" s="45"/>
      <c r="P140" s="45"/>
    </row>
    <row r="141" spans="1:19" ht="22.5" x14ac:dyDescent="0.3">
      <c r="B141" s="8"/>
      <c r="C141" s="11"/>
      <c r="D141" s="17" t="s">
        <v>71</v>
      </c>
      <c r="E141" s="484"/>
      <c r="F141" s="487"/>
      <c r="G141" s="484"/>
      <c r="H141" s="486"/>
      <c r="I141" s="486"/>
      <c r="J141" s="486"/>
      <c r="K141" s="486"/>
      <c r="L141" s="44"/>
      <c r="M141" s="44"/>
      <c r="N141" s="45"/>
      <c r="O141" s="45"/>
      <c r="P141" s="45"/>
    </row>
    <row r="142" spans="1:19" ht="22.5" x14ac:dyDescent="0.3">
      <c r="B142" s="8"/>
      <c r="C142" s="11"/>
      <c r="D142" s="17" t="s">
        <v>72</v>
      </c>
      <c r="E142" s="484"/>
      <c r="F142" s="487"/>
      <c r="G142" s="484"/>
      <c r="H142" s="486"/>
      <c r="I142" s="486"/>
      <c r="J142" s="486"/>
      <c r="K142" s="486"/>
      <c r="L142" s="44"/>
      <c r="M142" s="44"/>
      <c r="N142" s="45"/>
      <c r="O142" s="45"/>
      <c r="P142" s="45"/>
    </row>
    <row r="143" spans="1:19" ht="22.5" x14ac:dyDescent="0.3">
      <c r="B143" s="8"/>
      <c r="C143" s="11"/>
      <c r="D143" s="17" t="s">
        <v>73</v>
      </c>
      <c r="E143" s="484"/>
      <c r="F143" s="487"/>
      <c r="G143" s="484"/>
      <c r="H143" s="486"/>
      <c r="I143" s="486"/>
      <c r="J143" s="486"/>
      <c r="K143" s="486"/>
      <c r="L143" s="44"/>
      <c r="M143" s="44"/>
      <c r="N143" s="45"/>
      <c r="O143" s="45"/>
      <c r="P143" s="45"/>
    </row>
    <row r="144" spans="1:19" ht="23.25" x14ac:dyDescent="0.35">
      <c r="D144" s="24"/>
      <c r="E144" s="26" t="e">
        <f t="shared" ref="E144:F150" si="11">E18+F54+E90</f>
        <v>#VALUE!</v>
      </c>
      <c r="F144" s="26" t="e">
        <f t="shared" si="11"/>
        <v>#VALUE!</v>
      </c>
      <c r="G144" s="26">
        <f>G18+H54</f>
        <v>5793300.5154999997</v>
      </c>
      <c r="H144" s="225" t="e">
        <f t="shared" ref="H144:H150" si="12">SUM(E144:G144)</f>
        <v>#VALUE!</v>
      </c>
      <c r="I144" s="26"/>
      <c r="J144" s="26"/>
      <c r="K144" s="38"/>
      <c r="L144" s="41"/>
      <c r="M144" s="10"/>
      <c r="N144" s="10"/>
      <c r="O144" s="10"/>
      <c r="P144" s="10"/>
    </row>
    <row r="145" spans="4:16" ht="23.25" x14ac:dyDescent="0.35">
      <c r="D145" s="24"/>
      <c r="E145" s="26" t="e">
        <f t="shared" si="11"/>
        <v>#VALUE!</v>
      </c>
      <c r="F145" s="26" t="e">
        <f t="shared" si="11"/>
        <v>#VALUE!</v>
      </c>
      <c r="G145" s="26">
        <f>G19+H55</f>
        <v>6431297.8149999995</v>
      </c>
      <c r="H145" s="225" t="e">
        <f t="shared" si="12"/>
        <v>#VALUE!</v>
      </c>
      <c r="I145" s="26"/>
      <c r="J145" s="26"/>
      <c r="K145" s="38"/>
      <c r="L145" s="41"/>
      <c r="M145" s="10"/>
      <c r="N145" s="10"/>
      <c r="O145" s="10"/>
      <c r="P145" s="10"/>
    </row>
    <row r="146" spans="4:16" ht="23.25" x14ac:dyDescent="0.35">
      <c r="D146" s="24"/>
      <c r="E146" s="26" t="e">
        <f t="shared" si="11"/>
        <v>#VALUE!</v>
      </c>
      <c r="F146" s="26" t="e">
        <f t="shared" si="11"/>
        <v>#VALUE!</v>
      </c>
      <c r="G146" s="26">
        <f>G20+H56</f>
        <v>6599301.125</v>
      </c>
      <c r="H146" s="225" t="e">
        <f t="shared" si="12"/>
        <v>#VALUE!</v>
      </c>
      <c r="I146" s="26"/>
      <c r="J146" s="26"/>
      <c r="K146" s="38"/>
      <c r="L146" s="41"/>
      <c r="M146" s="10"/>
      <c r="N146" s="10"/>
      <c r="O146" s="10"/>
      <c r="P146" s="10"/>
    </row>
    <row r="147" spans="4:16" ht="23.25" x14ac:dyDescent="0.35">
      <c r="D147" s="24" t="s">
        <v>4</v>
      </c>
      <c r="E147" s="26">
        <f t="shared" si="11"/>
        <v>30171739.70163</v>
      </c>
      <c r="F147" s="26">
        <f t="shared" si="11"/>
        <v>951718.29836999997</v>
      </c>
      <c r="G147" s="26">
        <f t="shared" ref="G147:I150" si="13">G21+H57+G93</f>
        <v>6808911</v>
      </c>
      <c r="H147" s="225">
        <f t="shared" si="12"/>
        <v>37932369</v>
      </c>
      <c r="I147" s="26">
        <f t="shared" si="13"/>
        <v>11020951</v>
      </c>
      <c r="J147" s="26">
        <f>K21+K57+J93</f>
        <v>3090252</v>
      </c>
      <c r="K147" s="38">
        <f>J21+J57+J93</f>
        <v>4390817</v>
      </c>
      <c r="L147" s="41">
        <f>SUM(E147,F147,G147,I147,J147,)</f>
        <v>52043572</v>
      </c>
      <c r="M147" s="10"/>
      <c r="N147" s="10"/>
      <c r="O147" s="10"/>
      <c r="P147" s="10"/>
    </row>
    <row r="148" spans="4:16" ht="22.5" x14ac:dyDescent="0.3">
      <c r="D148" s="24" t="s">
        <v>5</v>
      </c>
      <c r="E148" s="26">
        <f t="shared" si="11"/>
        <v>32551944.696791034</v>
      </c>
      <c r="F148" s="26">
        <f t="shared" si="11"/>
        <v>1579275.7426</v>
      </c>
      <c r="G148" s="26">
        <f t="shared" si="13"/>
        <v>7597791.5569399996</v>
      </c>
      <c r="H148" s="225">
        <f t="shared" si="12"/>
        <v>41729011.996331029</v>
      </c>
      <c r="I148" s="26">
        <f t="shared" si="13"/>
        <v>12250806</v>
      </c>
      <c r="J148" s="26">
        <f>K22+K58+J94</f>
        <v>3105812</v>
      </c>
      <c r="K148" s="38">
        <f>J22+J58+J94</f>
        <v>4286610</v>
      </c>
      <c r="L148" s="41">
        <f>SUM(E148,F148,G148,I148,J148,)</f>
        <v>57085629.996331029</v>
      </c>
    </row>
    <row r="149" spans="4:16" ht="22.5" x14ac:dyDescent="0.3">
      <c r="D149" s="24" t="s">
        <v>6</v>
      </c>
      <c r="E149" s="26">
        <f t="shared" si="11"/>
        <v>34892427.229639992</v>
      </c>
      <c r="F149" s="26">
        <f t="shared" si="11"/>
        <v>1631476.8954399999</v>
      </c>
      <c r="G149" s="26">
        <f t="shared" si="13"/>
        <v>8370154.3679799996</v>
      </c>
      <c r="H149" s="225">
        <f t="shared" si="12"/>
        <v>44894058.493059993</v>
      </c>
      <c r="I149" s="26">
        <f t="shared" si="13"/>
        <v>13382737</v>
      </c>
      <c r="J149" s="26">
        <f>K23+K59+J95</f>
        <v>3181243</v>
      </c>
      <c r="K149" s="38">
        <f>J23+J59+J95</f>
        <v>7149453</v>
      </c>
      <c r="L149" s="41">
        <f>SUM(E149,F149,G149,I149,J149,)</f>
        <v>61458038.493059993</v>
      </c>
    </row>
    <row r="150" spans="4:16" ht="23.25" thickBot="1" x14ac:dyDescent="0.35">
      <c r="D150" s="29" t="s">
        <v>7</v>
      </c>
      <c r="E150" s="26">
        <f t="shared" si="11"/>
        <v>36954633</v>
      </c>
      <c r="F150" s="26">
        <f t="shared" si="11"/>
        <v>1760185</v>
      </c>
      <c r="G150" s="26">
        <f t="shared" si="13"/>
        <v>7326514</v>
      </c>
      <c r="H150" s="225">
        <f t="shared" si="12"/>
        <v>46041332</v>
      </c>
      <c r="I150" s="26">
        <f t="shared" si="13"/>
        <v>13890799</v>
      </c>
      <c r="J150" s="26">
        <f>K24+K60+J96</f>
        <v>3246804</v>
      </c>
      <c r="K150" s="38">
        <f>J24+J60+J96</f>
        <v>5372703</v>
      </c>
      <c r="L150" s="41">
        <f>SUM(E150,F150,G150,I150,J150,)</f>
        <v>63178935</v>
      </c>
    </row>
    <row r="151" spans="4:16" x14ac:dyDescent="0.25">
      <c r="E151" s="225">
        <f>SUM(E114,E79,E43)</f>
        <v>43183319.690059997</v>
      </c>
      <c r="F151" s="225">
        <f>SUM(F114,F79,F43)</f>
        <v>1872992.7305600001</v>
      </c>
      <c r="G151" s="225">
        <f>SUM(G114,G79,G43)</f>
        <v>177240.174</v>
      </c>
      <c r="H151" s="225">
        <f>SUM(E151:G151)</f>
        <v>45233552.594619997</v>
      </c>
    </row>
  </sheetData>
  <customSheetViews>
    <customSheetView guid="{9EA95E61-FCA5-4867-AEB4-B8C24058ACDD}" scale="60" showGridLines="0" showRowCol="0" state="hidden" topLeftCell="C17">
      <selection activeCell="E48" sqref="E48"/>
      <pageMargins left="0.7" right="0.7" top="0.75" bottom="0.75" header="0.3" footer="0.3"/>
      <pageSetup paperSize="9" orientation="portrait" r:id="rId1"/>
    </customSheetView>
  </customSheetViews>
  <mergeCells count="7">
    <mergeCell ref="D136:K136"/>
    <mergeCell ref="D10:S10"/>
    <mergeCell ref="D46:O46"/>
    <mergeCell ref="D64:O64"/>
    <mergeCell ref="D82:N82"/>
    <mergeCell ref="D99:N99"/>
    <mergeCell ref="D28:S28"/>
  </mergeCells>
  <pageMargins left="0.7" right="0.7" top="0.75" bottom="0.75" header="0.3" footer="0.3"/>
  <pageSetup paperSize="9" orientation="portrait" r:id="rId2"/>
  <drawing r:id="rId3"/>
  <legacyDrawing r:id="rId4"/>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P40"/>
  <sheetViews>
    <sheetView workbookViewId="0">
      <selection activeCell="A36" sqref="A36"/>
    </sheetView>
  </sheetViews>
  <sheetFormatPr defaultRowHeight="15" x14ac:dyDescent="0.25"/>
  <cols>
    <col min="1" max="1" width="50.140625" bestFit="1" customWidth="1"/>
    <col min="2" max="6" width="12.7109375" bestFit="1" customWidth="1"/>
    <col min="7" max="7" width="12.28515625" customWidth="1"/>
    <col min="8" max="8" width="11.5703125" bestFit="1" customWidth="1"/>
    <col min="9" max="9" width="14.85546875" customWidth="1"/>
    <col min="15" max="15" width="9.85546875" bestFit="1" customWidth="1"/>
  </cols>
  <sheetData>
    <row r="1" spans="1:16" x14ac:dyDescent="0.25">
      <c r="A1" s="377" t="s">
        <v>415</v>
      </c>
    </row>
    <row r="2" spans="1:16" x14ac:dyDescent="0.25">
      <c r="A2" s="386"/>
      <c r="B2" s="290" t="s">
        <v>68</v>
      </c>
      <c r="C2" s="290" t="s">
        <v>69</v>
      </c>
      <c r="D2" s="290" t="s">
        <v>70</v>
      </c>
      <c r="E2" s="290" t="s">
        <v>494</v>
      </c>
      <c r="F2" s="290" t="s">
        <v>493</v>
      </c>
      <c r="G2" s="387" t="s">
        <v>73</v>
      </c>
      <c r="H2" s="387" t="s">
        <v>192</v>
      </c>
      <c r="I2" s="387" t="s">
        <v>193</v>
      </c>
      <c r="J2" s="387" t="s">
        <v>194</v>
      </c>
      <c r="K2" s="387" t="s">
        <v>195</v>
      </c>
      <c r="L2" s="387" t="s">
        <v>196</v>
      </c>
      <c r="M2" s="387" t="s">
        <v>6</v>
      </c>
      <c r="N2" s="388" t="s">
        <v>7</v>
      </c>
      <c r="O2" s="542" t="s">
        <v>489</v>
      </c>
    </row>
    <row r="3" spans="1:16" x14ac:dyDescent="0.25">
      <c r="A3" s="389" t="s">
        <v>416</v>
      </c>
      <c r="B3" s="5"/>
      <c r="C3" s="5"/>
      <c r="D3" s="5"/>
      <c r="E3" s="5"/>
      <c r="F3" s="5"/>
      <c r="G3" s="5"/>
      <c r="H3" s="5"/>
      <c r="I3" s="5"/>
      <c r="J3" s="5"/>
      <c r="K3" s="5"/>
      <c r="L3" s="5"/>
      <c r="M3" s="5"/>
      <c r="N3" s="195"/>
      <c r="O3" s="543"/>
    </row>
    <row r="4" spans="1:16" x14ac:dyDescent="0.25">
      <c r="A4" s="390" t="s">
        <v>417</v>
      </c>
      <c r="B4" s="323">
        <v>1208098.3759999999</v>
      </c>
      <c r="C4" s="323">
        <v>1360825.466</v>
      </c>
      <c r="D4" s="323">
        <v>1515722.071</v>
      </c>
      <c r="E4" s="323">
        <v>1715875.2490000001</v>
      </c>
      <c r="F4" s="323">
        <v>1942759.5090000001</v>
      </c>
      <c r="G4" s="323">
        <v>2231056.7409999999</v>
      </c>
      <c r="H4" s="323">
        <v>2591885</v>
      </c>
      <c r="I4" s="323">
        <v>2647598</v>
      </c>
      <c r="J4" s="323">
        <v>2814027</v>
      </c>
      <c r="K4" s="323">
        <v>3115381</v>
      </c>
      <c r="L4" s="323">
        <v>3460008</v>
      </c>
      <c r="M4" s="323">
        <v>3773131</v>
      </c>
      <c r="N4" s="391">
        <v>4111128</v>
      </c>
      <c r="O4" s="543">
        <v>4433103.6488100002</v>
      </c>
      <c r="P4" t="s">
        <v>266</v>
      </c>
    </row>
    <row r="5" spans="1:16" x14ac:dyDescent="0.25">
      <c r="A5" s="390" t="s">
        <v>418</v>
      </c>
      <c r="B5" s="323">
        <v>207806.16</v>
      </c>
      <c r="C5" s="323">
        <v>234957.94500000001</v>
      </c>
      <c r="D5" s="323">
        <v>282305.07900000003</v>
      </c>
      <c r="E5" s="323">
        <v>312253.77899999998</v>
      </c>
      <c r="F5" s="323">
        <v>321389.98700000002</v>
      </c>
      <c r="G5" s="323">
        <v>370922.56699999998</v>
      </c>
      <c r="H5" s="323">
        <v>405985</v>
      </c>
      <c r="I5" s="323">
        <v>594689</v>
      </c>
      <c r="J5" s="323">
        <v>748493</v>
      </c>
      <c r="K5" s="323">
        <v>942142</v>
      </c>
      <c r="L5" s="323">
        <v>1119410</v>
      </c>
      <c r="M5" s="323">
        <v>1307254</v>
      </c>
      <c r="N5" s="391">
        <v>1455860</v>
      </c>
      <c r="O5" s="543">
        <v>1657692.166894</v>
      </c>
      <c r="P5" t="s">
        <v>56</v>
      </c>
    </row>
    <row r="6" spans="1:16" x14ac:dyDescent="0.25">
      <c r="A6" s="390" t="s">
        <v>419</v>
      </c>
      <c r="B6" s="323">
        <v>703501.16899999999</v>
      </c>
      <c r="C6" s="323">
        <v>752143.06499999994</v>
      </c>
      <c r="D6" s="323">
        <v>796346.42099999997</v>
      </c>
      <c r="E6" s="323">
        <v>814983.57900000003</v>
      </c>
      <c r="F6" s="323">
        <v>785673.26699999999</v>
      </c>
      <c r="G6" s="323">
        <v>806799.03599999996</v>
      </c>
      <c r="H6" s="323">
        <v>743426</v>
      </c>
      <c r="I6" s="323">
        <v>853397</v>
      </c>
      <c r="J6" s="323">
        <v>911504</v>
      </c>
      <c r="K6" s="323">
        <v>1045835</v>
      </c>
      <c r="L6" s="323">
        <v>1119750</v>
      </c>
      <c r="M6" s="323">
        <v>1177681</v>
      </c>
      <c r="N6" s="391">
        <v>1226148</v>
      </c>
      <c r="O6" s="543">
        <v>1340134.8763599999</v>
      </c>
    </row>
    <row r="7" spans="1:16" x14ac:dyDescent="0.25">
      <c r="A7" s="390" t="s">
        <v>420</v>
      </c>
      <c r="B7" s="323">
        <v>843828.46299999999</v>
      </c>
      <c r="C7" s="323">
        <v>892723.43299999996</v>
      </c>
      <c r="D7" s="323">
        <v>990416.12199999997</v>
      </c>
      <c r="E7" s="323">
        <v>996554.07400000002</v>
      </c>
      <c r="F7" s="323">
        <v>926965.07499999995</v>
      </c>
      <c r="G7" s="323">
        <v>946832.94200000004</v>
      </c>
      <c r="H7" s="323">
        <v>951971</v>
      </c>
      <c r="I7" s="323">
        <v>981559</v>
      </c>
      <c r="J7" s="323">
        <v>982216</v>
      </c>
      <c r="K7" s="323">
        <v>1085634</v>
      </c>
      <c r="L7" s="323">
        <v>1104583</v>
      </c>
      <c r="M7" s="323">
        <v>1099538</v>
      </c>
      <c r="N7" s="391">
        <v>1163635</v>
      </c>
      <c r="O7" s="543">
        <v>1336928.3518899998</v>
      </c>
    </row>
    <row r="8" spans="1:16" x14ac:dyDescent="0.25">
      <c r="A8" s="390" t="s">
        <v>421</v>
      </c>
      <c r="B8" s="323">
        <v>568520.84299999999</v>
      </c>
      <c r="C8" s="323">
        <v>568561.21900000004</v>
      </c>
      <c r="D8" s="323">
        <v>608293.50899999996</v>
      </c>
      <c r="E8" s="323">
        <v>644128.05200000003</v>
      </c>
      <c r="F8" s="323">
        <v>623559.84</v>
      </c>
      <c r="G8" s="323">
        <v>686892.95</v>
      </c>
      <c r="H8" s="323">
        <v>799962</v>
      </c>
      <c r="I8" s="323">
        <v>1031786</v>
      </c>
      <c r="J8" s="323">
        <v>1161463</v>
      </c>
      <c r="K8" s="323">
        <v>1279173</v>
      </c>
      <c r="L8" s="323">
        <v>1506901</v>
      </c>
      <c r="M8" s="323">
        <v>1289767</v>
      </c>
      <c r="N8" s="391">
        <v>1436318</v>
      </c>
      <c r="O8" s="543">
        <v>1807315.6982280002</v>
      </c>
    </row>
    <row r="9" spans="1:16" x14ac:dyDescent="0.25">
      <c r="A9" s="390" t="s">
        <v>422</v>
      </c>
      <c r="B9" s="323">
        <v>121953.905</v>
      </c>
      <c r="C9" s="323">
        <v>134783.788</v>
      </c>
      <c r="D9" s="323">
        <v>187190.421</v>
      </c>
      <c r="E9" s="323">
        <v>246238.625</v>
      </c>
      <c r="F9" s="323">
        <v>338172.04399999999</v>
      </c>
      <c r="G9" s="323">
        <v>408800.35100000002</v>
      </c>
      <c r="H9" s="323">
        <v>609215</v>
      </c>
      <c r="I9" s="323">
        <v>669508</v>
      </c>
      <c r="J9" s="323">
        <v>738923</v>
      </c>
      <c r="K9" s="323">
        <v>916352</v>
      </c>
      <c r="L9" s="323">
        <v>962768</v>
      </c>
      <c r="M9" s="323">
        <v>950531</v>
      </c>
      <c r="N9" s="391">
        <v>1061324</v>
      </c>
      <c r="O9" s="543">
        <v>1295428.88378</v>
      </c>
    </row>
    <row r="10" spans="1:16" x14ac:dyDescent="0.25">
      <c r="A10" s="390" t="s">
        <v>423</v>
      </c>
      <c r="B10" s="323">
        <v>1330337.07</v>
      </c>
      <c r="C10" s="323">
        <v>1582952.3019999999</v>
      </c>
      <c r="D10" s="323">
        <v>816992.40700000001</v>
      </c>
      <c r="E10" s="323">
        <v>810494.19099999999</v>
      </c>
      <c r="F10" s="323">
        <v>1065124.4350000001</v>
      </c>
      <c r="G10" s="323">
        <v>997102.81099999999</v>
      </c>
      <c r="H10" s="323">
        <v>888577</v>
      </c>
      <c r="I10" s="323">
        <v>1435572</v>
      </c>
      <c r="J10" s="323">
        <v>1612571</v>
      </c>
      <c r="K10" s="323">
        <v>1747727</v>
      </c>
      <c r="L10" s="323">
        <v>1852820</v>
      </c>
      <c r="M10" s="323">
        <v>2243732</v>
      </c>
      <c r="N10" s="391">
        <v>2506806</v>
      </c>
      <c r="O10" s="1428">
        <v>3070984</v>
      </c>
    </row>
    <row r="11" spans="1:16" x14ac:dyDescent="0.25">
      <c r="A11" s="389" t="s">
        <v>428</v>
      </c>
      <c r="B11" s="392">
        <f t="shared" ref="B11:G11" si="0">SUM(B4:B10)</f>
        <v>4984045.9859999996</v>
      </c>
      <c r="C11" s="392">
        <f t="shared" si="0"/>
        <v>5526947.2180000003</v>
      </c>
      <c r="D11" s="392">
        <f t="shared" si="0"/>
        <v>5197266.0299999993</v>
      </c>
      <c r="E11" s="392">
        <f t="shared" si="0"/>
        <v>5540527.5489999996</v>
      </c>
      <c r="F11" s="392">
        <f t="shared" si="0"/>
        <v>6003644.1569999997</v>
      </c>
      <c r="G11" s="392">
        <f t="shared" si="0"/>
        <v>6448407.3979999991</v>
      </c>
      <c r="H11" s="392">
        <v>6991023</v>
      </c>
      <c r="I11" s="392">
        <v>8214109</v>
      </c>
      <c r="J11" s="392">
        <v>8969197</v>
      </c>
      <c r="K11" s="392">
        <v>10132245</v>
      </c>
      <c r="L11" s="392">
        <v>11126240</v>
      </c>
      <c r="M11" s="392">
        <v>11841634</v>
      </c>
      <c r="N11" s="393">
        <v>12961219</v>
      </c>
      <c r="O11" s="544">
        <f>SUM(O4:O10)</f>
        <v>14941587.625962</v>
      </c>
    </row>
    <row r="12" spans="1:16" x14ac:dyDescent="0.25">
      <c r="A12" s="390"/>
      <c r="B12" s="5"/>
      <c r="C12" s="5"/>
      <c r="D12" s="5"/>
      <c r="E12" s="5"/>
      <c r="F12" s="5"/>
      <c r="G12" s="5"/>
      <c r="H12" s="5"/>
      <c r="I12" s="5"/>
      <c r="J12" s="5"/>
      <c r="K12" s="5"/>
      <c r="L12" s="5"/>
      <c r="M12" s="5"/>
      <c r="N12" s="195"/>
      <c r="O12" s="543"/>
    </row>
    <row r="13" spans="1:16" x14ac:dyDescent="0.25">
      <c r="A13" s="389" t="s">
        <v>56</v>
      </c>
      <c r="B13" s="5"/>
      <c r="C13" s="5"/>
      <c r="D13" s="5"/>
      <c r="E13" s="5"/>
      <c r="F13" s="5"/>
      <c r="G13" s="5"/>
      <c r="H13" s="5"/>
      <c r="I13" s="5"/>
      <c r="J13" s="5"/>
      <c r="K13" s="5"/>
      <c r="L13" s="5"/>
      <c r="M13" s="5"/>
      <c r="N13" s="195"/>
      <c r="O13" s="543"/>
    </row>
    <row r="14" spans="1:16" x14ac:dyDescent="0.25">
      <c r="A14" s="390" t="s">
        <v>417</v>
      </c>
      <c r="B14" s="323"/>
      <c r="C14" s="323"/>
      <c r="D14" s="323"/>
      <c r="E14" s="323"/>
      <c r="F14" s="323"/>
      <c r="G14" s="323">
        <v>79735.21209999999</v>
      </c>
      <c r="H14" s="323">
        <v>56869</v>
      </c>
      <c r="I14" s="323">
        <v>113846</v>
      </c>
      <c r="J14" s="323">
        <v>139378</v>
      </c>
      <c r="K14" s="323">
        <v>170870</v>
      </c>
      <c r="L14" s="323">
        <v>187408</v>
      </c>
      <c r="M14" s="323">
        <v>200988</v>
      </c>
      <c r="N14" s="391">
        <v>186145</v>
      </c>
      <c r="O14" s="543">
        <v>112300.01018</v>
      </c>
    </row>
    <row r="15" spans="1:16" x14ac:dyDescent="0.25">
      <c r="A15" s="390" t="s">
        <v>418</v>
      </c>
      <c r="B15" s="323"/>
      <c r="C15" s="323"/>
      <c r="D15" s="323"/>
      <c r="E15" s="323"/>
      <c r="F15" s="323"/>
      <c r="G15" s="323">
        <v>67526.954919999989</v>
      </c>
      <c r="H15" s="323">
        <v>67404</v>
      </c>
      <c r="I15" s="323">
        <v>86998</v>
      </c>
      <c r="J15" s="323">
        <v>73611</v>
      </c>
      <c r="K15" s="323">
        <v>95094</v>
      </c>
      <c r="L15" s="323">
        <v>120947</v>
      </c>
      <c r="M15" s="323">
        <v>124955</v>
      </c>
      <c r="N15" s="391">
        <v>129315</v>
      </c>
      <c r="O15" s="543">
        <v>59740.412260000005</v>
      </c>
    </row>
    <row r="16" spans="1:16" x14ac:dyDescent="0.25">
      <c r="A16" s="390" t="s">
        <v>419</v>
      </c>
      <c r="B16" s="323"/>
      <c r="C16" s="323"/>
      <c r="D16" s="323"/>
      <c r="E16" s="323"/>
      <c r="F16" s="323"/>
      <c r="G16" s="323">
        <v>143080.47245500001</v>
      </c>
      <c r="H16" s="323">
        <v>125328</v>
      </c>
      <c r="I16" s="323">
        <v>150141</v>
      </c>
      <c r="J16" s="323">
        <v>152845</v>
      </c>
      <c r="K16" s="323">
        <v>152477</v>
      </c>
      <c r="L16" s="323">
        <v>174110</v>
      </c>
      <c r="M16" s="323">
        <v>183420</v>
      </c>
      <c r="N16" s="391">
        <v>165530</v>
      </c>
      <c r="O16" s="543">
        <v>99305</v>
      </c>
    </row>
    <row r="17" spans="1:15" x14ac:dyDescent="0.25">
      <c r="A17" s="390" t="s">
        <v>420</v>
      </c>
      <c r="B17" s="323"/>
      <c r="C17" s="323"/>
      <c r="D17" s="323"/>
      <c r="E17" s="323"/>
      <c r="F17" s="323"/>
      <c r="G17" s="323">
        <v>404827.71065999998</v>
      </c>
      <c r="H17" s="323">
        <v>426848</v>
      </c>
      <c r="I17" s="323">
        <v>444423</v>
      </c>
      <c r="J17" s="323">
        <v>424533</v>
      </c>
      <c r="K17" s="323">
        <v>480041</v>
      </c>
      <c r="L17" s="323">
        <v>559159</v>
      </c>
      <c r="M17" s="323">
        <v>584065</v>
      </c>
      <c r="N17" s="391">
        <v>501123</v>
      </c>
      <c r="O17" s="543">
        <v>236873</v>
      </c>
    </row>
    <row r="18" spans="1:15" x14ac:dyDescent="0.25">
      <c r="A18" s="390" t="s">
        <v>421</v>
      </c>
      <c r="B18" s="323"/>
      <c r="C18" s="323"/>
      <c r="D18" s="323"/>
      <c r="E18" s="323"/>
      <c r="F18" s="323"/>
      <c r="G18" s="323">
        <v>165463.16182000001</v>
      </c>
      <c r="H18" s="323">
        <v>184047</v>
      </c>
      <c r="I18" s="323">
        <v>266208</v>
      </c>
      <c r="J18" s="323">
        <v>355355</v>
      </c>
      <c r="K18" s="323">
        <v>431229</v>
      </c>
      <c r="L18" s="323">
        <v>517808</v>
      </c>
      <c r="M18" s="323">
        <v>476204</v>
      </c>
      <c r="N18" s="391">
        <v>466498</v>
      </c>
      <c r="O18" s="543">
        <v>409380.05557999999</v>
      </c>
    </row>
    <row r="19" spans="1:15" x14ac:dyDescent="0.25">
      <c r="A19" s="390" t="s">
        <v>422</v>
      </c>
      <c r="B19" s="225"/>
      <c r="C19" s="225"/>
      <c r="D19" s="225"/>
      <c r="E19" s="225"/>
      <c r="F19" s="225"/>
      <c r="G19" s="225">
        <v>148626.62795999998</v>
      </c>
      <c r="H19" s="225">
        <v>3392397</v>
      </c>
      <c r="I19" s="225">
        <v>4167900</v>
      </c>
      <c r="J19" s="225">
        <v>4726131</v>
      </c>
      <c r="K19" s="225">
        <v>5849765</v>
      </c>
      <c r="L19" s="225">
        <v>6660276</v>
      </c>
      <c r="M19" s="225">
        <v>7701685</v>
      </c>
      <c r="N19" s="225">
        <v>8372110</v>
      </c>
      <c r="O19" s="543">
        <v>8563496</v>
      </c>
    </row>
    <row r="20" spans="1:15" x14ac:dyDescent="0.25">
      <c r="A20" s="390" t="s">
        <v>423</v>
      </c>
      <c r="B20" s="323"/>
      <c r="C20" s="323"/>
      <c r="D20" s="323"/>
      <c r="E20" s="323"/>
      <c r="F20" s="323"/>
      <c r="G20" s="323">
        <v>792889.24028000014</v>
      </c>
      <c r="H20" s="323">
        <v>679358</v>
      </c>
      <c r="I20" s="323">
        <v>703698</v>
      </c>
      <c r="J20" s="323">
        <v>920175</v>
      </c>
      <c r="K20" s="323">
        <v>1148231</v>
      </c>
      <c r="L20" s="323">
        <v>729554</v>
      </c>
      <c r="M20" s="323">
        <v>792681</v>
      </c>
      <c r="N20" s="391">
        <v>1053120</v>
      </c>
      <c r="O20" s="543">
        <v>1024723.0468</v>
      </c>
    </row>
    <row r="21" spans="1:15" x14ac:dyDescent="0.25">
      <c r="A21" s="389" t="s">
        <v>428</v>
      </c>
      <c r="B21" s="392"/>
      <c r="C21" s="392"/>
      <c r="D21" s="392"/>
      <c r="E21" s="392"/>
      <c r="F21" s="392"/>
      <c r="G21" s="392">
        <f>SUM(G14:G20)</f>
        <v>1802149.3801950002</v>
      </c>
      <c r="H21" s="392">
        <f>SUM(H14:H20)</f>
        <v>4932251</v>
      </c>
      <c r="I21" s="392">
        <f t="shared" ref="I21:N21" si="1">SUM(I14:I20)</f>
        <v>5933214</v>
      </c>
      <c r="J21" s="392">
        <f t="shared" si="1"/>
        <v>6792028</v>
      </c>
      <c r="K21" s="392">
        <f t="shared" si="1"/>
        <v>8327707</v>
      </c>
      <c r="L21" s="392">
        <f t="shared" si="1"/>
        <v>8949262</v>
      </c>
      <c r="M21" s="392">
        <f t="shared" si="1"/>
        <v>10063998</v>
      </c>
      <c r="N21" s="392">
        <f t="shared" si="1"/>
        <v>10873841</v>
      </c>
      <c r="O21" s="544">
        <v>10505817.52482</v>
      </c>
    </row>
    <row r="22" spans="1:15" x14ac:dyDescent="0.25">
      <c r="A22" s="390"/>
      <c r="B22" s="5"/>
      <c r="C22" s="5"/>
      <c r="D22" s="5"/>
      <c r="E22" s="5"/>
      <c r="F22" s="5"/>
      <c r="G22" s="5"/>
      <c r="H22" s="5"/>
      <c r="I22" s="5"/>
      <c r="J22" s="5"/>
      <c r="K22" s="5"/>
      <c r="L22" s="5"/>
      <c r="M22" s="5"/>
      <c r="N22" s="195"/>
      <c r="O22" s="543"/>
    </row>
    <row r="23" spans="1:15" x14ac:dyDescent="0.25">
      <c r="A23" s="389" t="s">
        <v>424</v>
      </c>
      <c r="B23" s="392"/>
      <c r="C23" s="392"/>
      <c r="D23" s="392"/>
      <c r="E23" s="392"/>
      <c r="F23" s="392"/>
      <c r="G23" s="392">
        <v>58944.731999999996</v>
      </c>
      <c r="H23" s="392">
        <v>58721</v>
      </c>
      <c r="I23" s="392">
        <v>67368</v>
      </c>
      <c r="J23" s="392">
        <v>72493</v>
      </c>
      <c r="K23" s="392">
        <v>94749</v>
      </c>
      <c r="L23" s="392">
        <v>109351</v>
      </c>
      <c r="M23" s="392">
        <v>111812</v>
      </c>
      <c r="N23" s="393">
        <v>96254</v>
      </c>
      <c r="O23" s="1427">
        <v>75130</v>
      </c>
    </row>
    <row r="24" spans="1:15" x14ac:dyDescent="0.25">
      <c r="A24" s="390"/>
      <c r="B24" s="5"/>
      <c r="C24" s="5"/>
      <c r="D24" s="5"/>
      <c r="E24" s="5"/>
      <c r="F24" s="5"/>
      <c r="G24" s="5"/>
      <c r="H24" s="5"/>
      <c r="I24" s="5"/>
      <c r="J24" s="5"/>
      <c r="K24" s="5"/>
      <c r="L24" s="5"/>
      <c r="M24" s="5"/>
      <c r="N24" s="195"/>
      <c r="O24" s="543"/>
    </row>
    <row r="25" spans="1:15" x14ac:dyDescent="0.25">
      <c r="A25" s="394" t="s">
        <v>425</v>
      </c>
      <c r="B25" s="395">
        <f t="shared" ref="B25:H25" si="2">SUM(B11,B21,B23)</f>
        <v>4984045.9859999996</v>
      </c>
      <c r="C25" s="395">
        <f t="shared" si="2"/>
        <v>5526947.2180000003</v>
      </c>
      <c r="D25" s="395">
        <f t="shared" si="2"/>
        <v>5197266.0299999993</v>
      </c>
      <c r="E25" s="395">
        <f t="shared" si="2"/>
        <v>5540527.5489999996</v>
      </c>
      <c r="F25" s="395">
        <f t="shared" si="2"/>
        <v>6003644.1569999997</v>
      </c>
      <c r="G25" s="395">
        <f t="shared" si="2"/>
        <v>8309501.5101949992</v>
      </c>
      <c r="H25" s="395">
        <f t="shared" si="2"/>
        <v>11981995</v>
      </c>
      <c r="I25" s="395">
        <f t="shared" ref="I25:N25" si="3">SUM(I11,I21,I23)</f>
        <v>14214691</v>
      </c>
      <c r="J25" s="395">
        <f t="shared" si="3"/>
        <v>15833718</v>
      </c>
      <c r="K25" s="395">
        <f t="shared" si="3"/>
        <v>18554701</v>
      </c>
      <c r="L25" s="395">
        <f t="shared" si="3"/>
        <v>20184853</v>
      </c>
      <c r="M25" s="395">
        <f t="shared" si="3"/>
        <v>22017444</v>
      </c>
      <c r="N25" s="395">
        <f t="shared" si="3"/>
        <v>23931314</v>
      </c>
      <c r="O25" s="545">
        <v>24952092.413171999</v>
      </c>
    </row>
    <row r="27" spans="1:15" x14ac:dyDescent="0.25">
      <c r="B27" s="225">
        <f t="shared" ref="B27:H27" si="4">SUM(H25,B39)</f>
        <v>12038378</v>
      </c>
      <c r="C27" s="225">
        <f t="shared" si="4"/>
        <v>14286291</v>
      </c>
      <c r="D27" s="225">
        <f t="shared" si="4"/>
        <v>15908101</v>
      </c>
      <c r="E27" s="225">
        <f t="shared" si="4"/>
        <v>18691567</v>
      </c>
      <c r="F27" s="225">
        <f t="shared" si="4"/>
        <v>20422477</v>
      </c>
      <c r="G27" s="225">
        <f t="shared" si="4"/>
        <v>22278591</v>
      </c>
      <c r="H27" s="225">
        <f t="shared" si="4"/>
        <v>24068224</v>
      </c>
    </row>
    <row r="29" spans="1:15" ht="15.75" thickBot="1" x14ac:dyDescent="0.3"/>
    <row r="30" spans="1:15" ht="15.75" thickBot="1" x14ac:dyDescent="0.3">
      <c r="B30" s="398">
        <v>3336014</v>
      </c>
      <c r="C30" s="399">
        <v>4096300</v>
      </c>
      <c r="D30" s="399">
        <v>4651748</v>
      </c>
      <c r="E30" s="399">
        <v>5712897</v>
      </c>
      <c r="F30" s="399">
        <v>6422652</v>
      </c>
      <c r="G30" s="399">
        <v>7440538</v>
      </c>
      <c r="H30" s="399">
        <v>8235200</v>
      </c>
    </row>
    <row r="31" spans="1:15" ht="15.75" thickBot="1" x14ac:dyDescent="0.3">
      <c r="B31" s="400">
        <v>15039</v>
      </c>
      <c r="C31" s="401">
        <v>19551</v>
      </c>
      <c r="D31" s="401">
        <v>47539</v>
      </c>
      <c r="E31" s="401">
        <v>134712</v>
      </c>
      <c r="F31" s="401">
        <v>222702</v>
      </c>
      <c r="G31" s="401">
        <v>240194</v>
      </c>
      <c r="H31" s="401">
        <v>242469</v>
      </c>
    </row>
    <row r="32" spans="1:15" ht="15.75" thickBot="1" x14ac:dyDescent="0.3">
      <c r="B32" s="400">
        <v>344254</v>
      </c>
      <c r="C32" s="401">
        <v>319231</v>
      </c>
      <c r="D32" s="401">
        <v>292770</v>
      </c>
      <c r="E32" s="401">
        <v>294919</v>
      </c>
      <c r="F32" s="401">
        <v>236863</v>
      </c>
      <c r="G32" s="401">
        <v>199563</v>
      </c>
      <c r="H32" s="401">
        <v>218440</v>
      </c>
    </row>
    <row r="35" spans="2:8" x14ac:dyDescent="0.25">
      <c r="B35" s="323">
        <v>168392</v>
      </c>
      <c r="C35" s="323">
        <v>224553</v>
      </c>
      <c r="D35" s="323">
        <v>271140</v>
      </c>
      <c r="E35" s="323">
        <v>331264</v>
      </c>
      <c r="F35" s="323">
        <v>467227</v>
      </c>
      <c r="G35" s="323">
        <v>595314</v>
      </c>
      <c r="H35" s="391">
        <v>518405</v>
      </c>
    </row>
    <row r="36" spans="2:8" ht="15.75" thickBot="1" x14ac:dyDescent="0.3"/>
    <row r="37" spans="2:8" ht="15.75" thickBot="1" x14ac:dyDescent="0.3">
      <c r="B37" s="398">
        <v>112009</v>
      </c>
      <c r="C37" s="399">
        <v>152953</v>
      </c>
      <c r="D37" s="399">
        <v>196757</v>
      </c>
      <c r="E37" s="399">
        <v>194398</v>
      </c>
      <c r="F37" s="399">
        <v>229603</v>
      </c>
      <c r="G37" s="399">
        <v>334167</v>
      </c>
      <c r="H37" s="399">
        <v>381495</v>
      </c>
    </row>
    <row r="39" spans="2:8" x14ac:dyDescent="0.25">
      <c r="B39" s="225">
        <f>B35-B37</f>
        <v>56383</v>
      </c>
      <c r="C39" s="225">
        <f t="shared" ref="C39:H39" si="5">C35-C37</f>
        <v>71600</v>
      </c>
      <c r="D39" s="225">
        <f t="shared" si="5"/>
        <v>74383</v>
      </c>
      <c r="E39" s="225">
        <f t="shared" si="5"/>
        <v>136866</v>
      </c>
      <c r="F39" s="225">
        <f t="shared" si="5"/>
        <v>237624</v>
      </c>
      <c r="G39" s="225">
        <f t="shared" si="5"/>
        <v>261147</v>
      </c>
      <c r="H39" s="225">
        <f t="shared" si="5"/>
        <v>136910</v>
      </c>
    </row>
    <row r="40" spans="2:8" x14ac:dyDescent="0.25">
      <c r="B40" s="225">
        <f>B30+B39</f>
        <v>3392397</v>
      </c>
      <c r="C40" s="225">
        <f t="shared" ref="C40:H40" si="6">C30+C39</f>
        <v>4167900</v>
      </c>
      <c r="D40" s="225">
        <f t="shared" si="6"/>
        <v>4726131</v>
      </c>
      <c r="E40" s="225">
        <f t="shared" si="6"/>
        <v>5849763</v>
      </c>
      <c r="F40" s="225">
        <f t="shared" si="6"/>
        <v>6660276</v>
      </c>
      <c r="G40" s="225">
        <f t="shared" si="6"/>
        <v>7701685</v>
      </c>
      <c r="H40" s="225">
        <f t="shared" si="6"/>
        <v>8372110</v>
      </c>
    </row>
  </sheetData>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T116"/>
  <sheetViews>
    <sheetView showGridLines="0" showRowColHeaders="0" zoomScale="98" zoomScaleNormal="98" workbookViewId="0">
      <selection activeCell="D9" sqref="B8:D9"/>
    </sheetView>
  </sheetViews>
  <sheetFormatPr defaultRowHeight="12.75" x14ac:dyDescent="0.2"/>
  <cols>
    <col min="1" max="1" width="9.140625" style="276"/>
    <col min="2" max="2" width="19.28515625" style="276" customWidth="1"/>
    <col min="3" max="3" width="15" style="276" customWidth="1"/>
    <col min="4" max="4" width="18.7109375" style="276" customWidth="1"/>
    <col min="5" max="5" width="8.140625" style="276" customWidth="1"/>
    <col min="6" max="7" width="10" style="276" customWidth="1"/>
    <col min="8" max="8" width="10.140625" style="276" customWidth="1"/>
    <col min="9" max="9" width="10.140625" style="276" bestFit="1" customWidth="1"/>
    <col min="10" max="10" width="11.28515625" style="276" bestFit="1" customWidth="1"/>
    <col min="11" max="13" width="12.28515625" style="276" bestFit="1" customWidth="1"/>
    <col min="14" max="14" width="8.140625" style="276" bestFit="1" customWidth="1"/>
    <col min="15" max="15" width="12.28515625" style="276" bestFit="1" customWidth="1"/>
    <col min="16" max="16" width="6.85546875" style="276" bestFit="1" customWidth="1"/>
    <col min="17" max="17" width="11.140625" style="276" bestFit="1" customWidth="1"/>
    <col min="18" max="16384" width="9.140625" style="276"/>
  </cols>
  <sheetData>
    <row r="1" spans="1:17" x14ac:dyDescent="0.2">
      <c r="B1" s="279"/>
      <c r="C1" s="279"/>
    </row>
    <row r="2" spans="1:17" x14ac:dyDescent="0.2">
      <c r="B2" s="279"/>
      <c r="C2" s="279"/>
    </row>
    <row r="3" spans="1:17" x14ac:dyDescent="0.2">
      <c r="B3" s="279"/>
      <c r="C3" s="279"/>
    </row>
    <row r="4" spans="1:17" ht="31.5" x14ac:dyDescent="0.5">
      <c r="B4" s="626" t="s">
        <v>708</v>
      </c>
    </row>
    <row r="5" spans="1:17" ht="18" customHeight="1" x14ac:dyDescent="0.2"/>
    <row r="6" spans="1:17" ht="18" customHeight="1" x14ac:dyDescent="0.2">
      <c r="B6" s="627" t="s">
        <v>409</v>
      </c>
    </row>
    <row r="7" spans="1:17" ht="18" customHeight="1" x14ac:dyDescent="0.2">
      <c r="B7" s="723"/>
      <c r="C7" s="279"/>
    </row>
    <row r="8" spans="1:17" ht="18" customHeight="1" x14ac:dyDescent="0.2">
      <c r="B8" s="382" t="s">
        <v>238</v>
      </c>
      <c r="C8" s="382"/>
      <c r="D8" s="382"/>
      <c r="E8" s="844"/>
      <c r="F8" s="844"/>
      <c r="G8" s="844"/>
      <c r="H8" s="844"/>
      <c r="I8" s="286"/>
    </row>
    <row r="9" spans="1:17" ht="18" customHeight="1" x14ac:dyDescent="0.2">
      <c r="B9" s="1523" t="s">
        <v>48</v>
      </c>
      <c r="C9" s="1533"/>
      <c r="E9" s="845"/>
      <c r="F9" s="845"/>
      <c r="G9" s="847"/>
      <c r="H9" s="847"/>
      <c r="I9" s="848"/>
      <c r="J9" s="286"/>
    </row>
    <row r="10" spans="1:17" ht="20.100000000000001" customHeight="1" x14ac:dyDescent="0.2">
      <c r="B10" s="849"/>
      <c r="C10" s="850"/>
      <c r="D10" s="850"/>
      <c r="E10" s="850"/>
      <c r="F10" s="850"/>
      <c r="G10" s="851"/>
      <c r="H10" s="851"/>
      <c r="I10" s="852"/>
      <c r="J10" s="286"/>
    </row>
    <row r="11" spans="1:17" ht="20.100000000000001" customHeight="1" x14ac:dyDescent="0.2">
      <c r="A11" s="279"/>
      <c r="B11" s="1529"/>
      <c r="C11" s="1529" t="s">
        <v>536</v>
      </c>
      <c r="D11" s="1953" t="s">
        <v>654</v>
      </c>
      <c r="E11" s="1953"/>
      <c r="F11" s="1529" t="s">
        <v>526</v>
      </c>
      <c r="G11" s="1529" t="s">
        <v>507</v>
      </c>
      <c r="H11" s="1529"/>
      <c r="I11" s="1954"/>
      <c r="J11" s="1954"/>
      <c r="K11" s="694"/>
      <c r="L11" s="694"/>
      <c r="M11" s="694"/>
      <c r="N11" s="694"/>
      <c r="O11" s="694"/>
      <c r="P11" s="694"/>
      <c r="Q11" s="853"/>
    </row>
    <row r="12" spans="1:17" ht="20.100000000000001" customHeight="1" x14ac:dyDescent="0.2">
      <c r="A12" s="279"/>
      <c r="B12" s="1529"/>
      <c r="C12" s="915">
        <f>O49</f>
        <v>7363126.411328</v>
      </c>
      <c r="D12" s="1009">
        <f>O49/N49-1</f>
        <v>7.6496522510715703E-2</v>
      </c>
      <c r="E12" s="792">
        <f>D12</f>
        <v>7.6496522510715703E-2</v>
      </c>
      <c r="F12" s="915">
        <f>MIN(B49:O49)</f>
        <v>2010021.848</v>
      </c>
      <c r="G12" s="915">
        <f>MAX(B49:P49)</f>
        <v>7363126.411328</v>
      </c>
      <c r="H12" s="793"/>
      <c r="I12" s="1948"/>
      <c r="J12" s="1949"/>
      <c r="K12" s="1948"/>
      <c r="L12" s="1949"/>
      <c r="M12" s="766"/>
      <c r="N12" s="766"/>
      <c r="O12" s="766"/>
      <c r="P12" s="766"/>
      <c r="Q12" s="853"/>
    </row>
    <row r="13" spans="1:17" ht="20.100000000000001" customHeight="1" x14ac:dyDescent="0.2">
      <c r="A13" s="279"/>
      <c r="B13" s="965"/>
      <c r="C13" s="915"/>
      <c r="D13" s="1009"/>
      <c r="E13" s="792"/>
      <c r="F13" s="915"/>
      <c r="G13" s="915"/>
      <c r="H13" s="793"/>
      <c r="I13" s="1948"/>
      <c r="J13" s="1948"/>
      <c r="K13" s="1948"/>
      <c r="L13" s="1949"/>
      <c r="M13" s="766"/>
      <c r="N13" s="766"/>
      <c r="O13" s="766"/>
      <c r="P13" s="766"/>
      <c r="Q13" s="853"/>
    </row>
    <row r="14" spans="1:17" ht="20.100000000000001" customHeight="1" x14ac:dyDescent="0.2">
      <c r="A14" s="279"/>
      <c r="B14" s="966" t="s">
        <v>48</v>
      </c>
      <c r="C14" s="967">
        <f>O54</f>
        <v>8265079.0023079999</v>
      </c>
      <c r="D14" s="1010">
        <f>O54/N54-1</f>
        <v>2.9870058469394722E-2</v>
      </c>
      <c r="E14" s="825">
        <f>D14</f>
        <v>2.9870058469394722E-2</v>
      </c>
      <c r="F14" s="915">
        <f>MIN(B54:O54)</f>
        <v>3395021.8480000002</v>
      </c>
      <c r="G14" s="915">
        <f>MAX(B54:O54)</f>
        <v>8265079.0023079999</v>
      </c>
      <c r="H14" s="793"/>
      <c r="I14" s="1948"/>
      <c r="J14" s="1949"/>
      <c r="K14" s="1948"/>
      <c r="L14" s="1949"/>
      <c r="M14" s="766"/>
      <c r="N14" s="766"/>
      <c r="O14" s="766"/>
      <c r="P14" s="766"/>
      <c r="Q14" s="853"/>
    </row>
    <row r="15" spans="1:17" ht="20.100000000000001" customHeight="1" x14ac:dyDescent="0.2">
      <c r="A15" s="279"/>
      <c r="B15" s="966"/>
      <c r="C15" s="967"/>
      <c r="D15" s="824"/>
      <c r="E15" s="824"/>
      <c r="F15" s="915"/>
      <c r="G15" s="915"/>
      <c r="H15" s="793"/>
      <c r="I15" s="1015"/>
      <c r="J15" s="1531"/>
      <c r="K15" s="1530"/>
      <c r="L15" s="1531"/>
      <c r="M15" s="766"/>
      <c r="N15" s="766"/>
      <c r="O15" s="766"/>
      <c r="P15" s="766"/>
      <c r="Q15" s="853"/>
    </row>
    <row r="16" spans="1:17" ht="20.100000000000001" customHeight="1" x14ac:dyDescent="0.2">
      <c r="A16" s="279"/>
      <c r="B16" s="966"/>
      <c r="C16" s="967"/>
      <c r="D16" s="824"/>
      <c r="E16" s="824"/>
      <c r="F16" s="915"/>
      <c r="G16" s="915"/>
      <c r="H16" s="793"/>
      <c r="I16" s="1530"/>
      <c r="J16" s="1531"/>
      <c r="K16" s="1530"/>
      <c r="L16" s="1531"/>
      <c r="M16" s="766"/>
      <c r="N16" s="766"/>
      <c r="O16" s="766"/>
      <c r="P16" s="766"/>
      <c r="Q16" s="853"/>
    </row>
    <row r="17" spans="1:17" ht="20.100000000000001" customHeight="1" x14ac:dyDescent="0.2">
      <c r="A17" s="279"/>
      <c r="B17" s="966"/>
      <c r="C17" s="967"/>
      <c r="D17" s="824"/>
      <c r="E17" s="824"/>
      <c r="F17" s="915"/>
      <c r="G17" s="915"/>
      <c r="H17" s="793"/>
      <c r="I17" s="1530"/>
      <c r="J17" s="1531"/>
      <c r="K17" s="1530"/>
      <c r="L17" s="1531"/>
      <c r="M17" s="766"/>
      <c r="N17" s="766"/>
      <c r="O17" s="766"/>
      <c r="P17" s="766"/>
      <c r="Q17" s="853"/>
    </row>
    <row r="18" spans="1:17" ht="20.100000000000001" customHeight="1" x14ac:dyDescent="0.2">
      <c r="A18" s="279"/>
      <c r="B18" s="966"/>
      <c r="C18" s="967"/>
      <c r="D18" s="824"/>
      <c r="E18" s="824"/>
      <c r="F18" s="915"/>
      <c r="G18" s="915"/>
      <c r="H18" s="793"/>
      <c r="I18" s="1530"/>
      <c r="J18" s="1531"/>
      <c r="K18" s="1530"/>
      <c r="L18" s="1531"/>
      <c r="M18" s="766"/>
      <c r="N18" s="766"/>
      <c r="O18" s="766"/>
      <c r="P18" s="766"/>
      <c r="Q18" s="853"/>
    </row>
    <row r="19" spans="1:17" ht="18" customHeight="1" x14ac:dyDescent="0.2">
      <c r="A19" s="279"/>
      <c r="B19" s="966"/>
      <c r="C19" s="967"/>
      <c r="D19" s="824"/>
      <c r="E19" s="824"/>
      <c r="F19" s="915"/>
      <c r="G19" s="915"/>
      <c r="H19" s="793"/>
      <c r="I19" s="1530"/>
      <c r="J19" s="1531"/>
      <c r="K19" s="1530"/>
      <c r="L19" s="1531"/>
      <c r="M19" s="766"/>
      <c r="N19" s="766"/>
      <c r="O19" s="766"/>
      <c r="P19" s="766"/>
      <c r="Q19" s="853"/>
    </row>
    <row r="20" spans="1:17" ht="18" customHeight="1" x14ac:dyDescent="0.2">
      <c r="A20" s="279"/>
      <c r="B20" s="966"/>
      <c r="C20" s="967"/>
      <c r="D20" s="824"/>
      <c r="E20" s="824"/>
      <c r="F20" s="915"/>
      <c r="G20" s="915"/>
      <c r="H20" s="793"/>
      <c r="I20" s="1530"/>
      <c r="J20" s="1531"/>
      <c r="K20" s="1530"/>
      <c r="L20" s="1531"/>
      <c r="M20" s="766"/>
      <c r="N20" s="766"/>
      <c r="O20" s="766"/>
      <c r="P20" s="766"/>
      <c r="Q20" s="853"/>
    </row>
    <row r="21" spans="1:17" ht="18" customHeight="1" x14ac:dyDescent="0.2">
      <c r="A21" s="279"/>
      <c r="B21" s="966"/>
      <c r="C21" s="967"/>
      <c r="D21" s="824"/>
      <c r="E21" s="824"/>
      <c r="F21" s="915"/>
      <c r="G21" s="915"/>
      <c r="H21" s="793"/>
      <c r="I21" s="1530"/>
      <c r="J21" s="1531"/>
      <c r="K21" s="1530"/>
      <c r="L21" s="1531"/>
      <c r="M21" s="766"/>
      <c r="N21" s="766"/>
      <c r="O21" s="766"/>
      <c r="P21" s="766"/>
      <c r="Q21" s="853"/>
    </row>
    <row r="22" spans="1:17" ht="18" customHeight="1" x14ac:dyDescent="0.2">
      <c r="A22" s="279"/>
      <c r="B22" s="966"/>
      <c r="C22" s="967"/>
      <c r="D22" s="824"/>
      <c r="E22" s="824"/>
      <c r="F22" s="915"/>
      <c r="G22" s="915"/>
      <c r="H22" s="793"/>
      <c r="I22" s="1530"/>
      <c r="J22" s="1531"/>
      <c r="K22" s="1530"/>
      <c r="L22" s="1531"/>
      <c r="M22" s="766"/>
      <c r="N22" s="766"/>
      <c r="O22" s="766"/>
      <c r="P22" s="766"/>
      <c r="Q22" s="853"/>
    </row>
    <row r="23" spans="1:17" ht="18" customHeight="1" x14ac:dyDescent="0.2">
      <c r="A23" s="279"/>
      <c r="B23" s="966"/>
      <c r="C23" s="967"/>
      <c r="D23" s="824"/>
      <c r="E23" s="824"/>
      <c r="F23" s="915"/>
      <c r="G23" s="915"/>
      <c r="H23" s="793"/>
      <c r="I23" s="1530"/>
      <c r="J23" s="1531"/>
      <c r="K23" s="1530"/>
      <c r="L23" s="1531"/>
      <c r="M23" s="766"/>
      <c r="N23" s="766"/>
      <c r="O23" s="766"/>
      <c r="P23" s="766"/>
      <c r="Q23" s="853"/>
    </row>
    <row r="24" spans="1:17" ht="18" customHeight="1" x14ac:dyDescent="0.2">
      <c r="A24" s="279"/>
      <c r="B24" s="966"/>
      <c r="C24" s="967"/>
      <c r="D24" s="824"/>
      <c r="E24" s="824"/>
      <c r="F24" s="915"/>
      <c r="G24" s="915"/>
      <c r="H24" s="793"/>
      <c r="I24" s="1530"/>
      <c r="J24" s="1531"/>
      <c r="K24" s="1530"/>
      <c r="L24" s="1531"/>
      <c r="M24" s="766"/>
      <c r="N24" s="766"/>
      <c r="O24" s="766"/>
      <c r="P24" s="766"/>
      <c r="Q24" s="853"/>
    </row>
    <row r="25" spans="1:17" ht="18" customHeight="1" x14ac:dyDescent="0.2">
      <c r="A25" s="279"/>
      <c r="B25" s="966"/>
      <c r="C25" s="967"/>
      <c r="D25" s="824"/>
      <c r="E25" s="824"/>
      <c r="F25" s="915"/>
      <c r="G25" s="915"/>
      <c r="H25" s="793"/>
      <c r="I25" s="1530"/>
      <c r="J25" s="1531"/>
      <c r="K25" s="1530"/>
      <c r="L25" s="1531"/>
      <c r="M25" s="766"/>
      <c r="N25" s="766"/>
      <c r="O25" s="766"/>
      <c r="P25" s="766"/>
      <c r="Q25" s="853"/>
    </row>
    <row r="26" spans="1:17" ht="18" customHeight="1" x14ac:dyDescent="0.2">
      <c r="A26" s="279"/>
      <c r="B26" s="966"/>
      <c r="C26" s="967"/>
      <c r="D26" s="824"/>
      <c r="E26" s="824"/>
      <c r="F26" s="915"/>
      <c r="G26" s="915"/>
      <c r="H26" s="793"/>
      <c r="I26" s="1530"/>
      <c r="J26" s="1531"/>
      <c r="K26" s="1530"/>
      <c r="L26" s="1531"/>
      <c r="M26" s="766"/>
      <c r="N26" s="766"/>
      <c r="O26" s="766"/>
      <c r="P26" s="766"/>
      <c r="Q26" s="853"/>
    </row>
    <row r="27" spans="1:17" ht="18" customHeight="1" x14ac:dyDescent="0.2">
      <c r="A27" s="279"/>
      <c r="B27" s="966"/>
      <c r="C27" s="967"/>
      <c r="D27" s="824"/>
      <c r="E27" s="824"/>
      <c r="F27" s="915"/>
      <c r="G27" s="915"/>
      <c r="H27" s="793"/>
      <c r="I27" s="1530"/>
      <c r="J27" s="1531"/>
      <c r="K27" s="1530"/>
      <c r="L27" s="1531"/>
      <c r="M27" s="766"/>
      <c r="N27" s="766"/>
      <c r="O27" s="766"/>
      <c r="P27" s="766"/>
      <c r="Q27" s="853"/>
    </row>
    <row r="28" spans="1:17" ht="18" customHeight="1" x14ac:dyDescent="0.2">
      <c r="A28" s="279"/>
      <c r="B28" s="966"/>
      <c r="C28" s="967"/>
      <c r="D28" s="824"/>
      <c r="E28" s="824"/>
      <c r="F28" s="915"/>
      <c r="G28" s="915"/>
      <c r="H28" s="793"/>
      <c r="I28" s="1530"/>
      <c r="J28" s="1531"/>
      <c r="K28" s="1530"/>
      <c r="L28" s="1531"/>
      <c r="M28" s="766"/>
      <c r="N28" s="766"/>
      <c r="O28" s="766"/>
      <c r="P28" s="766"/>
      <c r="Q28" s="853"/>
    </row>
    <row r="29" spans="1:17" ht="18" customHeight="1" x14ac:dyDescent="0.2">
      <c r="A29" s="567"/>
      <c r="B29" s="966"/>
      <c r="C29" s="967"/>
      <c r="D29" s="824"/>
      <c r="E29" s="824"/>
      <c r="F29" s="915"/>
      <c r="G29" s="915"/>
      <c r="H29" s="793"/>
      <c r="I29" s="1530"/>
      <c r="J29" s="1531"/>
      <c r="K29" s="1530"/>
      <c r="L29" s="1531"/>
      <c r="M29" s="766"/>
      <c r="N29" s="766"/>
      <c r="O29" s="766"/>
      <c r="P29" s="766"/>
      <c r="Q29" s="853"/>
    </row>
    <row r="30" spans="1:17" ht="18" customHeight="1" x14ac:dyDescent="0.2">
      <c r="A30" s="567" t="b">
        <v>1</v>
      </c>
      <c r="B30" s="966"/>
      <c r="C30" s="968"/>
      <c r="D30" s="824"/>
      <c r="E30" s="824"/>
      <c r="G30" s="1466"/>
      <c r="H30" s="793"/>
      <c r="J30" s="1531"/>
      <c r="K30" s="1530"/>
      <c r="L30" s="1531"/>
      <c r="M30" s="766"/>
      <c r="N30" s="766"/>
      <c r="O30" s="766"/>
      <c r="P30" s="766"/>
      <c r="Q30" s="853"/>
    </row>
    <row r="31" spans="1:17" ht="18" customHeight="1" x14ac:dyDescent="0.2">
      <c r="A31" s="567"/>
      <c r="B31" s="966" t="str">
        <f t="shared" ref="B31:D45" si="0">IF($A$30=TRUE,B56,"")</f>
        <v>Year</v>
      </c>
      <c r="C31" s="969" t="str">
        <f t="shared" si="0"/>
        <v>All trusts</v>
      </c>
      <c r="D31" s="966" t="str">
        <f t="shared" si="0"/>
        <v>Total</v>
      </c>
      <c r="E31" s="824"/>
      <c r="F31" s="915"/>
      <c r="G31" s="1465"/>
      <c r="H31" s="793"/>
      <c r="J31" s="1531"/>
      <c r="K31" s="1530"/>
      <c r="L31" s="1531"/>
      <c r="M31" s="766"/>
      <c r="N31" s="766"/>
      <c r="O31" s="766"/>
      <c r="P31" s="766"/>
      <c r="Q31" s="853"/>
    </row>
    <row r="32" spans="1:17" ht="18" customHeight="1" x14ac:dyDescent="0.2">
      <c r="A32" s="279"/>
      <c r="B32" s="822" t="str">
        <f t="shared" si="0"/>
        <v>1998/99</v>
      </c>
      <c r="C32" s="968">
        <f t="shared" si="0"/>
        <v>2010021.848</v>
      </c>
      <c r="D32" s="967">
        <f t="shared" si="0"/>
        <v>3395021.8480000002</v>
      </c>
      <c r="E32" s="824"/>
      <c r="F32" s="915"/>
      <c r="G32" s="1466"/>
      <c r="H32" s="793"/>
      <c r="I32" s="1530"/>
      <c r="J32" s="1531"/>
      <c r="K32" s="1530"/>
      <c r="L32" s="1531"/>
      <c r="M32" s="766"/>
      <c r="N32" s="766"/>
      <c r="O32" s="766"/>
      <c r="P32" s="766"/>
      <c r="Q32" s="853"/>
    </row>
    <row r="33" spans="1:20" ht="18" customHeight="1" x14ac:dyDescent="0.2">
      <c r="A33" s="279"/>
      <c r="B33" s="822" t="str">
        <f t="shared" si="0"/>
        <v>1999/00</v>
      </c>
      <c r="C33" s="968">
        <f t="shared" si="0"/>
        <v>2089618.3663333301</v>
      </c>
      <c r="D33" s="967">
        <f t="shared" si="0"/>
        <v>3544618.3663333301</v>
      </c>
      <c r="E33" s="824"/>
      <c r="F33" s="915"/>
      <c r="G33" s="915"/>
      <c r="H33" s="793"/>
      <c r="I33" s="1530"/>
      <c r="J33" s="1531"/>
      <c r="K33" s="1530"/>
      <c r="L33" s="1531"/>
      <c r="M33" s="766"/>
      <c r="N33" s="766"/>
      <c r="O33" s="766"/>
      <c r="P33" s="766"/>
    </row>
    <row r="34" spans="1:20" ht="18" customHeight="1" x14ac:dyDescent="0.2">
      <c r="A34" s="279"/>
      <c r="B34" s="822" t="str">
        <f t="shared" si="0"/>
        <v>2000/01</v>
      </c>
      <c r="C34" s="968">
        <f t="shared" si="0"/>
        <v>2197552.8220000002</v>
      </c>
      <c r="D34" s="967">
        <f t="shared" si="0"/>
        <v>3815552.8220000002</v>
      </c>
      <c r="E34" s="824"/>
      <c r="F34" s="915"/>
      <c r="G34" s="915"/>
      <c r="H34" s="793"/>
      <c r="I34" s="1530"/>
      <c r="J34" s="1531"/>
      <c r="K34" s="1530"/>
      <c r="L34" s="1531"/>
      <c r="M34" s="766"/>
      <c r="N34" s="766"/>
      <c r="O34" s="766"/>
      <c r="P34" s="766"/>
    </row>
    <row r="35" spans="1:20" ht="18" customHeight="1" x14ac:dyDescent="0.2">
      <c r="A35" s="279"/>
      <c r="B35" s="822">
        <f>IF($A$30=TRUE,B60,"")</f>
        <v>1000.5</v>
      </c>
      <c r="C35" s="968">
        <f t="shared" si="0"/>
        <v>2231590.15366667</v>
      </c>
      <c r="D35" s="967">
        <f t="shared" si="0"/>
        <v>3626590.15366667</v>
      </c>
      <c r="E35" s="824"/>
      <c r="F35" s="915"/>
      <c r="G35" s="915"/>
      <c r="H35" s="793"/>
      <c r="I35" s="1530"/>
      <c r="J35" s="1531"/>
      <c r="K35" s="1530"/>
      <c r="L35" s="1531"/>
      <c r="M35" s="766"/>
      <c r="N35" s="766"/>
      <c r="O35" s="766"/>
      <c r="P35" s="766"/>
    </row>
    <row r="36" spans="1:20" ht="18" customHeight="1" x14ac:dyDescent="0.2">
      <c r="A36" s="676"/>
      <c r="B36" s="822">
        <f t="shared" si="0"/>
        <v>667.33333333333337</v>
      </c>
      <c r="C36" s="968">
        <f t="shared" si="0"/>
        <v>2327972.3616666701</v>
      </c>
      <c r="D36" s="967">
        <f t="shared" si="0"/>
        <v>3895972.3616666701</v>
      </c>
      <c r="E36" s="824"/>
      <c r="F36" s="915"/>
      <c r="G36" s="915"/>
      <c r="H36" s="793"/>
      <c r="I36" s="1530"/>
      <c r="J36" s="1531"/>
      <c r="K36" s="1530"/>
      <c r="L36" s="1531"/>
      <c r="M36" s="766"/>
      <c r="N36" s="766"/>
      <c r="O36" s="766"/>
      <c r="P36" s="766"/>
    </row>
    <row r="37" spans="1:20" ht="18" customHeight="1" x14ac:dyDescent="0.2">
      <c r="A37" s="676"/>
      <c r="B37" s="822" t="str">
        <f t="shared" si="0"/>
        <v>2003/04</v>
      </c>
      <c r="C37" s="968">
        <f t="shared" si="0"/>
        <v>2504506.085</v>
      </c>
      <c r="D37" s="967">
        <f t="shared" si="0"/>
        <v>4134506.085</v>
      </c>
      <c r="E37" s="824"/>
      <c r="F37" s="915"/>
      <c r="G37" s="915"/>
      <c r="H37" s="793"/>
      <c r="I37" s="1530"/>
      <c r="J37" s="1531"/>
      <c r="K37" s="1530"/>
      <c r="L37" s="1531"/>
      <c r="M37" s="766"/>
      <c r="N37" s="766"/>
      <c r="O37" s="766"/>
      <c r="P37" s="766"/>
    </row>
    <row r="38" spans="1:20" ht="18" customHeight="1" x14ac:dyDescent="0.2">
      <c r="A38" s="676"/>
      <c r="B38" s="822" t="str">
        <f t="shared" si="0"/>
        <v>2004/05</v>
      </c>
      <c r="C38" s="968">
        <f t="shared" si="0"/>
        <v>4421465.1339764148</v>
      </c>
      <c r="D38" s="967">
        <f t="shared" si="0"/>
        <v>5115514.2809764491</v>
      </c>
      <c r="E38" s="825"/>
      <c r="F38" s="771"/>
      <c r="G38" s="771"/>
      <c r="H38" s="793"/>
      <c r="I38" s="1530"/>
      <c r="J38" s="1531"/>
      <c r="K38" s="1530"/>
      <c r="L38" s="1531"/>
      <c r="M38" s="766"/>
      <c r="N38" s="766"/>
      <c r="O38" s="766"/>
      <c r="P38" s="766"/>
    </row>
    <row r="39" spans="1:20" ht="18" customHeight="1" x14ac:dyDescent="0.2">
      <c r="A39" s="676"/>
      <c r="B39" s="822" t="str">
        <f t="shared" si="0"/>
        <v>2005/06</v>
      </c>
      <c r="C39" s="968">
        <f t="shared" si="0"/>
        <v>5047095.5</v>
      </c>
      <c r="D39" s="967">
        <f t="shared" si="0"/>
        <v>5839664.3710000003</v>
      </c>
      <c r="E39" s="825"/>
      <c r="F39" s="771"/>
      <c r="G39" s="771"/>
      <c r="H39" s="793"/>
      <c r="I39" s="1530"/>
      <c r="J39" s="1531"/>
      <c r="K39" s="1530"/>
      <c r="L39" s="1531"/>
      <c r="M39" s="766"/>
      <c r="N39" s="766"/>
      <c r="O39" s="766"/>
      <c r="P39" s="766"/>
    </row>
    <row r="40" spans="1:20" ht="18" customHeight="1" x14ac:dyDescent="0.2">
      <c r="A40" s="676"/>
      <c r="B40" s="822" t="str">
        <f t="shared" si="0"/>
        <v>2006/07</v>
      </c>
      <c r="C40" s="968">
        <f t="shared" si="0"/>
        <v>5692813.6799999997</v>
      </c>
      <c r="D40" s="967">
        <f t="shared" si="0"/>
        <v>6568362.6799999997</v>
      </c>
      <c r="E40" s="825"/>
      <c r="F40" s="771"/>
      <c r="G40" s="771"/>
      <c r="H40" s="793"/>
      <c r="I40" s="1530"/>
      <c r="J40" s="1531"/>
      <c r="K40" s="1530"/>
      <c r="L40" s="1531"/>
      <c r="M40" s="766"/>
      <c r="N40" s="766"/>
      <c r="O40" s="766"/>
      <c r="P40" s="766"/>
    </row>
    <row r="41" spans="1:20" ht="18" customHeight="1" x14ac:dyDescent="0.2">
      <c r="A41" s="279"/>
      <c r="B41" s="822" t="str">
        <f t="shared" si="0"/>
        <v>2007/08</v>
      </c>
      <c r="C41" s="968">
        <f t="shared" si="0"/>
        <v>6597634.0729</v>
      </c>
      <c r="D41" s="967">
        <f t="shared" si="0"/>
        <v>7784592.0729</v>
      </c>
      <c r="E41" s="825"/>
      <c r="F41" s="771"/>
      <c r="G41" s="771"/>
      <c r="H41" s="793"/>
      <c r="I41" s="1530"/>
      <c r="J41" s="1531"/>
      <c r="K41" s="1530"/>
      <c r="L41" s="1531"/>
      <c r="M41" s="766"/>
      <c r="N41" s="766"/>
      <c r="O41" s="766"/>
      <c r="P41" s="766"/>
    </row>
    <row r="42" spans="1:20" ht="18" customHeight="1" x14ac:dyDescent="0.2">
      <c r="A42" s="279"/>
      <c r="B42" s="822" t="str">
        <f t="shared" si="0"/>
        <v>2008/09</v>
      </c>
      <c r="C42" s="968">
        <f t="shared" si="0"/>
        <v>6302210.0633199997</v>
      </c>
      <c r="D42" s="967">
        <f t="shared" si="0"/>
        <v>7426030.9178999998</v>
      </c>
      <c r="E42" s="825"/>
      <c r="F42" s="771"/>
      <c r="G42" s="771"/>
      <c r="H42" s="793"/>
      <c r="I42" s="1530"/>
      <c r="J42" s="1531"/>
      <c r="K42" s="1530"/>
      <c r="L42" s="1531"/>
      <c r="M42" s="766"/>
      <c r="N42" s="766"/>
      <c r="O42" s="766"/>
      <c r="P42" s="766"/>
    </row>
    <row r="43" spans="1:20" ht="18" customHeight="1" x14ac:dyDescent="0.2">
      <c r="A43" s="279"/>
      <c r="B43" s="822" t="str">
        <f t="shared" si="0"/>
        <v>2009/10</v>
      </c>
      <c r="C43" s="968">
        <f t="shared" si="0"/>
        <v>6516513.7579399999</v>
      </c>
      <c r="D43" s="967">
        <f t="shared" si="0"/>
        <v>7635390.1285600001</v>
      </c>
      <c r="E43" s="825"/>
      <c r="F43" s="771"/>
      <c r="G43" s="771"/>
      <c r="H43" s="793"/>
      <c r="I43" s="1530"/>
      <c r="J43" s="1531"/>
      <c r="K43" s="1530"/>
      <c r="L43" s="1531"/>
      <c r="M43" s="766"/>
      <c r="N43" s="766"/>
      <c r="O43" s="766"/>
      <c r="P43" s="766"/>
    </row>
    <row r="44" spans="1:20" ht="18" customHeight="1" x14ac:dyDescent="0.2">
      <c r="A44" s="279"/>
      <c r="B44" s="822" t="str">
        <f t="shared" si="0"/>
        <v>2010/11</v>
      </c>
      <c r="C44" s="968">
        <f t="shared" si="0"/>
        <v>6839898</v>
      </c>
      <c r="D44" s="967">
        <f t="shared" si="0"/>
        <v>8025361</v>
      </c>
      <c r="E44" s="903"/>
      <c r="F44" s="902"/>
      <c r="G44" s="900"/>
      <c r="H44" s="900"/>
      <c r="I44" s="901"/>
      <c r="J44" s="676"/>
      <c r="K44" s="279"/>
      <c r="L44" s="279"/>
      <c r="M44" s="279"/>
    </row>
    <row r="45" spans="1:20" ht="18" customHeight="1" x14ac:dyDescent="0.2">
      <c r="A45" s="279"/>
      <c r="B45" s="822" t="str">
        <f t="shared" si="0"/>
        <v>2011/12</v>
      </c>
      <c r="C45" s="968">
        <f t="shared" si="0"/>
        <v>7363126.411328</v>
      </c>
      <c r="D45" s="967">
        <f t="shared" si="0"/>
        <v>8265079.0023079999</v>
      </c>
      <c r="E45" s="903"/>
      <c r="F45" s="904"/>
      <c r="G45" s="854"/>
      <c r="H45" s="854"/>
      <c r="I45" s="854"/>
      <c r="J45" s="676"/>
      <c r="K45" s="279"/>
      <c r="L45" s="279"/>
      <c r="M45" s="279"/>
    </row>
    <row r="46" spans="1:20" x14ac:dyDescent="0.2">
      <c r="A46" s="567"/>
      <c r="B46" s="970"/>
      <c r="C46" s="976"/>
      <c r="D46" s="971"/>
      <c r="E46" s="972"/>
      <c r="F46" s="976"/>
      <c r="G46" s="970"/>
      <c r="H46" s="970"/>
      <c r="I46" s="974"/>
      <c r="J46" s="809"/>
      <c r="K46" s="567"/>
      <c r="L46" s="567"/>
      <c r="M46" s="567"/>
      <c r="N46" s="567"/>
      <c r="O46" s="567"/>
      <c r="P46" s="567"/>
      <c r="Q46" s="567"/>
      <c r="R46" s="567"/>
      <c r="S46" s="567"/>
      <c r="T46" s="567"/>
    </row>
    <row r="47" spans="1:20" x14ac:dyDescent="0.2">
      <c r="A47" s="567"/>
      <c r="B47" s="970"/>
      <c r="C47" s="971"/>
      <c r="D47" s="971"/>
      <c r="E47" s="972"/>
      <c r="F47" s="971"/>
      <c r="G47" s="973"/>
      <c r="H47" s="973"/>
      <c r="I47" s="974"/>
      <c r="J47" s="809"/>
      <c r="K47" s="567"/>
      <c r="L47" s="567"/>
      <c r="M47" s="567"/>
      <c r="N47" s="567"/>
      <c r="O47" s="567"/>
      <c r="P47" s="567"/>
      <c r="Q47" s="567"/>
      <c r="R47" s="567"/>
      <c r="S47" s="567"/>
      <c r="T47" s="567"/>
    </row>
    <row r="48" spans="1:20" x14ac:dyDescent="0.2">
      <c r="A48" s="567"/>
      <c r="B48" s="970" t="s">
        <v>68</v>
      </c>
      <c r="C48" s="971" t="s">
        <v>69</v>
      </c>
      <c r="D48" s="971" t="s">
        <v>70</v>
      </c>
      <c r="E48" s="971" t="s">
        <v>663</v>
      </c>
      <c r="F48" s="971" t="s">
        <v>664</v>
      </c>
      <c r="G48" s="971" t="s">
        <v>665</v>
      </c>
      <c r="H48" s="971" t="s">
        <v>666</v>
      </c>
      <c r="I48" s="971" t="s">
        <v>667</v>
      </c>
      <c r="J48" s="971" t="s">
        <v>668</v>
      </c>
      <c r="K48" s="971" t="s">
        <v>669</v>
      </c>
      <c r="L48" s="971" t="s">
        <v>670</v>
      </c>
      <c r="M48" s="971" t="s">
        <v>671</v>
      </c>
      <c r="N48" s="971" t="s">
        <v>672</v>
      </c>
      <c r="O48" s="971" t="s">
        <v>673</v>
      </c>
      <c r="P48" s="567"/>
      <c r="Q48" s="1528"/>
      <c r="R48" s="567"/>
      <c r="S48" s="567"/>
      <c r="T48" s="567"/>
    </row>
    <row r="49" spans="1:20" x14ac:dyDescent="0.2">
      <c r="A49" s="567"/>
      <c r="B49" s="970">
        <v>2010021.848</v>
      </c>
      <c r="C49" s="971">
        <v>2089618.3663333301</v>
      </c>
      <c r="D49" s="971">
        <v>2197552.8220000002</v>
      </c>
      <c r="E49" s="972">
        <v>2231590.15366667</v>
      </c>
      <c r="F49" s="971">
        <v>2327972.3616666701</v>
      </c>
      <c r="G49" s="973">
        <v>2504506.085</v>
      </c>
      <c r="H49" s="973">
        <v>4421465.1339764148</v>
      </c>
      <c r="I49" s="974">
        <v>5047095.5</v>
      </c>
      <c r="J49" s="809">
        <v>5692813.6799999997</v>
      </c>
      <c r="K49" s="567">
        <v>6597634.0729</v>
      </c>
      <c r="L49" s="567">
        <v>6302210.0633199997</v>
      </c>
      <c r="M49" s="567">
        <v>6516513.7579399999</v>
      </c>
      <c r="N49" s="567">
        <v>6839898</v>
      </c>
      <c r="O49" s="567">
        <v>7363126.411328</v>
      </c>
      <c r="P49" s="567"/>
      <c r="Q49" s="567"/>
      <c r="R49" s="1528"/>
      <c r="S49" s="567"/>
      <c r="T49" s="567"/>
    </row>
    <row r="50" spans="1:20" x14ac:dyDescent="0.2">
      <c r="A50" s="567"/>
      <c r="B50" s="970"/>
      <c r="C50" s="971"/>
      <c r="D50" s="971"/>
      <c r="E50" s="972"/>
      <c r="F50" s="971"/>
      <c r="G50" s="973"/>
      <c r="H50" s="973"/>
      <c r="I50" s="974"/>
      <c r="J50" s="809"/>
      <c r="K50" s="567"/>
      <c r="L50" s="567"/>
      <c r="M50" s="567"/>
      <c r="N50" s="567"/>
      <c r="O50" s="567"/>
      <c r="P50" s="567"/>
      <c r="Q50" s="567"/>
      <c r="R50" s="1528"/>
      <c r="S50" s="567"/>
      <c r="T50" s="567"/>
    </row>
    <row r="51" spans="1:20" x14ac:dyDescent="0.2">
      <c r="A51" s="567"/>
      <c r="B51" s="970"/>
      <c r="C51" s="976"/>
      <c r="D51" s="976"/>
      <c r="E51" s="972"/>
      <c r="F51" s="976"/>
      <c r="G51" s="977"/>
      <c r="H51" s="977"/>
      <c r="I51" s="977"/>
      <c r="J51" s="809"/>
      <c r="K51" s="567"/>
      <c r="L51" s="567"/>
      <c r="M51" s="567"/>
      <c r="N51" s="567"/>
      <c r="O51" s="567"/>
      <c r="P51" s="567"/>
      <c r="Q51" s="567"/>
      <c r="R51" s="1528"/>
      <c r="S51" s="567"/>
      <c r="T51" s="567"/>
    </row>
    <row r="52" spans="1:20" ht="15" x14ac:dyDescent="0.25">
      <c r="A52" s="567"/>
      <c r="B52" s="396">
        <v>1385000</v>
      </c>
      <c r="C52" s="396">
        <v>1455000</v>
      </c>
      <c r="D52" s="396">
        <v>1618000</v>
      </c>
      <c r="E52" s="396">
        <v>1395000</v>
      </c>
      <c r="F52" s="396">
        <v>1568000</v>
      </c>
      <c r="G52" s="396">
        <v>1630000</v>
      </c>
      <c r="H52" s="970"/>
      <c r="I52" s="974"/>
      <c r="J52" s="809"/>
      <c r="K52" s="567"/>
      <c r="L52" s="567"/>
      <c r="M52" s="567"/>
      <c r="N52" s="567"/>
      <c r="O52" s="567"/>
      <c r="P52" s="567"/>
      <c r="Q52" s="567"/>
      <c r="R52" s="809"/>
      <c r="S52" s="567"/>
      <c r="T52" s="567"/>
    </row>
    <row r="53" spans="1:20" x14ac:dyDescent="0.2">
      <c r="A53" s="978"/>
      <c r="B53" s="970"/>
      <c r="C53" s="979"/>
      <c r="D53" s="979"/>
      <c r="E53" s="979"/>
      <c r="F53" s="980"/>
      <c r="G53" s="973"/>
      <c r="H53" s="973"/>
      <c r="I53" s="974"/>
      <c r="J53" s="809"/>
      <c r="K53" s="567"/>
      <c r="L53" s="567"/>
      <c r="M53" s="567"/>
      <c r="N53" s="567"/>
      <c r="O53" s="567"/>
      <c r="P53" s="567"/>
      <c r="Q53" s="567"/>
      <c r="R53" s="809"/>
      <c r="S53" s="567"/>
      <c r="T53" s="567"/>
    </row>
    <row r="54" spans="1:20" x14ac:dyDescent="0.2">
      <c r="A54" s="978"/>
      <c r="B54" s="970">
        <f t="shared" ref="B54:G54" si="1">SUM(B49:B52)</f>
        <v>3395021.8480000002</v>
      </c>
      <c r="C54" s="970">
        <f t="shared" si="1"/>
        <v>3544618.3663333301</v>
      </c>
      <c r="D54" s="970">
        <f t="shared" si="1"/>
        <v>3815552.8220000002</v>
      </c>
      <c r="E54" s="970">
        <f t="shared" si="1"/>
        <v>3626590.15366667</v>
      </c>
      <c r="F54" s="970">
        <f t="shared" si="1"/>
        <v>3895972.3616666701</v>
      </c>
      <c r="G54" s="970">
        <f t="shared" si="1"/>
        <v>4134506.085</v>
      </c>
      <c r="H54" s="973">
        <v>5115514.2809764491</v>
      </c>
      <c r="I54" s="974">
        <v>5839664.3710000003</v>
      </c>
      <c r="J54" s="809">
        <v>6568362.6799999997</v>
      </c>
      <c r="K54" s="567">
        <v>7784592.0729</v>
      </c>
      <c r="L54" s="567">
        <v>7426030.9178999998</v>
      </c>
      <c r="M54" s="567">
        <v>7635390.1285600001</v>
      </c>
      <c r="N54" s="567">
        <v>8025361</v>
      </c>
      <c r="O54" s="567">
        <v>8265079.0023079999</v>
      </c>
      <c r="P54" s="567"/>
      <c r="Q54" s="567"/>
      <c r="R54" s="567"/>
      <c r="S54" s="567"/>
      <c r="T54" s="567"/>
    </row>
    <row r="55" spans="1:20" x14ac:dyDescent="0.2">
      <c r="A55" s="978"/>
      <c r="B55" s="981"/>
      <c r="C55" s="977"/>
      <c r="D55" s="977"/>
      <c r="E55" s="977"/>
      <c r="F55" s="977"/>
      <c r="G55" s="973"/>
      <c r="H55" s="973"/>
      <c r="I55" s="974"/>
      <c r="J55" s="809"/>
      <c r="K55" s="567"/>
      <c r="L55" s="567"/>
      <c r="M55" s="567"/>
      <c r="N55" s="567"/>
      <c r="O55" s="567"/>
      <c r="P55" s="567"/>
      <c r="Q55" s="567"/>
      <c r="R55" s="567"/>
      <c r="S55" s="567"/>
      <c r="T55" s="567"/>
    </row>
    <row r="56" spans="1:20" x14ac:dyDescent="0.2">
      <c r="A56" s="567"/>
      <c r="B56" s="970" t="s">
        <v>1</v>
      </c>
      <c r="C56" s="977" t="s">
        <v>266</v>
      </c>
      <c r="D56" s="977" t="s">
        <v>48</v>
      </c>
      <c r="E56" s="977"/>
      <c r="F56" s="977"/>
      <c r="G56" s="970"/>
      <c r="H56" s="970"/>
      <c r="I56" s="974"/>
      <c r="J56" s="809"/>
      <c r="K56" s="567"/>
      <c r="L56" s="567"/>
      <c r="M56" s="567"/>
      <c r="N56" s="567"/>
      <c r="O56" s="567"/>
      <c r="P56" s="567"/>
      <c r="Q56" s="567"/>
      <c r="R56" s="567"/>
      <c r="S56" s="567"/>
      <c r="T56" s="567"/>
    </row>
    <row r="57" spans="1:20" x14ac:dyDescent="0.2">
      <c r="A57" s="567"/>
      <c r="B57" s="975" t="s">
        <v>68</v>
      </c>
      <c r="C57" s="977">
        <v>2010021.848</v>
      </c>
      <c r="D57" s="977">
        <v>3395021.8480000002</v>
      </c>
      <c r="E57" s="982"/>
      <c r="F57" s="973"/>
      <c r="G57" s="974">
        <f t="shared" ref="G57:H62" si="2">C57</f>
        <v>2010021.848</v>
      </c>
      <c r="H57" s="974">
        <f t="shared" si="2"/>
        <v>3395021.8480000002</v>
      </c>
      <c r="I57" s="567"/>
      <c r="J57" s="567"/>
      <c r="K57" s="567"/>
      <c r="L57" s="567">
        <f t="shared" ref="L57:M70" si="3">C57/C$57</f>
        <v>1</v>
      </c>
      <c r="M57" s="567">
        <f t="shared" si="3"/>
        <v>1</v>
      </c>
      <c r="N57" s="567"/>
      <c r="O57" s="567"/>
      <c r="P57" s="567"/>
      <c r="Q57" s="567"/>
      <c r="R57" s="567"/>
      <c r="S57" s="567"/>
      <c r="T57" s="567"/>
    </row>
    <row r="58" spans="1:20" x14ac:dyDescent="0.2">
      <c r="A58" s="567"/>
      <c r="B58" s="975" t="s">
        <v>69</v>
      </c>
      <c r="C58" s="977">
        <v>2089618.3663333301</v>
      </c>
      <c r="D58" s="977">
        <v>3544618.3663333301</v>
      </c>
      <c r="E58" s="983"/>
      <c r="F58" s="970"/>
      <c r="G58" s="974">
        <f t="shared" si="2"/>
        <v>2089618.3663333301</v>
      </c>
      <c r="H58" s="974">
        <f t="shared" si="2"/>
        <v>3544618.3663333301</v>
      </c>
      <c r="I58" s="567"/>
      <c r="J58" s="567"/>
      <c r="K58" s="567"/>
      <c r="L58" s="567">
        <f t="shared" si="3"/>
        <v>1.0395998274409453</v>
      </c>
      <c r="M58" s="567">
        <f t="shared" si="3"/>
        <v>1.0440634920866434</v>
      </c>
      <c r="N58" s="567"/>
      <c r="O58" s="567"/>
      <c r="P58" s="567"/>
      <c r="Q58" s="567"/>
      <c r="R58" s="567"/>
      <c r="S58" s="567"/>
      <c r="T58" s="567"/>
    </row>
    <row r="59" spans="1:20" x14ac:dyDescent="0.2">
      <c r="A59" s="978"/>
      <c r="B59" s="984" t="s">
        <v>70</v>
      </c>
      <c r="C59" s="985">
        <v>2197552.8220000002</v>
      </c>
      <c r="D59" s="985">
        <v>3815552.8220000002</v>
      </c>
      <c r="E59" s="985"/>
      <c r="F59" s="985"/>
      <c r="G59" s="974">
        <f t="shared" si="2"/>
        <v>2197552.8220000002</v>
      </c>
      <c r="H59" s="974">
        <f t="shared" si="2"/>
        <v>3815552.8220000002</v>
      </c>
      <c r="I59" s="986"/>
      <c r="J59" s="987"/>
      <c r="K59" s="988"/>
      <c r="L59" s="567">
        <f t="shared" si="3"/>
        <v>1.093297977923273</v>
      </c>
      <c r="M59" s="567">
        <f t="shared" si="3"/>
        <v>1.1238669419013412</v>
      </c>
      <c r="N59" s="567"/>
      <c r="O59" s="567"/>
      <c r="P59" s="567"/>
      <c r="Q59" s="567"/>
      <c r="R59" s="567"/>
      <c r="S59" s="567"/>
      <c r="T59" s="567"/>
    </row>
    <row r="60" spans="1:20" x14ac:dyDescent="0.2">
      <c r="A60" s="978"/>
      <c r="B60" s="984">
        <v>1000.5</v>
      </c>
      <c r="C60" s="989">
        <v>2231590.15366667</v>
      </c>
      <c r="D60" s="989">
        <v>3626590.15366667</v>
      </c>
      <c r="E60" s="989"/>
      <c r="F60" s="989"/>
      <c r="G60" s="974">
        <f t="shared" si="2"/>
        <v>2231590.15366667</v>
      </c>
      <c r="H60" s="974">
        <f t="shared" si="2"/>
        <v>3626590.15366667</v>
      </c>
      <c r="I60" s="990"/>
      <c r="J60" s="991"/>
      <c r="K60" s="988"/>
      <c r="L60" s="567">
        <f t="shared" si="3"/>
        <v>1.1102317897127008</v>
      </c>
      <c r="M60" s="567">
        <f t="shared" si="3"/>
        <v>1.0682081930645266</v>
      </c>
      <c r="N60" s="567"/>
      <c r="O60" s="567"/>
      <c r="P60" s="567"/>
      <c r="Q60" s="567"/>
      <c r="R60" s="567"/>
      <c r="S60" s="567"/>
      <c r="T60" s="567"/>
    </row>
    <row r="61" spans="1:20" x14ac:dyDescent="0.2">
      <c r="A61" s="978"/>
      <c r="B61" s="992">
        <v>667.33333333333337</v>
      </c>
      <c r="C61" s="985">
        <v>2327972.3616666701</v>
      </c>
      <c r="D61" s="985">
        <v>3895972.3616666701</v>
      </c>
      <c r="E61" s="985"/>
      <c r="F61" s="985"/>
      <c r="G61" s="974">
        <f t="shared" si="2"/>
        <v>2327972.3616666701</v>
      </c>
      <c r="H61" s="974">
        <f t="shared" si="2"/>
        <v>3895972.3616666701</v>
      </c>
      <c r="I61" s="988"/>
      <c r="J61" s="567"/>
      <c r="K61" s="567"/>
      <c r="L61" s="567">
        <f t="shared" si="3"/>
        <v>1.1581826157676023</v>
      </c>
      <c r="M61" s="567">
        <f t="shared" si="3"/>
        <v>1.1475544300139862</v>
      </c>
      <c r="N61" s="567"/>
      <c r="O61" s="567"/>
      <c r="P61" s="567"/>
      <c r="Q61" s="567"/>
      <c r="R61" s="567"/>
      <c r="S61" s="567"/>
      <c r="T61" s="567"/>
    </row>
    <row r="62" spans="1:20" x14ac:dyDescent="0.2">
      <c r="A62" s="978"/>
      <c r="B62" s="993" t="s">
        <v>73</v>
      </c>
      <c r="C62" s="985">
        <v>2504506.085</v>
      </c>
      <c r="D62" s="985">
        <v>4134506.085</v>
      </c>
      <c r="E62" s="985"/>
      <c r="F62" s="985"/>
      <c r="G62" s="974">
        <f t="shared" si="2"/>
        <v>2504506.085</v>
      </c>
      <c r="H62" s="974">
        <f t="shared" si="2"/>
        <v>4134506.085</v>
      </c>
      <c r="I62" s="994"/>
      <c r="J62" s="988"/>
      <c r="K62" s="567"/>
      <c r="L62" s="567">
        <f t="shared" si="3"/>
        <v>1.2460093841726241</v>
      </c>
      <c r="M62" s="567">
        <f t="shared" si="3"/>
        <v>1.2178142792912006</v>
      </c>
      <c r="N62" s="567"/>
      <c r="O62" s="567"/>
      <c r="P62" s="567"/>
      <c r="Q62" s="567"/>
      <c r="R62" s="567"/>
      <c r="S62" s="567"/>
      <c r="T62" s="567"/>
    </row>
    <row r="63" spans="1:20" x14ac:dyDescent="0.2">
      <c r="A63" s="978"/>
      <c r="B63" s="993" t="s">
        <v>74</v>
      </c>
      <c r="C63" s="985">
        <v>4421465.1339764148</v>
      </c>
      <c r="D63" s="985">
        <v>5115514.2809764491</v>
      </c>
      <c r="E63" s="985"/>
      <c r="F63" s="985"/>
      <c r="G63" s="990"/>
      <c r="H63" s="995"/>
      <c r="I63" s="994">
        <f>C63</f>
        <v>4421465.1339764148</v>
      </c>
      <c r="J63" s="994">
        <f>D63</f>
        <v>5115514.2809764491</v>
      </c>
      <c r="K63" s="567"/>
      <c r="L63" s="567">
        <f t="shared" si="3"/>
        <v>2.199709987419209</v>
      </c>
      <c r="M63" s="567">
        <f t="shared" si="3"/>
        <v>1.5067691785223671</v>
      </c>
      <c r="N63" s="567"/>
      <c r="O63" s="567"/>
      <c r="P63" s="567"/>
      <c r="Q63" s="567"/>
      <c r="R63" s="567"/>
      <c r="S63" s="567"/>
      <c r="T63" s="567"/>
    </row>
    <row r="64" spans="1:20" x14ac:dyDescent="0.2">
      <c r="A64" s="978"/>
      <c r="B64" s="993" t="s">
        <v>75</v>
      </c>
      <c r="C64" s="985">
        <v>5047095.5</v>
      </c>
      <c r="D64" s="985">
        <v>5839664.3710000003</v>
      </c>
      <c r="E64" s="985"/>
      <c r="F64" s="985"/>
      <c r="G64" s="990"/>
      <c r="H64" s="995"/>
      <c r="I64" s="994">
        <f t="shared" ref="I64:J70" si="4">C64</f>
        <v>5047095.5</v>
      </c>
      <c r="J64" s="994">
        <f t="shared" si="4"/>
        <v>5839664.3710000003</v>
      </c>
      <c r="K64" s="567"/>
      <c r="L64" s="567">
        <f t="shared" si="3"/>
        <v>2.5109654927492113</v>
      </c>
      <c r="M64" s="567">
        <f t="shared" si="3"/>
        <v>1.7200668014670166</v>
      </c>
      <c r="N64" s="567"/>
      <c r="O64" s="567"/>
      <c r="P64" s="567"/>
      <c r="Q64" s="567"/>
      <c r="R64" s="567"/>
      <c r="S64" s="567"/>
      <c r="T64" s="567"/>
    </row>
    <row r="65" spans="1:20" x14ac:dyDescent="0.2">
      <c r="A65" s="567"/>
      <c r="B65" s="993" t="s">
        <v>76</v>
      </c>
      <c r="C65" s="985">
        <v>5692813.6799999997</v>
      </c>
      <c r="D65" s="985">
        <v>6568362.6799999997</v>
      </c>
      <c r="E65" s="985"/>
      <c r="F65" s="985"/>
      <c r="G65" s="990"/>
      <c r="H65" s="995"/>
      <c r="I65" s="994">
        <f t="shared" si="4"/>
        <v>5692813.6799999997</v>
      </c>
      <c r="J65" s="994">
        <f t="shared" si="4"/>
        <v>6568362.6799999997</v>
      </c>
      <c r="K65" s="567"/>
      <c r="L65" s="567">
        <f t="shared" si="3"/>
        <v>2.8322148267514748</v>
      </c>
      <c r="M65" s="567">
        <f t="shared" si="3"/>
        <v>1.9347040973740441</v>
      </c>
      <c r="N65" s="567"/>
      <c r="O65" s="567"/>
      <c r="P65" s="567"/>
      <c r="Q65" s="567"/>
      <c r="R65" s="567"/>
      <c r="S65" s="567"/>
      <c r="T65" s="567"/>
    </row>
    <row r="66" spans="1:20" x14ac:dyDescent="0.2">
      <c r="A66" s="567"/>
      <c r="B66" s="993" t="s">
        <v>4</v>
      </c>
      <c r="C66" s="985">
        <v>6597634.0729</v>
      </c>
      <c r="D66" s="985">
        <v>7784592.0729</v>
      </c>
      <c r="E66" s="985"/>
      <c r="F66" s="985"/>
      <c r="G66" s="990"/>
      <c r="H66" s="995"/>
      <c r="I66" s="994">
        <f t="shared" si="4"/>
        <v>6597634.0729</v>
      </c>
      <c r="J66" s="994">
        <f t="shared" si="4"/>
        <v>7784592.0729</v>
      </c>
      <c r="K66" s="567"/>
      <c r="L66" s="567">
        <f t="shared" si="3"/>
        <v>3.2823693331814967</v>
      </c>
      <c r="M66" s="567">
        <f t="shared" si="3"/>
        <v>2.2929431448242035</v>
      </c>
      <c r="N66" s="567"/>
      <c r="O66" s="567"/>
      <c r="P66" s="567"/>
      <c r="Q66" s="567"/>
      <c r="R66" s="567"/>
      <c r="S66" s="567"/>
      <c r="T66" s="567"/>
    </row>
    <row r="67" spans="1:20" x14ac:dyDescent="0.2">
      <c r="A67" s="567"/>
      <c r="B67" s="993" t="s">
        <v>5</v>
      </c>
      <c r="C67" s="985">
        <v>6302210.0633199997</v>
      </c>
      <c r="D67" s="985">
        <v>7426030.9178999998</v>
      </c>
      <c r="E67" s="985"/>
      <c r="F67" s="985"/>
      <c r="G67" s="990"/>
      <c r="H67" s="996"/>
      <c r="I67" s="994">
        <f t="shared" si="4"/>
        <v>6302210.0633199997</v>
      </c>
      <c r="J67" s="994">
        <f t="shared" si="4"/>
        <v>7426030.9178999998</v>
      </c>
      <c r="K67" s="567"/>
      <c r="L67" s="567">
        <f t="shared" si="3"/>
        <v>3.1353938115602014</v>
      </c>
      <c r="M67" s="567">
        <f t="shared" si="3"/>
        <v>2.1873293458404865</v>
      </c>
      <c r="N67" s="567"/>
      <c r="O67" s="567"/>
      <c r="P67" s="567"/>
      <c r="Q67" s="1527"/>
      <c r="R67" s="1528"/>
      <c r="S67" s="567"/>
      <c r="T67" s="567"/>
    </row>
    <row r="68" spans="1:20" x14ac:dyDescent="0.2">
      <c r="A68" s="567"/>
      <c r="B68" s="993" t="s">
        <v>6</v>
      </c>
      <c r="C68" s="985">
        <v>6516513.7579399999</v>
      </c>
      <c r="D68" s="985">
        <v>7635390.1285600001</v>
      </c>
      <c r="E68" s="985"/>
      <c r="F68" s="985"/>
      <c r="G68" s="990"/>
      <c r="H68" s="997"/>
      <c r="I68" s="994">
        <f t="shared" si="4"/>
        <v>6516513.7579399999</v>
      </c>
      <c r="J68" s="994">
        <f t="shared" si="4"/>
        <v>7635390.1285600001</v>
      </c>
      <c r="K68" s="567"/>
      <c r="L68" s="567">
        <f t="shared" si="3"/>
        <v>3.2420114062063665</v>
      </c>
      <c r="M68" s="567">
        <f t="shared" si="3"/>
        <v>2.2489958740789815</v>
      </c>
      <c r="N68" s="567"/>
      <c r="O68" s="567"/>
      <c r="P68" s="567"/>
      <c r="Q68" s="1527"/>
      <c r="R68" s="1528"/>
      <c r="S68" s="567"/>
      <c r="T68" s="567"/>
    </row>
    <row r="69" spans="1:20" x14ac:dyDescent="0.2">
      <c r="A69" s="567"/>
      <c r="B69" s="993" t="s">
        <v>7</v>
      </c>
      <c r="C69" s="985">
        <v>6839898</v>
      </c>
      <c r="D69" s="985">
        <v>8025361</v>
      </c>
      <c r="E69" s="985"/>
      <c r="F69" s="985"/>
      <c r="G69" s="990"/>
      <c r="H69" s="996"/>
      <c r="I69" s="994">
        <f t="shared" si="4"/>
        <v>6839898</v>
      </c>
      <c r="J69" s="994">
        <f t="shared" si="4"/>
        <v>8025361</v>
      </c>
      <c r="K69" s="567"/>
      <c r="L69" s="567">
        <f t="shared" si="3"/>
        <v>3.4028973400492113</v>
      </c>
      <c r="M69" s="567">
        <f t="shared" si="3"/>
        <v>2.363861370944556</v>
      </c>
      <c r="N69" s="567"/>
      <c r="O69" s="567"/>
      <c r="P69" s="567"/>
      <c r="Q69" s="998"/>
      <c r="R69" s="1528"/>
      <c r="S69" s="567"/>
      <c r="T69" s="567"/>
    </row>
    <row r="70" spans="1:20" x14ac:dyDescent="0.2">
      <c r="A70" s="567"/>
      <c r="B70" s="996" t="s">
        <v>489</v>
      </c>
      <c r="C70" s="999">
        <v>7363126.411328</v>
      </c>
      <c r="D70" s="1000">
        <v>8265079.0023079999</v>
      </c>
      <c r="E70" s="1001"/>
      <c r="F70" s="1001"/>
      <c r="G70" s="1002"/>
      <c r="H70" s="1001"/>
      <c r="I70" s="994">
        <f t="shared" si="4"/>
        <v>7363126.411328</v>
      </c>
      <c r="J70" s="994">
        <f t="shared" si="4"/>
        <v>8265079.0023079999</v>
      </c>
      <c r="K70" s="567"/>
      <c r="L70" s="567">
        <f t="shared" si="3"/>
        <v>3.6632071530239405</v>
      </c>
      <c r="M70" s="567">
        <f t="shared" si="3"/>
        <v>2.4344700483082131</v>
      </c>
      <c r="N70" s="567"/>
      <c r="O70" s="567"/>
      <c r="P70" s="567"/>
      <c r="Q70" s="1527"/>
      <c r="R70" s="1528"/>
      <c r="S70" s="567"/>
      <c r="T70" s="567"/>
    </row>
    <row r="71" spans="1:20" x14ac:dyDescent="0.2">
      <c r="A71" s="567"/>
      <c r="B71" s="1007"/>
      <c r="C71" s="999"/>
      <c r="D71" s="1000"/>
      <c r="E71" s="1001"/>
      <c r="F71" s="1001"/>
      <c r="G71" s="996"/>
      <c r="H71" s="996"/>
      <c r="I71" s="809"/>
      <c r="J71" s="809"/>
      <c r="K71" s="567"/>
      <c r="L71" s="567"/>
      <c r="M71" s="567"/>
      <c r="N71" s="567"/>
      <c r="O71" s="567"/>
      <c r="P71" s="567"/>
      <c r="Q71" s="994"/>
      <c r="R71" s="809"/>
      <c r="S71" s="567"/>
      <c r="T71" s="567"/>
    </row>
    <row r="72" spans="1:20" x14ac:dyDescent="0.2">
      <c r="A72" s="567"/>
      <c r="B72" s="996"/>
      <c r="C72" s="999"/>
      <c r="D72" s="1000"/>
      <c r="E72" s="1001"/>
      <c r="F72" s="1001"/>
      <c r="G72" s="997"/>
      <c r="H72" s="997"/>
      <c r="I72" s="1008"/>
      <c r="J72" s="809"/>
      <c r="K72" s="567"/>
      <c r="L72" s="567"/>
      <c r="M72" s="567"/>
      <c r="N72" s="567"/>
      <c r="O72" s="567"/>
      <c r="P72" s="567"/>
      <c r="Q72" s="994"/>
      <c r="R72" s="809"/>
      <c r="S72" s="567"/>
      <c r="T72" s="567"/>
    </row>
    <row r="73" spans="1:20" x14ac:dyDescent="0.2">
      <c r="A73" s="567"/>
      <c r="B73" s="1007"/>
      <c r="C73" s="999"/>
      <c r="D73" s="1001"/>
      <c r="E73" s="809"/>
      <c r="F73" s="809"/>
      <c r="G73" s="809"/>
      <c r="H73" s="809"/>
      <c r="I73" s="809"/>
      <c r="J73" s="809"/>
      <c r="K73" s="567"/>
      <c r="L73" s="567"/>
      <c r="M73" s="567"/>
      <c r="N73" s="567"/>
      <c r="O73" s="567"/>
      <c r="P73" s="567"/>
      <c r="Q73" s="988"/>
      <c r="R73" s="567"/>
      <c r="S73" s="567"/>
      <c r="T73" s="567"/>
    </row>
    <row r="74" spans="1:20" x14ac:dyDescent="0.2">
      <c r="A74" s="567"/>
      <c r="B74" s="1007"/>
      <c r="C74" s="999"/>
      <c r="D74" s="1001"/>
      <c r="E74" s="809"/>
      <c r="F74" s="809"/>
      <c r="G74" s="809"/>
      <c r="H74" s="809"/>
      <c r="I74" s="809"/>
      <c r="J74" s="809"/>
      <c r="K74" s="567"/>
      <c r="L74" s="567"/>
      <c r="M74" s="567"/>
      <c r="N74" s="567"/>
      <c r="O74" s="567"/>
      <c r="P74" s="567"/>
      <c r="Q74" s="988"/>
      <c r="R74" s="567"/>
      <c r="S74" s="567"/>
      <c r="T74" s="567"/>
    </row>
    <row r="75" spans="1:20" x14ac:dyDescent="0.2">
      <c r="A75" s="567"/>
      <c r="B75" s="1007"/>
      <c r="C75" s="999"/>
      <c r="D75" s="1001"/>
      <c r="E75" s="809"/>
      <c r="F75" s="809"/>
      <c r="G75" s="809"/>
      <c r="H75" s="809"/>
      <c r="I75" s="809"/>
      <c r="J75" s="809"/>
      <c r="K75" s="567"/>
      <c r="L75" s="567"/>
      <c r="M75" s="567"/>
      <c r="N75" s="567"/>
      <c r="O75" s="567"/>
      <c r="P75" s="567"/>
      <c r="Q75" s="988"/>
      <c r="R75" s="567"/>
      <c r="S75" s="567"/>
      <c r="T75" s="567"/>
    </row>
    <row r="76" spans="1:20" x14ac:dyDescent="0.2">
      <c r="A76" s="567"/>
      <c r="B76" s="1007"/>
      <c r="C76" s="999"/>
      <c r="D76" s="1001"/>
      <c r="E76" s="809"/>
      <c r="F76" s="809"/>
      <c r="G76" s="809"/>
      <c r="H76" s="809"/>
      <c r="I76" s="809"/>
      <c r="J76" s="809"/>
      <c r="K76" s="567"/>
      <c r="L76" s="567"/>
      <c r="M76" s="567"/>
      <c r="N76" s="567"/>
      <c r="O76" s="567"/>
      <c r="P76" s="567"/>
      <c r="Q76" s="988"/>
      <c r="R76" s="567"/>
      <c r="S76" s="567"/>
      <c r="T76" s="567"/>
    </row>
    <row r="77" spans="1:20" x14ac:dyDescent="0.2">
      <c r="A77" s="567"/>
      <c r="B77" s="1007"/>
      <c r="C77" s="999"/>
      <c r="D77" s="1001"/>
      <c r="E77" s="809"/>
      <c r="F77" s="809"/>
      <c r="G77" s="809"/>
      <c r="H77" s="809"/>
      <c r="I77" s="809"/>
      <c r="J77" s="809"/>
      <c r="K77" s="567"/>
      <c r="L77" s="567"/>
      <c r="M77" s="567"/>
      <c r="N77" s="567"/>
      <c r="O77" s="567"/>
      <c r="P77" s="567"/>
      <c r="Q77" s="567"/>
      <c r="R77" s="567"/>
      <c r="S77" s="567"/>
      <c r="T77" s="567"/>
    </row>
    <row r="78" spans="1:20" x14ac:dyDescent="0.2">
      <c r="A78" s="567"/>
      <c r="B78" s="970"/>
      <c r="C78" s="977"/>
      <c r="D78" s="977"/>
      <c r="E78" s="970"/>
      <c r="F78" s="970"/>
      <c r="G78" s="970"/>
      <c r="H78" s="970"/>
      <c r="I78" s="974"/>
      <c r="J78" s="809"/>
      <c r="K78" s="1950"/>
      <c r="L78" s="1950"/>
      <c r="M78" s="1950"/>
      <c r="N78" s="567"/>
      <c r="O78" s="567"/>
      <c r="P78" s="567"/>
      <c r="Q78" s="567"/>
      <c r="R78" s="567"/>
      <c r="S78" s="567"/>
      <c r="T78" s="567"/>
    </row>
    <row r="79" spans="1:20" x14ac:dyDescent="0.2">
      <c r="A79" s="567"/>
      <c r="B79" s="970"/>
      <c r="C79" s="977"/>
      <c r="D79" s="977"/>
      <c r="E79" s="970"/>
      <c r="F79" s="970"/>
      <c r="G79" s="970"/>
      <c r="H79" s="970"/>
      <c r="I79" s="974"/>
      <c r="J79" s="809"/>
      <c r="K79" s="1951"/>
      <c r="L79" s="1952"/>
      <c r="M79" s="1952"/>
      <c r="N79" s="567"/>
      <c r="O79" s="567"/>
      <c r="P79" s="567"/>
      <c r="Q79" s="567"/>
      <c r="R79" s="567"/>
      <c r="S79" s="567"/>
      <c r="T79" s="567"/>
    </row>
    <row r="80" spans="1:20" x14ac:dyDescent="0.2">
      <c r="A80" s="567"/>
      <c r="B80" s="984"/>
      <c r="C80" s="1004"/>
      <c r="D80" s="1004"/>
      <c r="E80" s="1004"/>
      <c r="F80" s="1004"/>
      <c r="G80" s="1004"/>
      <c r="H80" s="1004"/>
      <c r="I80" s="1005"/>
      <c r="J80" s="1005"/>
      <c r="K80" s="1005"/>
      <c r="L80" s="1005"/>
      <c r="M80" s="1005"/>
      <c r="N80" s="1005"/>
      <c r="O80" s="1005"/>
      <c r="P80" s="1004"/>
      <c r="Q80" s="567"/>
      <c r="R80" s="567"/>
      <c r="S80" s="567"/>
      <c r="T80" s="567"/>
    </row>
    <row r="81" spans="1:20" x14ac:dyDescent="0.2">
      <c r="A81" s="567"/>
      <c r="B81" s="1006"/>
      <c r="C81" s="1006"/>
      <c r="D81" s="1006"/>
      <c r="E81" s="1006"/>
      <c r="F81" s="1006"/>
      <c r="G81" s="1006"/>
      <c r="H81" s="1006"/>
      <c r="I81" s="1006"/>
      <c r="J81" s="1006"/>
      <c r="K81" s="1006"/>
      <c r="L81" s="1006"/>
      <c r="M81" s="1006"/>
      <c r="N81" s="1006"/>
      <c r="O81" s="1006"/>
      <c r="P81" s="1006"/>
      <c r="Q81" s="567"/>
      <c r="R81" s="567"/>
      <c r="S81" s="567"/>
      <c r="T81" s="567"/>
    </row>
    <row r="82" spans="1:20" x14ac:dyDescent="0.2">
      <c r="A82" s="567"/>
      <c r="B82" s="1006"/>
      <c r="C82" s="1006"/>
      <c r="D82" s="1006"/>
      <c r="E82" s="1006"/>
      <c r="F82" s="1006"/>
      <c r="G82" s="1006"/>
      <c r="H82" s="1006"/>
      <c r="I82" s="1006"/>
      <c r="J82" s="1006"/>
      <c r="K82" s="1006"/>
      <c r="L82" s="1006"/>
      <c r="M82" s="1006"/>
      <c r="N82" s="1006"/>
      <c r="O82" s="1006"/>
      <c r="P82" s="1006"/>
      <c r="Q82" s="567"/>
      <c r="R82" s="567"/>
      <c r="S82" s="567"/>
      <c r="T82" s="567"/>
    </row>
    <row r="83" spans="1:20" x14ac:dyDescent="0.2">
      <c r="A83" s="567"/>
      <c r="B83" s="1006"/>
      <c r="C83" s="1006"/>
      <c r="D83" s="1006"/>
      <c r="E83" s="1006"/>
      <c r="F83" s="1006"/>
      <c r="G83" s="1006"/>
      <c r="H83" s="1006"/>
      <c r="I83" s="1006"/>
      <c r="J83" s="1006"/>
      <c r="K83" s="1006"/>
      <c r="L83" s="1006"/>
      <c r="M83" s="1006"/>
      <c r="N83" s="1006"/>
      <c r="O83" s="1006"/>
      <c r="P83" s="1006"/>
      <c r="Q83" s="567"/>
      <c r="R83" s="567"/>
      <c r="S83" s="567"/>
      <c r="T83" s="567"/>
    </row>
    <row r="84" spans="1:20" x14ac:dyDescent="0.2">
      <c r="A84" s="978"/>
      <c r="B84" s="1006"/>
      <c r="C84" s="1006"/>
      <c r="D84" s="1006"/>
      <c r="E84" s="1006"/>
      <c r="F84" s="1006"/>
      <c r="G84" s="1006"/>
      <c r="H84" s="1006"/>
      <c r="I84" s="1006"/>
      <c r="J84" s="1006"/>
      <c r="K84" s="1006"/>
      <c r="L84" s="1006"/>
      <c r="M84" s="1006"/>
      <c r="N84" s="1006"/>
      <c r="O84" s="1006"/>
      <c r="P84" s="1006"/>
      <c r="Q84" s="567"/>
      <c r="R84" s="567"/>
      <c r="S84" s="567"/>
      <c r="T84" s="567"/>
    </row>
    <row r="85" spans="1:20" x14ac:dyDescent="0.2">
      <c r="A85" s="978"/>
      <c r="B85" s="1006"/>
      <c r="C85" s="1006"/>
      <c r="D85" s="1006"/>
      <c r="E85" s="1006"/>
      <c r="F85" s="1006"/>
      <c r="G85" s="1006"/>
      <c r="H85" s="1006"/>
      <c r="I85" s="1006"/>
      <c r="J85" s="1006"/>
      <c r="K85" s="1006"/>
      <c r="L85" s="1006"/>
      <c r="M85" s="1006"/>
      <c r="N85" s="1006"/>
      <c r="O85" s="1006"/>
      <c r="P85" s="1006"/>
      <c r="Q85" s="567"/>
      <c r="R85" s="567"/>
      <c r="S85" s="567"/>
      <c r="T85" s="567"/>
    </row>
    <row r="86" spans="1:20" x14ac:dyDescent="0.2">
      <c r="A86" s="978"/>
      <c r="B86" s="1006"/>
      <c r="C86" s="1006"/>
      <c r="D86" s="1006"/>
      <c r="E86" s="1006"/>
      <c r="F86" s="1006"/>
      <c r="G86" s="1006"/>
      <c r="H86" s="1006"/>
      <c r="I86" s="1006"/>
      <c r="J86" s="1006"/>
      <c r="K86" s="1006"/>
      <c r="L86" s="1006"/>
      <c r="M86" s="1006"/>
      <c r="N86" s="1006"/>
      <c r="O86" s="1006"/>
      <c r="P86" s="1006"/>
      <c r="Q86" s="567"/>
      <c r="R86" s="567"/>
      <c r="S86" s="567"/>
      <c r="T86" s="567"/>
    </row>
    <row r="87" spans="1:20" x14ac:dyDescent="0.2">
      <c r="A87" s="567"/>
      <c r="B87" s="1006"/>
      <c r="C87" s="1006"/>
      <c r="D87" s="1006"/>
      <c r="E87" s="1006"/>
      <c r="F87" s="1006"/>
      <c r="G87" s="1006"/>
      <c r="H87" s="1006"/>
      <c r="I87" s="1006"/>
      <c r="J87" s="1006"/>
      <c r="K87" s="1006"/>
      <c r="L87" s="1006"/>
      <c r="M87" s="1006"/>
      <c r="N87" s="1006"/>
      <c r="O87" s="1006"/>
      <c r="P87" s="1006"/>
      <c r="Q87" s="567"/>
      <c r="R87" s="567"/>
      <c r="S87" s="567"/>
      <c r="T87" s="567"/>
    </row>
    <row r="88" spans="1:20" x14ac:dyDescent="0.2">
      <c r="A88" s="567"/>
      <c r="B88" s="1006"/>
      <c r="C88" s="1006"/>
      <c r="D88" s="1006"/>
      <c r="E88" s="1006"/>
      <c r="F88" s="1006"/>
      <c r="G88" s="1006"/>
      <c r="H88" s="1006"/>
      <c r="I88" s="1006"/>
      <c r="J88" s="1006"/>
      <c r="K88" s="1006"/>
      <c r="L88" s="1006"/>
      <c r="M88" s="1006"/>
      <c r="N88" s="1006"/>
      <c r="O88" s="1006"/>
      <c r="P88" s="1006"/>
      <c r="Q88" s="567"/>
      <c r="R88" s="567"/>
      <c r="S88" s="567"/>
      <c r="T88" s="567"/>
    </row>
    <row r="89" spans="1:20" x14ac:dyDescent="0.2">
      <c r="A89" s="567"/>
      <c r="B89" s="1006"/>
      <c r="C89" s="1006"/>
      <c r="D89" s="1006"/>
      <c r="E89" s="1006"/>
      <c r="F89" s="1006"/>
      <c r="G89" s="1006"/>
      <c r="H89" s="1006"/>
      <c r="I89" s="1006"/>
      <c r="J89" s="1006"/>
      <c r="K89" s="1006"/>
      <c r="L89" s="1006"/>
      <c r="M89" s="1006"/>
      <c r="N89" s="1006"/>
      <c r="O89" s="1006"/>
      <c r="P89" s="1006"/>
      <c r="Q89" s="567"/>
      <c r="R89" s="567"/>
      <c r="S89" s="567"/>
      <c r="T89" s="567"/>
    </row>
    <row r="90" spans="1:20" x14ac:dyDescent="0.2">
      <c r="A90" s="978"/>
      <c r="B90" s="984"/>
      <c r="C90" s="985"/>
      <c r="D90" s="985"/>
      <c r="E90" s="985"/>
      <c r="F90" s="985"/>
      <c r="G90" s="992"/>
      <c r="H90" s="992"/>
      <c r="I90" s="986"/>
      <c r="J90" s="987"/>
      <c r="K90" s="988"/>
      <c r="L90" s="567"/>
      <c r="M90" s="567"/>
      <c r="N90" s="567"/>
      <c r="O90" s="567"/>
      <c r="P90" s="567"/>
      <c r="Q90" s="567"/>
      <c r="R90" s="567"/>
      <c r="S90" s="567"/>
      <c r="T90" s="567"/>
    </row>
    <row r="91" spans="1:20" x14ac:dyDescent="0.2">
      <c r="A91" s="978"/>
      <c r="B91" s="1072"/>
      <c r="C91" s="989"/>
      <c r="D91" s="989"/>
      <c r="E91" s="989"/>
      <c r="F91" s="989"/>
      <c r="G91" s="1073"/>
      <c r="H91" s="1002"/>
      <c r="I91" s="990"/>
      <c r="J91" s="991"/>
      <c r="K91" s="988"/>
      <c r="L91" s="567"/>
      <c r="M91" s="567"/>
      <c r="N91" s="567"/>
      <c r="O91" s="567"/>
      <c r="P91" s="567"/>
      <c r="Q91" s="567"/>
      <c r="R91" s="567"/>
      <c r="S91" s="567"/>
      <c r="T91" s="567"/>
    </row>
    <row r="92" spans="1:20" x14ac:dyDescent="0.2">
      <c r="A92" s="978"/>
      <c r="B92" s="1002"/>
      <c r="C92" s="999"/>
      <c r="D92" s="999"/>
      <c r="E92" s="999"/>
      <c r="F92" s="999"/>
      <c r="G92" s="1002"/>
      <c r="H92" s="1002"/>
      <c r="I92" s="990"/>
      <c r="J92" s="994"/>
      <c r="K92" s="988"/>
      <c r="L92" s="567"/>
      <c r="M92" s="567"/>
      <c r="N92" s="567"/>
      <c r="O92" s="567"/>
      <c r="P92" s="567"/>
      <c r="Q92" s="567"/>
      <c r="R92" s="567"/>
      <c r="S92" s="567"/>
      <c r="T92" s="567"/>
    </row>
    <row r="93" spans="1:20" x14ac:dyDescent="0.2">
      <c r="A93" s="978"/>
      <c r="B93" s="996"/>
      <c r="C93" s="999"/>
      <c r="D93" s="999"/>
      <c r="E93" s="999"/>
      <c r="F93" s="999"/>
      <c r="G93" s="1002"/>
      <c r="H93" s="996"/>
      <c r="I93" s="995"/>
      <c r="J93" s="994"/>
      <c r="K93" s="988"/>
      <c r="L93" s="567"/>
      <c r="M93" s="567"/>
      <c r="N93" s="567"/>
      <c r="O93" s="567"/>
      <c r="P93" s="567"/>
      <c r="Q93" s="567"/>
      <c r="R93" s="567"/>
      <c r="S93" s="567"/>
      <c r="T93" s="567"/>
    </row>
    <row r="94" spans="1:20" x14ac:dyDescent="0.2">
      <c r="A94" s="978"/>
      <c r="B94" s="996"/>
      <c r="C94" s="999"/>
      <c r="D94" s="999"/>
      <c r="E94" s="999"/>
      <c r="F94" s="999"/>
      <c r="G94" s="1002"/>
      <c r="H94" s="1074"/>
      <c r="I94" s="995"/>
      <c r="J94" s="809"/>
      <c r="K94" s="567"/>
      <c r="L94" s="567"/>
      <c r="M94" s="567"/>
      <c r="N94" s="567"/>
      <c r="O94" s="567"/>
      <c r="P94" s="567"/>
      <c r="Q94" s="567"/>
      <c r="R94" s="567"/>
      <c r="S94" s="567"/>
      <c r="T94" s="567"/>
    </row>
    <row r="95" spans="1:20" x14ac:dyDescent="0.2">
      <c r="A95" s="978"/>
      <c r="B95" s="996"/>
      <c r="C95" s="999"/>
      <c r="D95" s="999"/>
      <c r="E95" s="999"/>
      <c r="F95" s="999"/>
      <c r="G95" s="1002"/>
      <c r="H95" s="1074"/>
      <c r="I95" s="995"/>
      <c r="J95" s="809"/>
      <c r="K95" s="567"/>
      <c r="L95" s="567"/>
      <c r="M95" s="567"/>
      <c r="N95" s="567"/>
      <c r="O95" s="567"/>
      <c r="P95" s="567"/>
      <c r="Q95" s="567"/>
      <c r="R95" s="567"/>
      <c r="S95" s="567"/>
      <c r="T95" s="567"/>
    </row>
    <row r="96" spans="1:20" x14ac:dyDescent="0.2">
      <c r="A96" s="567"/>
      <c r="B96" s="996"/>
      <c r="C96" s="999"/>
      <c r="D96" s="999"/>
      <c r="E96" s="999"/>
      <c r="F96" s="999"/>
      <c r="G96" s="1002"/>
      <c r="H96" s="1074"/>
      <c r="I96" s="995"/>
      <c r="J96" s="809"/>
      <c r="K96" s="567"/>
      <c r="L96" s="567"/>
      <c r="M96" s="567"/>
      <c r="N96" s="567"/>
      <c r="O96" s="567"/>
      <c r="P96" s="567"/>
      <c r="Q96" s="567"/>
      <c r="R96" s="567"/>
      <c r="S96" s="567"/>
      <c r="T96" s="567"/>
    </row>
    <row r="97" spans="1:20" x14ac:dyDescent="0.2">
      <c r="A97" s="567"/>
      <c r="B97" s="996"/>
      <c r="C97" s="999"/>
      <c r="D97" s="999"/>
      <c r="E97" s="999"/>
      <c r="F97" s="999"/>
      <c r="G97" s="1002"/>
      <c r="H97" s="1074"/>
      <c r="I97" s="995"/>
      <c r="J97" s="809"/>
      <c r="K97" s="567"/>
      <c r="L97" s="567"/>
      <c r="M97" s="567"/>
      <c r="N97" s="567"/>
      <c r="O97" s="567"/>
      <c r="P97" s="567"/>
      <c r="Q97" s="567"/>
      <c r="R97" s="567"/>
      <c r="S97" s="567"/>
      <c r="T97" s="567"/>
    </row>
    <row r="98" spans="1:20" x14ac:dyDescent="0.2">
      <c r="A98" s="567"/>
      <c r="B98" s="1007"/>
      <c r="C98" s="999"/>
      <c r="D98" s="1000"/>
      <c r="E98" s="999"/>
      <c r="F98" s="999"/>
      <c r="G98" s="1002"/>
      <c r="H98" s="996"/>
      <c r="I98" s="809"/>
      <c r="J98" s="809"/>
      <c r="K98" s="567"/>
      <c r="L98" s="567"/>
      <c r="M98" s="567"/>
      <c r="N98" s="567"/>
      <c r="O98" s="567"/>
      <c r="P98" s="567"/>
      <c r="Q98" s="567"/>
      <c r="R98" s="567"/>
      <c r="S98" s="567"/>
      <c r="T98" s="567"/>
    </row>
    <row r="99" spans="1:20" x14ac:dyDescent="0.2">
      <c r="A99" s="567"/>
      <c r="B99" s="996"/>
      <c r="C99" s="999"/>
      <c r="D99" s="1000"/>
      <c r="E99" s="999"/>
      <c r="F99" s="999"/>
      <c r="G99" s="1002"/>
      <c r="H99" s="997"/>
      <c r="I99" s="1071"/>
      <c r="J99" s="809"/>
      <c r="K99" s="567"/>
      <c r="L99" s="567"/>
      <c r="M99" s="567"/>
      <c r="N99" s="567"/>
      <c r="O99" s="567"/>
      <c r="P99" s="567"/>
      <c r="Q99" s="567"/>
      <c r="R99" s="567"/>
      <c r="S99" s="567"/>
      <c r="T99" s="567"/>
    </row>
    <row r="100" spans="1:20" x14ac:dyDescent="0.2">
      <c r="A100" s="567"/>
      <c r="B100" s="996"/>
      <c r="C100" s="999"/>
      <c r="D100" s="1000"/>
      <c r="E100" s="999"/>
      <c r="F100" s="999"/>
      <c r="G100" s="1002"/>
      <c r="H100" s="996"/>
      <c r="I100" s="809"/>
      <c r="J100" s="809"/>
      <c r="K100" s="567"/>
      <c r="L100" s="567"/>
      <c r="M100" s="567"/>
      <c r="N100" s="567"/>
      <c r="O100" s="567"/>
      <c r="P100" s="567"/>
      <c r="Q100" s="567"/>
      <c r="R100" s="567"/>
      <c r="S100" s="567"/>
      <c r="T100" s="567"/>
    </row>
    <row r="101" spans="1:20" x14ac:dyDescent="0.2">
      <c r="A101" s="567"/>
      <c r="B101" s="996"/>
      <c r="C101" s="999"/>
      <c r="D101" s="1000"/>
      <c r="E101" s="1001"/>
      <c r="F101" s="1001"/>
      <c r="G101" s="1002"/>
      <c r="H101" s="1001"/>
      <c r="I101" s="1071"/>
      <c r="J101" s="809"/>
      <c r="K101" s="567"/>
      <c r="L101" s="567"/>
      <c r="M101" s="567"/>
      <c r="N101" s="567"/>
      <c r="O101" s="567"/>
      <c r="P101" s="567"/>
      <c r="Q101" s="567"/>
      <c r="R101" s="567"/>
      <c r="S101" s="567"/>
      <c r="T101" s="567"/>
    </row>
    <row r="102" spans="1:20" x14ac:dyDescent="0.2">
      <c r="A102" s="567"/>
      <c r="B102" s="1007"/>
      <c r="C102" s="999"/>
      <c r="D102" s="1000"/>
      <c r="E102" s="1001"/>
      <c r="F102" s="1001"/>
      <c r="G102" s="996"/>
      <c r="H102" s="996"/>
      <c r="I102" s="809"/>
      <c r="J102" s="809"/>
      <c r="K102" s="567"/>
      <c r="L102" s="567"/>
      <c r="M102" s="567"/>
      <c r="N102" s="567"/>
      <c r="O102" s="567"/>
      <c r="P102" s="567"/>
      <c r="Q102" s="567"/>
      <c r="R102" s="567"/>
      <c r="S102" s="567"/>
      <c r="T102" s="567"/>
    </row>
    <row r="103" spans="1:20" x14ac:dyDescent="0.2">
      <c r="A103" s="567"/>
      <c r="B103" s="996"/>
      <c r="C103" s="999"/>
      <c r="D103" s="1000"/>
      <c r="E103" s="1001"/>
      <c r="F103" s="1001"/>
      <c r="G103" s="997"/>
      <c r="H103" s="997"/>
      <c r="I103" s="1008"/>
      <c r="J103" s="809"/>
      <c r="K103" s="567"/>
      <c r="L103" s="567"/>
      <c r="M103" s="567"/>
      <c r="N103" s="567"/>
      <c r="O103" s="567"/>
      <c r="P103" s="567"/>
      <c r="Q103" s="567"/>
      <c r="R103" s="567"/>
      <c r="S103" s="567"/>
      <c r="T103" s="567"/>
    </row>
    <row r="104" spans="1:20" x14ac:dyDescent="0.2">
      <c r="A104" s="567"/>
      <c r="B104" s="1007"/>
      <c r="C104" s="999"/>
      <c r="D104" s="1001"/>
      <c r="E104" s="809"/>
      <c r="F104" s="809"/>
      <c r="G104" s="809"/>
      <c r="H104" s="809"/>
      <c r="I104" s="809"/>
      <c r="J104" s="809"/>
      <c r="K104" s="567"/>
      <c r="L104" s="567"/>
      <c r="M104" s="567"/>
      <c r="N104" s="567"/>
      <c r="O104" s="567"/>
      <c r="P104" s="567"/>
      <c r="Q104" s="567"/>
      <c r="R104" s="567"/>
      <c r="S104" s="567"/>
      <c r="T104" s="567"/>
    </row>
    <row r="105" spans="1:20" x14ac:dyDescent="0.2">
      <c r="A105" s="567"/>
      <c r="B105" s="1007"/>
      <c r="C105" s="999"/>
      <c r="D105" s="1001"/>
      <c r="E105" s="809"/>
      <c r="F105" s="809"/>
      <c r="G105" s="809"/>
      <c r="H105" s="809"/>
      <c r="I105" s="809"/>
      <c r="J105" s="809"/>
      <c r="K105" s="567"/>
      <c r="L105" s="567"/>
      <c r="M105" s="567"/>
      <c r="N105" s="567"/>
      <c r="O105" s="567"/>
      <c r="P105" s="567"/>
      <c r="Q105" s="567"/>
      <c r="R105" s="567"/>
      <c r="S105" s="567"/>
      <c r="T105" s="567"/>
    </row>
    <row r="106" spans="1:20" x14ac:dyDescent="0.2">
      <c r="A106" s="567"/>
      <c r="B106" s="1007"/>
      <c r="C106" s="999"/>
      <c r="D106" s="1001"/>
      <c r="E106" s="809"/>
      <c r="F106" s="809"/>
      <c r="G106" s="809"/>
      <c r="H106" s="809"/>
      <c r="I106" s="809"/>
      <c r="J106" s="809"/>
      <c r="K106" s="567"/>
      <c r="L106" s="567"/>
      <c r="M106" s="567"/>
      <c r="N106" s="567"/>
      <c r="O106" s="567"/>
      <c r="P106" s="567"/>
      <c r="Q106" s="567"/>
      <c r="R106" s="567"/>
      <c r="S106" s="567"/>
      <c r="T106" s="567"/>
    </row>
    <row r="107" spans="1:20" x14ac:dyDescent="0.2">
      <c r="A107" s="567"/>
      <c r="B107" s="1007"/>
      <c r="C107" s="999"/>
      <c r="D107" s="1001"/>
      <c r="E107" s="809"/>
      <c r="F107" s="809"/>
      <c r="G107" s="809"/>
      <c r="H107" s="809"/>
      <c r="I107" s="809"/>
      <c r="J107" s="809"/>
      <c r="K107" s="567"/>
      <c r="L107" s="567"/>
      <c r="M107" s="567"/>
      <c r="N107" s="567"/>
      <c r="O107" s="567"/>
      <c r="P107" s="567"/>
      <c r="Q107" s="567"/>
      <c r="R107" s="567"/>
      <c r="S107" s="567"/>
      <c r="T107" s="567"/>
    </row>
    <row r="108" spans="1:20" x14ac:dyDescent="0.2">
      <c r="A108" s="567"/>
      <c r="B108" s="1007"/>
      <c r="C108" s="999"/>
      <c r="D108" s="1001"/>
      <c r="E108" s="809"/>
      <c r="F108" s="809"/>
      <c r="G108" s="809"/>
      <c r="H108" s="809"/>
      <c r="I108" s="809"/>
      <c r="J108" s="809"/>
      <c r="K108" s="567"/>
      <c r="L108" s="567"/>
      <c r="M108" s="567"/>
      <c r="N108" s="567"/>
      <c r="O108" s="567"/>
      <c r="P108" s="567"/>
      <c r="Q108" s="567"/>
      <c r="R108" s="567"/>
      <c r="S108" s="567"/>
      <c r="T108" s="567"/>
    </row>
    <row r="109" spans="1:20" x14ac:dyDescent="0.2">
      <c r="A109" s="567"/>
      <c r="B109" s="567"/>
      <c r="C109" s="999"/>
      <c r="D109" s="567"/>
      <c r="E109" s="809"/>
      <c r="F109" s="809"/>
      <c r="G109" s="809"/>
      <c r="H109" s="809"/>
      <c r="I109" s="809"/>
      <c r="J109" s="809"/>
      <c r="K109" s="567"/>
      <c r="L109" s="567"/>
      <c r="M109" s="567"/>
      <c r="N109" s="567"/>
      <c r="O109" s="567"/>
      <c r="P109" s="567"/>
      <c r="Q109" s="567"/>
      <c r="R109" s="567"/>
      <c r="S109" s="567"/>
      <c r="T109" s="567"/>
    </row>
    <row r="110" spans="1:20" x14ac:dyDescent="0.2">
      <c r="A110" s="567"/>
      <c r="B110" s="567"/>
      <c r="C110" s="567"/>
      <c r="D110" s="567"/>
      <c r="E110" s="567"/>
      <c r="F110" s="567"/>
      <c r="G110" s="567"/>
      <c r="H110" s="567"/>
      <c r="I110" s="567"/>
      <c r="J110" s="809"/>
      <c r="K110" s="567"/>
      <c r="L110" s="567"/>
      <c r="M110" s="567"/>
      <c r="N110" s="567"/>
      <c r="O110" s="567"/>
      <c r="P110" s="567"/>
      <c r="Q110" s="567"/>
      <c r="R110" s="567"/>
      <c r="S110" s="567"/>
      <c r="T110" s="567"/>
    </row>
    <row r="111" spans="1:20" x14ac:dyDescent="0.2">
      <c r="A111" s="567"/>
      <c r="B111" s="978"/>
      <c r="C111" s="567"/>
      <c r="D111" s="567"/>
      <c r="E111" s="567"/>
      <c r="F111" s="567"/>
      <c r="G111" s="567"/>
      <c r="H111" s="567"/>
      <c r="I111" s="567"/>
      <c r="J111" s="567"/>
      <c r="K111" s="567"/>
      <c r="L111" s="567"/>
      <c r="M111" s="567"/>
      <c r="N111" s="567"/>
      <c r="O111" s="567"/>
      <c r="P111" s="567"/>
      <c r="Q111" s="567"/>
      <c r="R111" s="567"/>
      <c r="S111" s="567"/>
      <c r="T111" s="567"/>
    </row>
    <row r="112" spans="1:20" x14ac:dyDescent="0.2">
      <c r="B112" s="754"/>
    </row>
    <row r="113" spans="2:2" x14ac:dyDescent="0.2">
      <c r="B113" s="754"/>
    </row>
    <row r="114" spans="2:2" x14ac:dyDescent="0.2">
      <c r="B114" s="754"/>
    </row>
    <row r="115" spans="2:2" x14ac:dyDescent="0.2">
      <c r="B115" s="754"/>
    </row>
    <row r="116" spans="2:2" x14ac:dyDescent="0.2">
      <c r="B116" s="754"/>
    </row>
  </sheetData>
  <protectedRanges>
    <protectedRange sqref="B9" name="Range1"/>
  </protectedRanges>
  <mergeCells count="10">
    <mergeCell ref="I14:J14"/>
    <mergeCell ref="K14:L14"/>
    <mergeCell ref="K78:M78"/>
    <mergeCell ref="K79:M79"/>
    <mergeCell ref="D11:E11"/>
    <mergeCell ref="I11:J11"/>
    <mergeCell ref="I12:J12"/>
    <mergeCell ref="K12:L12"/>
    <mergeCell ref="I13:J13"/>
    <mergeCell ref="K13:L13"/>
  </mergeCells>
  <conditionalFormatting sqref="E12:E43">
    <cfRule type="iconSet" priority="1">
      <iconSet iconSet="3Arrows" showValue="0">
        <cfvo type="percent" val="0"/>
        <cfvo type="num" val="0"/>
        <cfvo type="num" val="0"/>
      </iconSet>
    </cfRule>
  </conditionalFormatting>
  <dataValidations count="3">
    <dataValidation type="list" allowBlank="1" showInputMessage="1" showErrorMessage="1" sqref="B58">
      <formula1>pcts</formula1>
    </dataValidation>
    <dataValidation type="list" allowBlank="1" showInputMessage="1" showErrorMessage="1" sqref="E58">
      <formula1>Capitalcosts</formula1>
    </dataValidation>
    <dataValidation type="list" allowBlank="1" showInputMessage="1" showErrorMessage="1" sqref="B9">
      <formula1>trusts</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31425" r:id="rId4" name="Check Box 1">
              <controlPr defaultSize="0" autoFill="0" autoLine="0" autoPict="0">
                <anchor moveWithCells="1">
                  <from>
                    <xdr:col>0</xdr:col>
                    <xdr:colOff>600075</xdr:colOff>
                    <xdr:row>28</xdr:row>
                    <xdr:rowOff>28575</xdr:rowOff>
                  </from>
                  <to>
                    <xdr:col>2</xdr:col>
                    <xdr:colOff>219075</xdr:colOff>
                    <xdr:row>29</xdr:row>
                    <xdr:rowOff>66675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theme="4" tint="0.39997558519241921"/>
  </sheetPr>
  <dimension ref="A1:U230"/>
  <sheetViews>
    <sheetView showGridLines="0" showRowColHeaders="0" showZeros="0" zoomScaleNormal="100" workbookViewId="0"/>
  </sheetViews>
  <sheetFormatPr defaultRowHeight="12.75" x14ac:dyDescent="0.2"/>
  <cols>
    <col min="1" max="1" width="9.140625" style="276"/>
    <col min="2" max="2" width="22.7109375" style="276" customWidth="1"/>
    <col min="3" max="3" width="15.7109375" style="276" customWidth="1"/>
    <col min="4" max="4" width="8.7109375" style="276" customWidth="1"/>
    <col min="5" max="5" width="6.7109375" style="276" customWidth="1"/>
    <col min="6" max="6" width="10" style="276" customWidth="1"/>
    <col min="7" max="7" width="15.7109375" style="276" customWidth="1"/>
    <col min="8" max="8" width="9" style="276" customWidth="1"/>
    <col min="9" max="9" width="30.7109375" style="276" customWidth="1"/>
    <col min="10" max="10" width="8.7109375" style="276" customWidth="1"/>
    <col min="11" max="11" width="15.7109375" style="276" customWidth="1"/>
    <col min="12" max="13" width="7.140625" style="276" bestFit="1" customWidth="1"/>
    <col min="14" max="14" width="7.5703125" style="276" bestFit="1" customWidth="1"/>
    <col min="15" max="15" width="7.140625" style="276" bestFit="1" customWidth="1"/>
    <col min="16" max="16" width="7" style="276" bestFit="1" customWidth="1"/>
    <col min="17" max="17" width="11.140625" style="276" bestFit="1" customWidth="1"/>
    <col min="18" max="16384" width="9.140625" style="276"/>
  </cols>
  <sheetData>
    <row r="1" spans="1:17" x14ac:dyDescent="0.2">
      <c r="B1" s="279"/>
      <c r="C1" s="279"/>
    </row>
    <row r="2" spans="1:17" x14ac:dyDescent="0.2">
      <c r="B2" s="279"/>
      <c r="C2" s="279"/>
    </row>
    <row r="3" spans="1:17" x14ac:dyDescent="0.2">
      <c r="B3" s="279"/>
      <c r="C3" s="279"/>
    </row>
    <row r="4" spans="1:17" ht="31.5" x14ac:dyDescent="0.5">
      <c r="B4" s="626" t="s">
        <v>555</v>
      </c>
    </row>
    <row r="5" spans="1:17" ht="18" customHeight="1" x14ac:dyDescent="0.2"/>
    <row r="6" spans="1:17" ht="18" customHeight="1" x14ac:dyDescent="0.2">
      <c r="B6" s="627" t="s">
        <v>432</v>
      </c>
    </row>
    <row r="7" spans="1:17" ht="18" customHeight="1" x14ac:dyDescent="0.2">
      <c r="B7" s="723" t="s">
        <v>433</v>
      </c>
      <c r="C7" s="279"/>
    </row>
    <row r="8" spans="1:17" ht="18" customHeight="1" x14ac:dyDescent="0.2">
      <c r="B8" s="844"/>
      <c r="C8" s="845"/>
      <c r="D8" s="845"/>
      <c r="E8" s="844"/>
      <c r="F8" s="844"/>
      <c r="G8" s="844"/>
      <c r="H8" s="844"/>
      <c r="I8" s="286"/>
    </row>
    <row r="9" spans="1:17" ht="18" customHeight="1" x14ac:dyDescent="0.2">
      <c r="B9" s="846" t="s">
        <v>410</v>
      </c>
      <c r="C9" s="845"/>
      <c r="D9" s="845"/>
      <c r="E9" s="845"/>
      <c r="F9" s="845"/>
      <c r="G9" s="847"/>
      <c r="H9" s="847"/>
      <c r="I9" s="848"/>
      <c r="J9" s="286"/>
    </row>
    <row r="10" spans="1:17" ht="18" customHeight="1" x14ac:dyDescent="0.2">
      <c r="B10" s="849"/>
      <c r="C10" s="850"/>
      <c r="D10" s="850"/>
      <c r="E10" s="850"/>
      <c r="F10" s="850"/>
      <c r="G10" s="851"/>
      <c r="H10" s="851"/>
      <c r="I10" s="852"/>
      <c r="J10" s="286"/>
    </row>
    <row r="11" spans="1:17" ht="51" x14ac:dyDescent="0.2">
      <c r="B11" s="770"/>
      <c r="C11" s="796" t="s">
        <v>536</v>
      </c>
      <c r="D11" s="790" t="s">
        <v>654</v>
      </c>
      <c r="E11" s="796"/>
      <c r="F11" s="796" t="s">
        <v>526</v>
      </c>
      <c r="G11" s="796" t="s">
        <v>507</v>
      </c>
      <c r="H11" s="920" t="s">
        <v>556</v>
      </c>
      <c r="I11" s="790" t="s">
        <v>503</v>
      </c>
      <c r="J11" s="914" t="s">
        <v>536</v>
      </c>
      <c r="Q11" s="853"/>
    </row>
    <row r="12" spans="1:17" ht="24.95" customHeight="1" x14ac:dyDescent="0.2">
      <c r="B12" s="795" t="s">
        <v>266</v>
      </c>
      <c r="C12" s="1735">
        <f>capital_tables!I28</f>
        <v>7363126.411328</v>
      </c>
      <c r="D12" s="791">
        <f>capital_tables!I28/capital_tables!H28-1</f>
        <v>7.6496522510715703E-2</v>
      </c>
      <c r="E12" s="792">
        <f>D12</f>
        <v>7.6496522510715703E-2</v>
      </c>
      <c r="F12" s="915">
        <f>MIN(capital_tables!B28:I28)</f>
        <v>4421465.1339764148</v>
      </c>
      <c r="G12" s="915">
        <f>MAX(capital_tables!B28:I28)</f>
        <v>7363126.411328</v>
      </c>
      <c r="H12" s="921">
        <f>capital_tables!B28/1000000</f>
        <v>4.4214651339764144</v>
      </c>
      <c r="I12" s="922"/>
      <c r="J12" s="923">
        <f>capital_tables!I28/1000000</f>
        <v>7.3631264113280004</v>
      </c>
      <c r="Q12" s="853"/>
    </row>
    <row r="13" spans="1:17" ht="24.95" customHeight="1" x14ac:dyDescent="0.2">
      <c r="B13" s="795" t="s">
        <v>56</v>
      </c>
      <c r="C13" s="1735">
        <f>capital_tables!I47</f>
        <v>892603.59097999998</v>
      </c>
      <c r="D13" s="791">
        <f>capital_tables!I47/capital_tables!H47-1</f>
        <v>-0.23827130183740919</v>
      </c>
      <c r="E13" s="792">
        <f>D13</f>
        <v>-0.23827130183740919</v>
      </c>
      <c r="F13" s="915">
        <f>MIN(capital_tables!B47:I47)</f>
        <v>675303.14700003446</v>
      </c>
      <c r="G13" s="915">
        <f>MAX(capital_tables!B47:I47)</f>
        <v>1174841</v>
      </c>
      <c r="H13" s="921">
        <f>capital_tables!B47/1000000</f>
        <v>0.67530314700003446</v>
      </c>
      <c r="I13" s="922"/>
      <c r="J13" s="923">
        <f>capital_tables!I47/1000000</f>
        <v>0.89260359097999997</v>
      </c>
      <c r="Q13" s="853"/>
    </row>
    <row r="14" spans="1:17" ht="24.95" customHeight="1" x14ac:dyDescent="0.2">
      <c r="B14" s="795" t="s">
        <v>265</v>
      </c>
      <c r="C14" s="1735">
        <f>capital_tables!I49</f>
        <v>9349</v>
      </c>
      <c r="D14" s="791">
        <f>capital_tables!I51/capital_tables!H51-1</f>
        <v>2.9870058469394722E-2</v>
      </c>
      <c r="E14" s="792">
        <f>D14</f>
        <v>2.9870058469394722E-2</v>
      </c>
      <c r="F14" s="915">
        <f>MIN(capital_tables!B49:I49)</f>
        <v>9349</v>
      </c>
      <c r="G14" s="915">
        <f>MAX(capital_tables!B49:I49)</f>
        <v>19094</v>
      </c>
      <c r="H14" s="921">
        <f>C54/1000000</f>
        <v>0</v>
      </c>
      <c r="I14" s="922"/>
      <c r="J14" s="923">
        <f>P60/1000000</f>
        <v>1.9702048640000001E-2</v>
      </c>
      <c r="Q14" s="853"/>
    </row>
    <row r="15" spans="1:17" ht="24.95" customHeight="1" x14ac:dyDescent="0.2">
      <c r="B15" s="770" t="s">
        <v>229</v>
      </c>
      <c r="C15" s="1735">
        <f>capital_tables!I51</f>
        <v>8265079.0023079999</v>
      </c>
      <c r="D15" s="791">
        <f>capital_tables!I51/capital_tables!H51-1</f>
        <v>2.9870058469394722E-2</v>
      </c>
      <c r="E15" s="792">
        <f>D15</f>
        <v>2.9870058469394722E-2</v>
      </c>
      <c r="F15" s="915">
        <f>MIN(capital_tables!B51:I51)</f>
        <v>5115514.2809764491</v>
      </c>
      <c r="G15" s="915">
        <f>MAX(capital_tables!B51:I51)</f>
        <v>8265079.0023079999</v>
      </c>
      <c r="H15" s="921">
        <f>capital_tables!B51/1000000</f>
        <v>5.1155142809764493</v>
      </c>
      <c r="I15" s="922"/>
      <c r="J15" s="923">
        <f>capital_tables!I51/1000000</f>
        <v>8.2650790023079992</v>
      </c>
      <c r="Q15" s="853"/>
    </row>
    <row r="16" spans="1:17" ht="18" customHeight="1" x14ac:dyDescent="0.2">
      <c r="A16" s="380"/>
      <c r="B16" s="899"/>
      <c r="C16" s="904"/>
      <c r="D16" s="904"/>
      <c r="E16" s="903"/>
      <c r="F16" s="904"/>
      <c r="G16" s="850"/>
      <c r="H16" s="854"/>
      <c r="I16" s="850"/>
      <c r="J16" s="679"/>
      <c r="Q16" s="853"/>
    </row>
    <row r="17" spans="1:19" ht="18" customHeight="1" x14ac:dyDescent="0.2">
      <c r="A17" s="1018"/>
      <c r="B17" s="899"/>
      <c r="C17" s="904"/>
      <c r="D17" s="902"/>
      <c r="E17" s="903"/>
      <c r="F17" s="904"/>
      <c r="G17" s="899"/>
      <c r="H17" s="899"/>
      <c r="I17" s="1087"/>
      <c r="J17" s="1018"/>
      <c r="K17" s="567"/>
      <c r="L17" s="567"/>
      <c r="M17" s="567"/>
      <c r="N17" s="567"/>
      <c r="O17" s="567"/>
      <c r="P17" s="567"/>
      <c r="Q17" s="567"/>
      <c r="R17" s="567"/>
      <c r="S17" s="567"/>
    </row>
    <row r="18" spans="1:19" ht="18" customHeight="1" x14ac:dyDescent="0.2">
      <c r="A18" s="379"/>
      <c r="B18" s="1088" t="s">
        <v>267</v>
      </c>
      <c r="C18" s="854"/>
      <c r="D18" s="854"/>
      <c r="E18" s="854"/>
      <c r="F18" s="854"/>
      <c r="G18" s="900"/>
      <c r="H18" s="900"/>
      <c r="I18" s="1087"/>
      <c r="J18" s="1018"/>
      <c r="K18" s="567"/>
      <c r="L18" s="567"/>
      <c r="M18" s="567"/>
      <c r="N18" s="567"/>
      <c r="O18" s="567"/>
      <c r="P18" s="567"/>
      <c r="Q18" s="567"/>
      <c r="R18" s="567"/>
      <c r="S18" s="567"/>
    </row>
    <row r="19" spans="1:19" ht="18" customHeight="1" x14ac:dyDescent="0.2">
      <c r="A19" s="379"/>
      <c r="B19" s="899"/>
      <c r="C19" s="854"/>
      <c r="D19" s="854"/>
      <c r="E19" s="854"/>
      <c r="F19" s="854"/>
      <c r="G19" s="899"/>
      <c r="H19" s="899"/>
      <c r="I19" s="1087"/>
      <c r="J19" s="1018"/>
      <c r="K19" s="567"/>
      <c r="L19" s="567"/>
      <c r="M19" s="567"/>
      <c r="N19" s="567"/>
      <c r="O19" s="567"/>
      <c r="P19" s="567"/>
      <c r="Q19" s="567"/>
      <c r="R19" s="567"/>
      <c r="S19" s="567"/>
    </row>
    <row r="20" spans="1:19" ht="18" customHeight="1" x14ac:dyDescent="0.2">
      <c r="A20" s="379"/>
      <c r="B20" s="1089" t="s">
        <v>269</v>
      </c>
      <c r="C20" s="854"/>
      <c r="D20" s="854"/>
      <c r="E20" s="1958" t="s">
        <v>268</v>
      </c>
      <c r="F20" s="1958"/>
      <c r="G20" s="1087"/>
      <c r="H20" s="1018"/>
      <c r="I20" s="379"/>
      <c r="J20" s="379"/>
      <c r="K20" s="567"/>
      <c r="L20" s="567"/>
      <c r="M20" s="567"/>
      <c r="N20" s="567"/>
      <c r="O20" s="567"/>
      <c r="P20" s="567"/>
      <c r="Q20" s="567"/>
      <c r="R20" s="567"/>
      <c r="S20" s="567"/>
    </row>
    <row r="21" spans="1:19" ht="18" customHeight="1" x14ac:dyDescent="0.2">
      <c r="A21" s="379"/>
      <c r="B21" s="855" t="s">
        <v>266</v>
      </c>
      <c r="C21" s="854"/>
      <c r="D21" s="854"/>
      <c r="E21" s="1959" t="s">
        <v>197</v>
      </c>
      <c r="F21" s="1959"/>
      <c r="G21" s="1087"/>
      <c r="H21" s="1018"/>
      <c r="I21" s="379"/>
      <c r="J21" s="379"/>
      <c r="K21" s="567"/>
      <c r="L21" s="567"/>
      <c r="M21" s="567"/>
      <c r="N21" s="567"/>
      <c r="O21" s="567"/>
      <c r="P21" s="567"/>
      <c r="Q21" s="567"/>
      <c r="R21" s="567"/>
      <c r="S21" s="567"/>
    </row>
    <row r="22" spans="1:19" ht="18" customHeight="1" x14ac:dyDescent="0.2">
      <c r="A22" s="567"/>
      <c r="B22" s="905"/>
      <c r="C22" s="906"/>
      <c r="D22" s="906"/>
      <c r="E22" s="906"/>
      <c r="F22" s="906"/>
      <c r="G22" s="907"/>
      <c r="H22" s="907"/>
      <c r="I22" s="1090"/>
      <c r="J22" s="1091"/>
      <c r="K22" s="988"/>
      <c r="L22" s="567"/>
      <c r="M22" s="567"/>
      <c r="N22" s="567"/>
      <c r="O22" s="567"/>
      <c r="P22" s="567"/>
      <c r="Q22" s="567"/>
      <c r="R22" s="567"/>
      <c r="S22" s="567"/>
    </row>
    <row r="23" spans="1:19" ht="51" x14ac:dyDescent="0.2">
      <c r="A23" s="567" t="str">
        <f>CONCATENATE(B21,E21)</f>
        <v>All trustsEquipment</v>
      </c>
      <c r="B23" s="1099"/>
      <c r="C23" s="908" t="s">
        <v>390</v>
      </c>
      <c r="D23" s="790" t="s">
        <v>654</v>
      </c>
      <c r="E23" s="908"/>
      <c r="F23" s="908" t="s">
        <v>501</v>
      </c>
      <c r="G23" s="908" t="s">
        <v>502</v>
      </c>
      <c r="H23" s="1092" t="s">
        <v>556</v>
      </c>
      <c r="I23" s="962" t="s">
        <v>503</v>
      </c>
      <c r="J23" s="1093" t="s">
        <v>536</v>
      </c>
      <c r="K23" s="991"/>
      <c r="L23" s="988"/>
      <c r="M23" s="567"/>
      <c r="N23" s="567"/>
      <c r="O23" s="567"/>
      <c r="P23" s="567"/>
      <c r="Q23" s="567"/>
      <c r="R23" s="567"/>
      <c r="S23" s="567"/>
    </row>
    <row r="24" spans="1:19" ht="35.1" customHeight="1" x14ac:dyDescent="0.2">
      <c r="A24" s="567"/>
      <c r="B24" s="1467" t="str">
        <f>B58</f>
        <v xml:space="preserve">Medical &amp; Surgical Equipment - Purchase </v>
      </c>
      <c r="C24" s="1888">
        <f>P58</f>
        <v>1280420.3132</v>
      </c>
      <c r="D24" s="1102">
        <f>IF(B24="", "", P58/O58-1)</f>
        <v>6.8954407530315232E-2</v>
      </c>
      <c r="E24" s="1103">
        <f>D24</f>
        <v>6.8954407530315232E-2</v>
      </c>
      <c r="F24" s="1888">
        <f>MIN(I58:P58)</f>
        <v>1111880.65277</v>
      </c>
      <c r="G24" s="1888">
        <f t="shared" ref="G24:G32" si="0">MAX(I58:P58)</f>
        <v>1362224</v>
      </c>
      <c r="H24" s="1109">
        <f>I58/1000</f>
        <v>1111.8806527700001</v>
      </c>
      <c r="I24" s="1960"/>
      <c r="J24" s="1110">
        <f>P58/1000</f>
        <v>1280.4203132</v>
      </c>
      <c r="K24" s="1104"/>
      <c r="L24" s="1104"/>
      <c r="M24" s="1104"/>
      <c r="N24" s="567"/>
      <c r="O24" s="567"/>
      <c r="P24" s="567"/>
      <c r="Q24" s="567"/>
      <c r="R24" s="1003"/>
      <c r="S24" s="567"/>
    </row>
    <row r="25" spans="1:19" ht="35.1" customHeight="1" x14ac:dyDescent="0.2">
      <c r="A25" s="379"/>
      <c r="B25" s="1467" t="str">
        <f t="shared" ref="B25:B32" si="1">B59</f>
        <v xml:space="preserve">Medical &amp; Surgical Equipment - Maintenance </v>
      </c>
      <c r="C25" s="1888">
        <f t="shared" ref="C25:C32" si="2">P59</f>
        <v>128416.43861</v>
      </c>
      <c r="D25" s="1102">
        <f>IF(B25="", "", P59/O59-1)</f>
        <v>0.15094276146090069</v>
      </c>
      <c r="E25" s="1103">
        <f t="shared" ref="E25:E32" si="3">D25</f>
        <v>0.15094276146090069</v>
      </c>
      <c r="F25" s="1888">
        <f t="shared" ref="F25:F32" si="4">MIN(I59:P59)</f>
        <v>96787.019680000012</v>
      </c>
      <c r="G25" s="1888">
        <f t="shared" si="0"/>
        <v>128416.43861</v>
      </c>
      <c r="H25" s="1109">
        <f t="shared" ref="H25:H32" si="5">I59/1000</f>
        <v>96.787019680000014</v>
      </c>
      <c r="I25" s="1960"/>
      <c r="J25" s="1110">
        <f t="shared" ref="J25:J32" si="6">P59/1000</f>
        <v>128.41643861</v>
      </c>
      <c r="K25" s="1105"/>
      <c r="L25" s="1104"/>
      <c r="M25" s="1104"/>
      <c r="N25" s="567"/>
      <c r="O25" s="567"/>
      <c r="P25" s="567"/>
      <c r="Q25" s="567"/>
      <c r="R25" s="567"/>
      <c r="S25" s="1003"/>
    </row>
    <row r="26" spans="1:19" ht="35.1" customHeight="1" x14ac:dyDescent="0.2">
      <c r="A26" s="1094"/>
      <c r="B26" s="1467" t="str">
        <f t="shared" si="1"/>
        <v xml:space="preserve">X-Ray Equipment - Purchase </v>
      </c>
      <c r="C26" s="1888">
        <f t="shared" si="2"/>
        <v>19702.048640000001</v>
      </c>
      <c r="D26" s="1102">
        <f>IF(B26="", "", P60/O60-1)</f>
        <v>-0.13659456417897364</v>
      </c>
      <c r="E26" s="1103">
        <f t="shared" si="3"/>
        <v>-0.13659456417897364</v>
      </c>
      <c r="F26" s="1888">
        <f t="shared" si="4"/>
        <v>19702.048640000001</v>
      </c>
      <c r="G26" s="1888">
        <f t="shared" si="0"/>
        <v>33498</v>
      </c>
      <c r="H26" s="1109">
        <f t="shared" si="5"/>
        <v>26.297739249999999</v>
      </c>
      <c r="I26" s="1960"/>
      <c r="J26" s="1110">
        <f t="shared" si="6"/>
        <v>19.702048640000001</v>
      </c>
      <c r="K26" s="1104"/>
      <c r="L26" s="1104"/>
      <c r="M26" s="1104"/>
      <c r="N26" s="567"/>
      <c r="O26" s="567"/>
      <c r="P26" s="567"/>
      <c r="Q26" s="567"/>
      <c r="R26" s="567"/>
      <c r="S26" s="1003"/>
    </row>
    <row r="27" spans="1:19" ht="35.1" customHeight="1" x14ac:dyDescent="0.2">
      <c r="A27" s="1094"/>
      <c r="B27" s="1100" t="str">
        <f t="shared" si="1"/>
        <v xml:space="preserve">X-Ray Equipment - Maintenance </v>
      </c>
      <c r="C27" s="1888">
        <f t="shared" si="2"/>
        <v>41116.248149999999</v>
      </c>
      <c r="D27" s="1102">
        <f>IF(B27="X-Ray Equipment - Maintenance ", P61/O61-1,"")</f>
        <v>-4.0640063698726081E-2</v>
      </c>
      <c r="E27" s="1103">
        <f t="shared" si="3"/>
        <v>-4.0640063698726081E-2</v>
      </c>
      <c r="F27" s="1888">
        <f t="shared" si="4"/>
        <v>41116.248149999999</v>
      </c>
      <c r="G27" s="1888">
        <f t="shared" si="0"/>
        <v>57223.132310000001</v>
      </c>
      <c r="H27" s="1109">
        <f t="shared" si="5"/>
        <v>57.223132310000004</v>
      </c>
      <c r="I27" s="1960"/>
      <c r="J27" s="1110">
        <f t="shared" si="6"/>
        <v>41.116248149999997</v>
      </c>
      <c r="K27" s="1104"/>
      <c r="L27" s="1104"/>
      <c r="M27" s="1104"/>
      <c r="N27" s="567"/>
      <c r="O27" s="567"/>
      <c r="P27" s="567"/>
      <c r="Q27" s="567"/>
      <c r="R27" s="567"/>
      <c r="S27" s="1003"/>
    </row>
    <row r="28" spans="1:19" ht="35.1" customHeight="1" x14ac:dyDescent="0.2">
      <c r="A28" s="1094"/>
      <c r="B28" s="1467" t="str">
        <f t="shared" si="1"/>
        <v xml:space="preserve">Appliances </v>
      </c>
      <c r="C28" s="1888">
        <f t="shared" si="2"/>
        <v>290496.9754</v>
      </c>
      <c r="D28" s="1102">
        <f>IF(B28="Appliances ", P62/O62-1,"")</f>
        <v>-1.880676405519055E-2</v>
      </c>
      <c r="E28" s="1103">
        <f t="shared" si="3"/>
        <v>-1.880676405519055E-2</v>
      </c>
      <c r="F28" s="1888">
        <f t="shared" si="4"/>
        <v>249935.55568000002</v>
      </c>
      <c r="G28" s="1888">
        <f t="shared" si="0"/>
        <v>296065</v>
      </c>
      <c r="H28" s="1109">
        <f t="shared" si="5"/>
        <v>263.89023437999998</v>
      </c>
      <c r="I28" s="1960"/>
      <c r="J28" s="1110">
        <f t="shared" si="6"/>
        <v>290.4969754</v>
      </c>
      <c r="K28" s="1104"/>
      <c r="L28" s="1104"/>
      <c r="M28" s="1104"/>
      <c r="N28" s="567"/>
      <c r="O28" s="567"/>
      <c r="P28" s="567"/>
      <c r="Q28" s="567"/>
      <c r="R28" s="567"/>
      <c r="S28" s="809"/>
    </row>
    <row r="29" spans="1:19" ht="35.1" customHeight="1" x14ac:dyDescent="0.2">
      <c r="A29" s="379"/>
      <c r="B29" s="1100" t="str">
        <f t="shared" si="1"/>
        <v xml:space="preserve">Laboratory Equipment - Purchase </v>
      </c>
      <c r="C29" s="1888">
        <f t="shared" si="2"/>
        <v>260896.01750000002</v>
      </c>
      <c r="D29" s="1102">
        <f>IF(B29="Laboratory Equipment - Purchase ", P63/O63-1,"")</f>
        <v>3.0517113007070495E-2</v>
      </c>
      <c r="E29" s="1103">
        <f t="shared" si="3"/>
        <v>3.0517113007070495E-2</v>
      </c>
      <c r="F29" s="1888">
        <f t="shared" si="4"/>
        <v>252223.40057</v>
      </c>
      <c r="G29" s="1888">
        <f t="shared" si="0"/>
        <v>288360</v>
      </c>
      <c r="H29" s="1109">
        <f t="shared" si="5"/>
        <v>270.87556216999997</v>
      </c>
      <c r="I29" s="1960"/>
      <c r="J29" s="1108">
        <f t="shared" si="6"/>
        <v>260.89601750000003</v>
      </c>
      <c r="K29" s="1104"/>
      <c r="L29" s="1104"/>
      <c r="M29" s="1104"/>
      <c r="N29" s="567"/>
      <c r="O29" s="567"/>
      <c r="P29" s="567"/>
      <c r="Q29" s="567"/>
      <c r="R29" s="567"/>
      <c r="S29" s="809"/>
    </row>
    <row r="30" spans="1:19" ht="35.1" customHeight="1" x14ac:dyDescent="0.2">
      <c r="A30" s="379"/>
      <c r="B30" s="1100" t="str">
        <f t="shared" si="1"/>
        <v xml:space="preserve">Laboratory Equipment - Maintenance </v>
      </c>
      <c r="C30" s="1888">
        <f t="shared" si="2"/>
        <v>22742.926899999999</v>
      </c>
      <c r="D30" s="1102">
        <f>IF(B30="Laboratory Equipment - Maintenance ",  P64/O64-1, "")</f>
        <v>8.8438712610672265E-2</v>
      </c>
      <c r="E30" s="1103">
        <f t="shared" si="3"/>
        <v>8.8438712610672265E-2</v>
      </c>
      <c r="F30" s="1888">
        <f t="shared" si="4"/>
        <v>20895</v>
      </c>
      <c r="G30" s="1888">
        <f t="shared" si="0"/>
        <v>29163</v>
      </c>
      <c r="H30" s="1109">
        <f t="shared" si="5"/>
        <v>25.02317545</v>
      </c>
      <c r="I30" s="1960"/>
      <c r="J30" s="1108">
        <f t="shared" si="6"/>
        <v>22.742926899999997</v>
      </c>
      <c r="K30" s="1106"/>
      <c r="L30" s="1104"/>
      <c r="M30" s="1104"/>
      <c r="N30" s="567"/>
      <c r="O30" s="567"/>
      <c r="P30" s="567"/>
      <c r="Q30" s="567"/>
      <c r="R30" s="567"/>
      <c r="S30" s="567"/>
    </row>
    <row r="31" spans="1:19" ht="35.1" customHeight="1" x14ac:dyDescent="0.2">
      <c r="A31" s="379"/>
      <c r="B31" s="1100" t="str">
        <f t="shared" si="1"/>
        <v xml:space="preserve">Furniture, Office &amp; Computer Equipment </v>
      </c>
      <c r="C31" s="1888">
        <f t="shared" si="2"/>
        <v>119436.2423</v>
      </c>
      <c r="D31" s="1102">
        <f>IF(B31="Furniture, Office &amp; Computer Equipment ", P65/O65-1,"")</f>
        <v>0.1282897738437121</v>
      </c>
      <c r="E31" s="1103">
        <f t="shared" si="3"/>
        <v>0.1282897738437121</v>
      </c>
      <c r="F31" s="1888">
        <f t="shared" si="4"/>
        <v>105856</v>
      </c>
      <c r="G31" s="1888">
        <f t="shared" si="0"/>
        <v>165375</v>
      </c>
      <c r="H31" s="1109">
        <f t="shared" si="5"/>
        <v>152.18189692473135</v>
      </c>
      <c r="I31" s="1960"/>
      <c r="J31" s="1108">
        <f t="shared" si="6"/>
        <v>119.4362423</v>
      </c>
      <c r="K31" s="1106"/>
      <c r="L31" s="1104"/>
      <c r="M31" s="1104"/>
      <c r="N31" s="567"/>
      <c r="O31" s="567"/>
      <c r="P31" s="567"/>
      <c r="Q31" s="567"/>
      <c r="R31" s="567"/>
      <c r="S31" s="567"/>
    </row>
    <row r="32" spans="1:19" ht="35.1" customHeight="1" x14ac:dyDescent="0.2">
      <c r="A32" s="978"/>
      <c r="B32" s="1100" t="str">
        <f t="shared" si="1"/>
        <v>Computer Hardware-Maintenance &amp; Data Processing Contracts</v>
      </c>
      <c r="C32" s="1888">
        <f t="shared" si="2"/>
        <v>139534.50134000002</v>
      </c>
      <c r="D32" s="1102">
        <f>IF(B32="Computer Hardware-Maintenance &amp; Data Processing Contracts",P66/O66-1,"")</f>
        <v>0.1055214975914307</v>
      </c>
      <c r="E32" s="1103">
        <f t="shared" si="3"/>
        <v>0.1055214975914307</v>
      </c>
      <c r="F32" s="1888">
        <f t="shared" si="4"/>
        <v>118482.63475</v>
      </c>
      <c r="G32" s="1888">
        <f t="shared" si="0"/>
        <v>153909.17956000002</v>
      </c>
      <c r="H32" s="1107">
        <f t="shared" si="5"/>
        <v>153.90917956000001</v>
      </c>
      <c r="I32" s="1960"/>
      <c r="J32" s="1108">
        <f t="shared" si="6"/>
        <v>139.53450134000002</v>
      </c>
      <c r="K32" s="1106"/>
      <c r="L32" s="1104"/>
      <c r="M32" s="1104"/>
      <c r="N32" s="567"/>
      <c r="O32" s="567"/>
      <c r="P32" s="567"/>
      <c r="Q32" s="567"/>
      <c r="R32" s="567"/>
      <c r="S32" s="567"/>
    </row>
    <row r="33" spans="1:20" x14ac:dyDescent="0.2">
      <c r="A33" s="978"/>
      <c r="B33" s="1101"/>
      <c r="C33" s="999"/>
      <c r="D33" s="1000"/>
      <c r="E33" s="1097"/>
      <c r="F33" s="1001"/>
      <c r="G33" s="1002"/>
      <c r="H33" s="1001"/>
      <c r="I33" s="1071"/>
      <c r="J33" s="809"/>
      <c r="K33" s="567"/>
      <c r="L33" s="567"/>
      <c r="M33" s="567"/>
      <c r="N33" s="567"/>
      <c r="O33" s="567"/>
      <c r="P33" s="567"/>
      <c r="Q33" s="567"/>
      <c r="R33" s="567"/>
      <c r="S33" s="567"/>
    </row>
    <row r="34" spans="1:20" x14ac:dyDescent="0.2">
      <c r="A34" s="978"/>
      <c r="B34" s="913"/>
      <c r="C34" s="911"/>
      <c r="D34" s="912"/>
      <c r="E34" s="1098"/>
      <c r="F34" s="1095"/>
      <c r="G34" s="909"/>
      <c r="H34" s="909"/>
      <c r="I34" s="1018"/>
      <c r="J34" s="1018"/>
      <c r="K34" s="379"/>
      <c r="L34" s="379"/>
      <c r="M34" s="379"/>
      <c r="N34" s="379"/>
      <c r="O34" s="567"/>
      <c r="P34" s="567"/>
      <c r="Q34" s="567"/>
      <c r="R34" s="567"/>
      <c r="S34" s="567"/>
    </row>
    <row r="35" spans="1:20" x14ac:dyDescent="0.2">
      <c r="A35" s="978"/>
      <c r="B35" s="1468"/>
      <c r="C35" s="911"/>
      <c r="D35" s="912"/>
      <c r="E35" s="1095"/>
      <c r="F35" s="1095"/>
      <c r="G35" s="910"/>
      <c r="H35" s="910"/>
      <c r="I35" s="1096"/>
      <c r="J35" s="1018"/>
      <c r="K35" s="379"/>
      <c r="L35" s="379"/>
      <c r="M35" s="379"/>
      <c r="N35" s="379"/>
      <c r="O35" s="567"/>
      <c r="P35" s="567"/>
      <c r="Q35" s="567"/>
      <c r="R35" s="567"/>
      <c r="S35" s="567"/>
    </row>
    <row r="36" spans="1:20" x14ac:dyDescent="0.2">
      <c r="A36" s="978" t="b">
        <v>1</v>
      </c>
      <c r="B36" s="1468"/>
      <c r="C36" s="911"/>
      <c r="D36" s="1095"/>
      <c r="E36" s="1018"/>
      <c r="F36" s="1018"/>
      <c r="G36" s="1018"/>
      <c r="H36" s="1018"/>
      <c r="I36" s="1018"/>
      <c r="J36" s="1018"/>
      <c r="K36" s="379"/>
      <c r="L36" s="379"/>
      <c r="M36" s="379"/>
      <c r="N36" s="379"/>
      <c r="O36" s="567"/>
      <c r="P36" s="567"/>
      <c r="Q36" s="567"/>
      <c r="R36" s="567"/>
      <c r="S36" s="567"/>
    </row>
    <row r="37" spans="1:20" x14ac:dyDescent="0.2">
      <c r="A37" s="978"/>
      <c r="B37" s="913"/>
      <c r="C37" s="911"/>
      <c r="D37" s="1095"/>
      <c r="E37" s="1018"/>
      <c r="F37" s="1018"/>
      <c r="G37" s="1018"/>
      <c r="H37" s="1018"/>
      <c r="I37" s="1018"/>
      <c r="J37" s="1018"/>
      <c r="K37" s="379"/>
      <c r="L37" s="379"/>
      <c r="M37" s="379"/>
      <c r="N37" s="379"/>
      <c r="O37" s="567"/>
      <c r="P37" s="567"/>
      <c r="Q37" s="567"/>
      <c r="R37" s="567"/>
      <c r="S37" s="567"/>
    </row>
    <row r="38" spans="1:20" x14ac:dyDescent="0.2">
      <c r="A38" s="978"/>
      <c r="B38" s="1488" t="str">
        <f>IF($A$36=TRUE,B21,"")</f>
        <v>All trusts</v>
      </c>
      <c r="C38" s="908" t="str">
        <f t="shared" ref="C38:D43" si="7">IF($A$36=TRUE,I57,"")</f>
        <v>2004/5</v>
      </c>
      <c r="D38" s="908" t="str">
        <f t="shared" si="7"/>
        <v>2005/6</v>
      </c>
      <c r="E38" s="908"/>
      <c r="F38" s="908" t="str">
        <f>IF($A$36=TRUE,K57,"")</f>
        <v>2006/7</v>
      </c>
      <c r="G38" s="908" t="str">
        <f t="shared" ref="G38:K43" si="8">IF($A$36=TRUE,L57,"")</f>
        <v>2007/8</v>
      </c>
      <c r="H38" s="908" t="str">
        <f t="shared" si="8"/>
        <v>2008/9</v>
      </c>
      <c r="I38" s="908" t="str">
        <f t="shared" si="8"/>
        <v>2009/10</v>
      </c>
      <c r="J38" s="908" t="str">
        <f t="shared" si="8"/>
        <v>2010/11</v>
      </c>
      <c r="K38" s="908" t="str">
        <f t="shared" si="8"/>
        <v>2011/12</v>
      </c>
      <c r="L38" s="379"/>
      <c r="M38" s="379"/>
      <c r="N38" s="379"/>
      <c r="O38" s="567"/>
      <c r="P38" s="567"/>
      <c r="Q38" s="567"/>
      <c r="R38" s="567"/>
      <c r="S38" s="567"/>
    </row>
    <row r="39" spans="1:20" ht="35.1" customHeight="1" x14ac:dyDescent="0.2">
      <c r="A39" s="978"/>
      <c r="B39" s="1487" t="str">
        <f t="shared" ref="B39:B47" si="9">IF($A$36=TRUE,B58,"")</f>
        <v xml:space="preserve">Medical &amp; Surgical Equipment - Purchase </v>
      </c>
      <c r="C39" s="1539">
        <f t="shared" si="7"/>
        <v>1111880.65277</v>
      </c>
      <c r="D39" s="1539">
        <f t="shared" si="7"/>
        <v>1362224</v>
      </c>
      <c r="E39" s="1539"/>
      <c r="F39" s="1539">
        <f>IF($A$36=TRUE,K58,"")</f>
        <v>1339694</v>
      </c>
      <c r="G39" s="1539">
        <f t="shared" si="8"/>
        <v>1355021</v>
      </c>
      <c r="H39" s="1539">
        <f t="shared" si="8"/>
        <v>1245422.2917300002</v>
      </c>
      <c r="I39" s="1539">
        <f t="shared" si="8"/>
        <v>1167040.66325</v>
      </c>
      <c r="J39" s="1539">
        <f t="shared" si="8"/>
        <v>1197825</v>
      </c>
      <c r="K39" s="1539">
        <f t="shared" si="8"/>
        <v>1280420.3132</v>
      </c>
      <c r="L39" s="379"/>
      <c r="M39" s="379"/>
      <c r="N39" s="379"/>
      <c r="O39" s="567"/>
      <c r="P39" s="567"/>
      <c r="Q39" s="567"/>
      <c r="R39" s="567"/>
      <c r="S39" s="567"/>
    </row>
    <row r="40" spans="1:20" ht="35.1" customHeight="1" x14ac:dyDescent="0.2">
      <c r="A40" s="1094"/>
      <c r="B40" s="1487" t="str">
        <f t="shared" si="9"/>
        <v xml:space="preserve">Medical &amp; Surgical Equipment - Maintenance </v>
      </c>
      <c r="C40" s="1539">
        <f t="shared" si="7"/>
        <v>96787.019680000012</v>
      </c>
      <c r="D40" s="1539">
        <f t="shared" si="7"/>
        <v>106021</v>
      </c>
      <c r="E40" s="1539"/>
      <c r="F40" s="1539">
        <f>IF($A$36=TRUE,K59,"")</f>
        <v>112531</v>
      </c>
      <c r="G40" s="1539">
        <f t="shared" si="8"/>
        <v>114218</v>
      </c>
      <c r="H40" s="1539">
        <f t="shared" si="8"/>
        <v>107029.53605</v>
      </c>
      <c r="I40" s="1539">
        <f t="shared" si="8"/>
        <v>107579.06499</v>
      </c>
      <c r="J40" s="1539">
        <f t="shared" si="8"/>
        <v>111575</v>
      </c>
      <c r="K40" s="1539">
        <f t="shared" si="8"/>
        <v>128416.43861</v>
      </c>
      <c r="L40" s="379"/>
      <c r="M40" s="379"/>
      <c r="N40" s="379"/>
      <c r="O40" s="567"/>
      <c r="P40" s="567"/>
      <c r="Q40" s="567"/>
      <c r="R40" s="567"/>
      <c r="S40" s="567"/>
    </row>
    <row r="41" spans="1:20" ht="35.1" customHeight="1" x14ac:dyDescent="0.2">
      <c r="A41" s="1094"/>
      <c r="B41" s="1487" t="str">
        <f t="shared" si="9"/>
        <v xml:space="preserve">X-Ray Equipment - Purchase </v>
      </c>
      <c r="C41" s="1539">
        <f t="shared" si="7"/>
        <v>26297.739249999999</v>
      </c>
      <c r="D41" s="1539">
        <f t="shared" si="7"/>
        <v>27600</v>
      </c>
      <c r="E41" s="1539"/>
      <c r="F41" s="1539">
        <f t="shared" ref="F41:F43" si="10">IF($A$36=TRUE,K60,"")</f>
        <v>29187</v>
      </c>
      <c r="G41" s="1539">
        <f t="shared" si="8"/>
        <v>33498</v>
      </c>
      <c r="H41" s="1539">
        <f t="shared" si="8"/>
        <v>29704</v>
      </c>
      <c r="I41" s="1539">
        <f t="shared" si="8"/>
        <v>24939.441080000001</v>
      </c>
      <c r="J41" s="1539">
        <f t="shared" si="8"/>
        <v>22819</v>
      </c>
      <c r="K41" s="1539">
        <f t="shared" si="8"/>
        <v>19702.048640000001</v>
      </c>
      <c r="L41" s="379"/>
      <c r="M41" s="379"/>
      <c r="N41" s="379"/>
      <c r="O41" s="567"/>
      <c r="P41" s="567"/>
      <c r="Q41" s="567"/>
      <c r="R41" s="567"/>
      <c r="S41" s="567"/>
    </row>
    <row r="42" spans="1:20" ht="35.1" customHeight="1" x14ac:dyDescent="0.2">
      <c r="A42" s="1094"/>
      <c r="B42" s="1487" t="str">
        <f t="shared" si="9"/>
        <v xml:space="preserve">X-Ray Equipment - Maintenance </v>
      </c>
      <c r="C42" s="1539">
        <f t="shared" si="7"/>
        <v>57223.132310000001</v>
      </c>
      <c r="D42" s="1539">
        <f t="shared" si="7"/>
        <v>55030</v>
      </c>
      <c r="E42" s="709"/>
      <c r="F42" s="1539">
        <f t="shared" si="10"/>
        <v>56133</v>
      </c>
      <c r="G42" s="1539">
        <f t="shared" si="8"/>
        <v>51721</v>
      </c>
      <c r="H42" s="1539">
        <f t="shared" si="8"/>
        <v>47581</v>
      </c>
      <c r="I42" s="1539">
        <f t="shared" si="8"/>
        <v>42277</v>
      </c>
      <c r="J42" s="1539">
        <f t="shared" si="8"/>
        <v>42858</v>
      </c>
      <c r="K42" s="1539">
        <f t="shared" si="8"/>
        <v>41116.248149999999</v>
      </c>
      <c r="L42" s="379"/>
      <c r="M42" s="379"/>
      <c r="N42" s="379"/>
      <c r="O42" s="567"/>
      <c r="P42" s="567"/>
      <c r="Q42" s="567"/>
      <c r="R42" s="567"/>
      <c r="S42" s="567"/>
    </row>
    <row r="43" spans="1:20" ht="35.1" customHeight="1" x14ac:dyDescent="0.2">
      <c r="A43" s="1094"/>
      <c r="B43" s="1487" t="str">
        <f t="shared" si="9"/>
        <v xml:space="preserve">Appliances </v>
      </c>
      <c r="C43" s="1539">
        <f t="shared" si="7"/>
        <v>263890.23437999998</v>
      </c>
      <c r="D43" s="1539">
        <f t="shared" si="7"/>
        <v>285000</v>
      </c>
      <c r="E43" s="1539"/>
      <c r="F43" s="1539">
        <f t="shared" si="10"/>
        <v>281882</v>
      </c>
      <c r="G43" s="1539">
        <f t="shared" si="8"/>
        <v>292970</v>
      </c>
      <c r="H43" s="1539">
        <f t="shared" si="8"/>
        <v>285790.01525</v>
      </c>
      <c r="I43" s="1539">
        <f t="shared" si="8"/>
        <v>249935.55568000002</v>
      </c>
      <c r="J43" s="1539">
        <f t="shared" si="8"/>
        <v>296065</v>
      </c>
      <c r="K43" s="1539">
        <f t="shared" si="8"/>
        <v>290496.9754</v>
      </c>
      <c r="L43" s="379"/>
      <c r="M43" s="379"/>
      <c r="N43" s="379"/>
      <c r="O43" s="567"/>
      <c r="P43" s="567"/>
      <c r="Q43" s="567"/>
      <c r="R43" s="567"/>
      <c r="S43" s="567"/>
    </row>
    <row r="44" spans="1:20" ht="35.1" customHeight="1" x14ac:dyDescent="0.2">
      <c r="A44" s="1094"/>
      <c r="B44" s="1540" t="str">
        <f t="shared" si="9"/>
        <v xml:space="preserve">Laboratory Equipment - Purchase </v>
      </c>
      <c r="C44" s="1539">
        <f t="shared" ref="C44:C47" si="11">IF($A$36=TRUE,IF($E$21="Premises", "",I63),"")</f>
        <v>270875.56216999999</v>
      </c>
      <c r="D44" s="1539">
        <f t="shared" ref="D44:D47" si="12">IF($A$36=TRUE,IF($E$21="Premises", "",J63),"")</f>
        <v>288360</v>
      </c>
      <c r="E44" s="1539"/>
      <c r="F44" s="1539">
        <f t="shared" ref="F44:K47" si="13">IF($A$36=TRUE,IF($E$21="Premises", "",K63),"")</f>
        <v>282818</v>
      </c>
      <c r="G44" s="1539">
        <f t="shared" si="13"/>
        <v>268995</v>
      </c>
      <c r="H44" s="1539">
        <f t="shared" si="13"/>
        <v>257483.76642</v>
      </c>
      <c r="I44" s="1539">
        <f t="shared" si="13"/>
        <v>252223.40057</v>
      </c>
      <c r="J44" s="1539">
        <f t="shared" si="13"/>
        <v>253170</v>
      </c>
      <c r="K44" s="1539">
        <f t="shared" si="13"/>
        <v>260896.01750000002</v>
      </c>
      <c r="L44" s="379"/>
      <c r="M44" s="379"/>
      <c r="N44" s="379"/>
      <c r="O44" s="567"/>
      <c r="P44" s="567"/>
      <c r="Q44" s="567"/>
      <c r="R44" s="567"/>
      <c r="S44" s="567"/>
    </row>
    <row r="45" spans="1:20" ht="35.1" customHeight="1" x14ac:dyDescent="0.2">
      <c r="A45" s="1094"/>
      <c r="B45" s="1540" t="str">
        <f t="shared" si="9"/>
        <v xml:space="preserve">Laboratory Equipment - Maintenance </v>
      </c>
      <c r="C45" s="1539">
        <f t="shared" si="11"/>
        <v>25023.175449999999</v>
      </c>
      <c r="D45" s="1539">
        <f t="shared" si="12"/>
        <v>27197</v>
      </c>
      <c r="E45" s="1539"/>
      <c r="F45" s="1539">
        <f t="shared" si="13"/>
        <v>29163</v>
      </c>
      <c r="G45" s="1539">
        <f t="shared" si="13"/>
        <v>27917</v>
      </c>
      <c r="H45" s="1539">
        <f t="shared" si="13"/>
        <v>22215</v>
      </c>
      <c r="I45" s="1539">
        <f t="shared" si="13"/>
        <v>23367</v>
      </c>
      <c r="J45" s="1539">
        <f t="shared" si="13"/>
        <v>20895</v>
      </c>
      <c r="K45" s="1539">
        <f t="shared" si="13"/>
        <v>22742.926899999999</v>
      </c>
      <c r="L45" s="1319"/>
      <c r="M45" s="1319"/>
      <c r="N45" s="1319"/>
      <c r="O45" s="1319"/>
      <c r="P45" s="1319"/>
      <c r="Q45" s="1319"/>
      <c r="R45" s="1319"/>
      <c r="S45" s="1319"/>
      <c r="T45" s="651"/>
    </row>
    <row r="46" spans="1:20" ht="35.1" customHeight="1" x14ac:dyDescent="0.2">
      <c r="A46" s="379"/>
      <c r="B46" s="1540" t="str">
        <f t="shared" si="9"/>
        <v xml:space="preserve">Furniture, Office &amp; Computer Equipment </v>
      </c>
      <c r="C46" s="1539">
        <f t="shared" si="11"/>
        <v>152181.89692473135</v>
      </c>
      <c r="D46" s="1539">
        <f t="shared" si="12"/>
        <v>141995</v>
      </c>
      <c r="E46" s="1539"/>
      <c r="F46" s="1539">
        <f t="shared" si="13"/>
        <v>134995</v>
      </c>
      <c r="G46" s="1539">
        <f t="shared" si="13"/>
        <v>165375</v>
      </c>
      <c r="H46" s="1539">
        <f t="shared" si="13"/>
        <v>130867.21212</v>
      </c>
      <c r="I46" s="1539">
        <f t="shared" si="13"/>
        <v>110642.5266</v>
      </c>
      <c r="J46" s="1539">
        <f t="shared" si="13"/>
        <v>105856</v>
      </c>
      <c r="K46" s="1539">
        <f t="shared" si="13"/>
        <v>119436.2423</v>
      </c>
      <c r="L46" s="1319"/>
      <c r="M46" s="1319"/>
      <c r="N46" s="1319"/>
      <c r="O46" s="1319"/>
      <c r="P46" s="1319"/>
      <c r="Q46" s="1319"/>
      <c r="R46" s="1319"/>
      <c r="S46" s="1319"/>
      <c r="T46" s="651"/>
    </row>
    <row r="47" spans="1:20" ht="39.950000000000003" customHeight="1" x14ac:dyDescent="0.2">
      <c r="A47" s="379"/>
      <c r="B47" s="1540" t="str">
        <f t="shared" si="9"/>
        <v>Computer Hardware-Maintenance &amp; Data Processing Contracts</v>
      </c>
      <c r="C47" s="1539">
        <f t="shared" si="11"/>
        <v>153909.17956000002</v>
      </c>
      <c r="D47" s="1539">
        <f t="shared" si="12"/>
        <v>153539</v>
      </c>
      <c r="E47" s="1539"/>
      <c r="F47" s="1539">
        <f t="shared" si="13"/>
        <v>144839</v>
      </c>
      <c r="G47" s="1539">
        <f t="shared" si="13"/>
        <v>135976</v>
      </c>
      <c r="H47" s="1539">
        <f t="shared" si="13"/>
        <v>122961.24986</v>
      </c>
      <c r="I47" s="1539">
        <f t="shared" si="13"/>
        <v>118482.63475</v>
      </c>
      <c r="J47" s="1539">
        <f t="shared" si="13"/>
        <v>126216</v>
      </c>
      <c r="K47" s="1539">
        <f t="shared" si="13"/>
        <v>139534.50134000002</v>
      </c>
      <c r="L47" s="1319"/>
      <c r="M47" s="1319"/>
      <c r="N47" s="1319"/>
      <c r="O47" s="1319"/>
      <c r="P47" s="1319"/>
      <c r="Q47" s="1319"/>
      <c r="R47" s="1319"/>
      <c r="S47" s="1319"/>
      <c r="T47" s="651"/>
    </row>
    <row r="48" spans="1:20" ht="35.1" customHeight="1" x14ac:dyDescent="0.2">
      <c r="A48" s="379"/>
      <c r="B48" s="1687"/>
      <c r="C48" s="911"/>
      <c r="D48" s="1095"/>
      <c r="E48" s="1018"/>
      <c r="F48" s="1018"/>
      <c r="G48" s="1018"/>
      <c r="H48" s="1018"/>
      <c r="I48" s="1018"/>
      <c r="J48" s="1018"/>
      <c r="K48" s="379"/>
      <c r="L48" s="1319"/>
      <c r="M48" s="1319"/>
      <c r="N48" s="1319"/>
      <c r="O48" s="1319"/>
      <c r="P48" s="1319"/>
      <c r="Q48" s="1319"/>
      <c r="R48" s="1319"/>
      <c r="S48" s="1319"/>
      <c r="T48" s="651"/>
    </row>
    <row r="49" spans="1:21" ht="35.1" customHeight="1" x14ac:dyDescent="0.2">
      <c r="A49" s="379"/>
      <c r="B49" s="1687"/>
      <c r="C49" s="911"/>
      <c r="D49" s="1095"/>
      <c r="E49" s="1018"/>
      <c r="F49" s="1018"/>
      <c r="G49" s="1018"/>
      <c r="H49" s="1018"/>
      <c r="I49" s="1018"/>
      <c r="J49" s="1018"/>
      <c r="K49" s="379"/>
      <c r="L49" s="1319"/>
      <c r="M49" s="1319"/>
      <c r="N49" s="1319"/>
      <c r="O49" s="1319"/>
      <c r="P49" s="1319"/>
      <c r="Q49" s="1319"/>
      <c r="R49" s="1319"/>
      <c r="S49" s="1319"/>
      <c r="T49" s="651"/>
    </row>
    <row r="50" spans="1:21" ht="35.1" customHeight="1" x14ac:dyDescent="0.2">
      <c r="A50" s="379"/>
      <c r="B50" s="913"/>
      <c r="C50" s="911"/>
      <c r="D50" s="1095"/>
      <c r="E50" s="1018"/>
      <c r="F50" s="1018"/>
      <c r="G50" s="1018"/>
      <c r="H50" s="1018"/>
      <c r="I50" s="1018"/>
      <c r="J50" s="1018"/>
      <c r="K50" s="379"/>
      <c r="L50" s="1319"/>
      <c r="M50" s="1319"/>
      <c r="N50" s="1319"/>
      <c r="O50" s="1319"/>
      <c r="P50" s="1319"/>
      <c r="Q50" s="1319"/>
      <c r="R50" s="1319"/>
      <c r="S50" s="1319"/>
      <c r="T50" s="651"/>
    </row>
    <row r="51" spans="1:21" ht="35.1" customHeight="1" x14ac:dyDescent="0.2">
      <c r="A51" s="567"/>
      <c r="B51" s="1541"/>
      <c r="C51" s="1320"/>
      <c r="D51" s="1321"/>
      <c r="E51" s="1322"/>
      <c r="F51" s="1322"/>
      <c r="G51" s="1322"/>
      <c r="H51" s="1322"/>
      <c r="I51" s="1322"/>
      <c r="J51" s="1322"/>
      <c r="K51" s="1319"/>
      <c r="L51" s="1319"/>
      <c r="M51" s="1319"/>
      <c r="N51" s="1319"/>
      <c r="O51" s="1319"/>
      <c r="P51" s="1319"/>
      <c r="Q51" s="1319"/>
      <c r="R51" s="1319"/>
      <c r="S51" s="1319"/>
      <c r="T51" s="651"/>
    </row>
    <row r="52" spans="1:21" ht="35.1" customHeight="1" x14ac:dyDescent="0.2">
      <c r="A52" s="567"/>
      <c r="B52" s="1541"/>
      <c r="C52" s="1320"/>
      <c r="D52" s="1321"/>
      <c r="E52" s="1322"/>
      <c r="F52" s="1322"/>
      <c r="G52" s="1322"/>
      <c r="H52" s="1322"/>
      <c r="I52" s="1322"/>
      <c r="J52" s="1322"/>
      <c r="K52" s="1319"/>
      <c r="L52" s="1319"/>
      <c r="M52" s="1319"/>
      <c r="N52" s="1319"/>
      <c r="O52" s="1319"/>
      <c r="P52" s="1319"/>
      <c r="Q52" s="1319"/>
      <c r="R52" s="1319"/>
      <c r="S52" s="1319"/>
      <c r="T52" s="651"/>
    </row>
    <row r="53" spans="1:21" ht="35.1" customHeight="1" x14ac:dyDescent="0.2">
      <c r="A53" s="567"/>
      <c r="B53" s="1541"/>
      <c r="C53" s="1320"/>
      <c r="D53" s="1321"/>
      <c r="E53" s="1322"/>
      <c r="F53" s="1322"/>
      <c r="G53" s="1322"/>
      <c r="H53" s="1322"/>
      <c r="I53" s="1322"/>
      <c r="J53" s="1322"/>
      <c r="K53" s="1319"/>
      <c r="L53" s="1319"/>
      <c r="M53" s="1319"/>
      <c r="N53" s="1319"/>
      <c r="O53" s="1319"/>
      <c r="P53" s="1319"/>
      <c r="Q53" s="1319"/>
      <c r="R53" s="1319"/>
      <c r="S53" s="1319"/>
      <c r="T53" s="651"/>
    </row>
    <row r="54" spans="1:21" ht="35.1" customHeight="1" x14ac:dyDescent="0.2">
      <c r="A54" s="567"/>
      <c r="B54" s="1541"/>
      <c r="C54" s="1320"/>
      <c r="D54" s="1321"/>
      <c r="E54" s="1322"/>
      <c r="F54" s="1322"/>
      <c r="G54" s="1322"/>
      <c r="H54" s="1322"/>
      <c r="I54" s="1322"/>
      <c r="J54" s="1322"/>
      <c r="K54" s="1319"/>
      <c r="L54" s="1319"/>
      <c r="M54" s="1319"/>
      <c r="N54" s="1319"/>
      <c r="O54" s="1319"/>
      <c r="P54" s="1319"/>
      <c r="Q54" s="1319"/>
      <c r="R54" s="1319"/>
      <c r="S54" s="1319"/>
      <c r="T54" s="1319"/>
      <c r="U54" s="380"/>
    </row>
    <row r="55" spans="1:21" x14ac:dyDescent="0.2">
      <c r="A55" s="567"/>
      <c r="B55" s="1541"/>
      <c r="C55" s="1542"/>
      <c r="D55" s="1542"/>
      <c r="E55" s="1543"/>
      <c r="F55" s="1543"/>
      <c r="G55" s="1543"/>
      <c r="H55" s="1543"/>
      <c r="I55" s="1544"/>
      <c r="J55" s="1322"/>
      <c r="K55" s="1955"/>
      <c r="L55" s="1955"/>
      <c r="M55" s="1955"/>
      <c r="N55" s="1319"/>
      <c r="O55" s="1319"/>
      <c r="P55" s="1319"/>
      <c r="Q55" s="1319"/>
      <c r="R55" s="1319"/>
      <c r="S55" s="1319"/>
      <c r="T55" s="1319"/>
      <c r="U55" s="380"/>
    </row>
    <row r="56" spans="1:21" x14ac:dyDescent="0.2">
      <c r="A56" s="567"/>
      <c r="B56" s="1543"/>
      <c r="C56" s="1542"/>
      <c r="D56" s="1542"/>
      <c r="E56" s="1543"/>
      <c r="F56" s="1543"/>
      <c r="G56" s="1543"/>
      <c r="H56" s="1543"/>
      <c r="I56" s="1544"/>
      <c r="J56" s="1322"/>
      <c r="K56" s="1956"/>
      <c r="L56" s="1957"/>
      <c r="M56" s="1957"/>
      <c r="N56" s="1319"/>
      <c r="O56" s="1319"/>
      <c r="P56" s="1319"/>
      <c r="Q56" s="1319"/>
      <c r="R56" s="1319"/>
      <c r="S56" s="1319"/>
      <c r="T56" s="1319"/>
      <c r="U56" s="380"/>
    </row>
    <row r="57" spans="1:21" x14ac:dyDescent="0.2">
      <c r="A57" s="567"/>
      <c r="B57" s="1545"/>
      <c r="C57" s="1546" t="s">
        <v>68</v>
      </c>
      <c r="D57" s="1546" t="s">
        <v>69</v>
      </c>
      <c r="E57" s="1546" t="s">
        <v>495</v>
      </c>
      <c r="F57" s="1546" t="s">
        <v>494</v>
      </c>
      <c r="G57" s="1546" t="s">
        <v>493</v>
      </c>
      <c r="H57" s="1546" t="s">
        <v>73</v>
      </c>
      <c r="I57" s="1547" t="s">
        <v>192</v>
      </c>
      <c r="J57" s="1547" t="s">
        <v>193</v>
      </c>
      <c r="K57" s="1547" t="s">
        <v>194</v>
      </c>
      <c r="L57" s="1547" t="s">
        <v>195</v>
      </c>
      <c r="M57" s="1547" t="s">
        <v>196</v>
      </c>
      <c r="N57" s="1547" t="s">
        <v>6</v>
      </c>
      <c r="O57" s="1547" t="s">
        <v>7</v>
      </c>
      <c r="P57" s="1546" t="s">
        <v>489</v>
      </c>
      <c r="Q57" s="1548"/>
      <c r="R57" s="1549"/>
      <c r="S57" s="1319"/>
      <c r="T57" s="1319"/>
      <c r="U57" s="380"/>
    </row>
    <row r="58" spans="1:21" x14ac:dyDescent="0.2">
      <c r="A58" s="567"/>
      <c r="B58" s="1550" t="str">
        <f>IF(AND($B$21="PCTs", $E$21 ="Premises"), 'Inputs direct labour (2)'!D53, IF(AND($B$21="PCTs", $E$21 ="Equipment"), 'Inputs direct labour (2)'!D39, IF(AND($B$21="All trusts", $E$21 ="Equipment"), 'Inputs direct labour (2)'!D13, IF(AND($B$21="All trusts", $E$21 ="Premises"), 'Inputs direct labour (2)'!D27,””))))</f>
        <v xml:space="preserve">Medical &amp; Surgical Equipment - Purchase </v>
      </c>
      <c r="C58" s="1550"/>
      <c r="D58" s="1550"/>
      <c r="E58" s="1550">
        <f>IF(AND($B$21="PCTs", $E$21 ="Premises"), 'Inputs direct labour (2)'!A53, IF(AND($B$21="PCTs", $E$21 ="Equipment"), 'Inputs direct labour (2)'!A39, IF(AND($B$21="All trusts", $E$21 ="Equipment"), 'Inputs direct labour (2)'!G13, IF(AND($B$21="All trusts", $E$21 ="Premises"), 'Inputs direct labour (2)'!G27,””))))</f>
        <v>1314749.4990000001</v>
      </c>
      <c r="F58" s="1550">
        <f>IF(AND($B$21="PCTs", $E$21 ="Premises"), 'Inputs direct labour (2)'!B53, IF(AND($B$21="PCTs", $E$21 ="Equipment"), 'Inputs direct labour (2)'!B39, IF(AND($B$21="All trusts", $E$21 ="Equipment"), 'Inputs direct labour (2)'!H13, IF(AND($B$21="All trusts", $E$21 ="Premises"), 'Inputs direct labour (2)'!H27,””))))</f>
        <v>1387593.746</v>
      </c>
      <c r="G58" s="1550">
        <f>IF(AND($B$21="PCTs", $E$21 ="Premises"), 'Inputs direct labour (2)'!C53, IF(AND($B$21="PCTs", $E$21 ="Equipment"), 'Inputs direct labour (2)'!C39, IF(AND($B$21="All trusts", $E$21 ="Equipment"), 'Inputs direct labour (2)'!I13, IF(AND($B$21="All trusts", $E$21 ="Premises"), 'Inputs direct labour (2)'!I27,””))))</f>
        <v>1439193.135</v>
      </c>
      <c r="H58" s="1550">
        <f>IF(AND($B$21="PCTs", $E$21 ="Premises"), 'Inputs direct labour (2)'!D53, IF(AND($B$21="PCTs", $E$21 ="Equipment"), 'Inputs direct labour (2)'!D39, IF(AND($B$21="All trusts", $E$21 ="Equipment"), 'Inputs direct labour (2)'!J13, IF(AND($B$21="All trusts", $E$21 ="Premises"), 'Inputs direct labour (2)'!J27,””))))</f>
        <v>1547042.2069999999</v>
      </c>
      <c r="I58" s="1550">
        <f>IF(AND($B$21="PCTs", $E$21 ="Premises"), 'Inputs direct labour (2)'!K53, IF(AND($B$21="PCTs", $E$21 ="Equipment"), 'Inputs direct labour (2)'!K39, IF(AND($B$21="All trusts", $E$21 ="Equipment"), 'Inputs direct labour (2)'!K13, IF(AND($B$21="All trusts", $E$21 ="Premises"), 'Inputs direct labour (2)'!K27,””))))</f>
        <v>1111880.65277</v>
      </c>
      <c r="J58" s="1550">
        <f>IF(AND($B$21="PCTs", $E$21 ="Premises"), 'Inputs direct labour (2)'!L53, IF(AND($B$21="PCTs", $E$21 ="Equipment"), 'Inputs direct labour (2)'!L39, IF(AND($B$21="All trusts", $E$21 ="Equipment"), 'Inputs direct labour (2)'!L13, IF(AND($B$21="All trusts", $E$21 ="Premises"), 'Inputs direct labour (2)'!L27,””))))</f>
        <v>1362224</v>
      </c>
      <c r="K58" s="1550">
        <f>IF(AND($B$21="PCTs", $E$21 ="Premises"), 'Inputs direct labour (2)'!M53, IF(AND($B$21="PCTs", $E$21 ="Equipment"), 'Inputs direct labour (2)'!M39, IF(AND($B$21="All trusts", $E$21 ="Equipment"), 'Inputs direct labour (2)'!M13, IF(AND($B$21="All trusts", $E$21 ="Premises"), 'Inputs direct labour (2)'!M27,””))))</f>
        <v>1339694</v>
      </c>
      <c r="L58" s="1550">
        <f>IF(AND($B$21="PCTs", $E$21 ="Premises"), 'Inputs direct labour (2)'!N53, IF(AND($B$21="PCTs", $E$21 ="Equipment"), 'Inputs direct labour (2)'!N39, IF(AND($B$21="All trusts", $E$21 ="Equipment"), 'Inputs direct labour (2)'!N13, IF(AND($B$21="All trusts", $E$21 ="Premises"), 'Inputs direct labour (2)'!N27,””))))</f>
        <v>1355021</v>
      </c>
      <c r="M58" s="1550">
        <f>IF(AND($B$21="PCTs", $E$21 ="Premises"), 'Inputs direct labour (2)'!O53, IF(AND($B$21="PCTs", $E$21 ="Equipment"), 'Inputs direct labour (2)'!O39, IF(AND($B$21="All trusts", $E$21 ="Equipment"), 'Inputs direct labour (2)'!O13, IF(AND($B$21="All trusts", $E$21 ="Premises"), 'Inputs direct labour (2)'!O27,””))))</f>
        <v>1245422.2917300002</v>
      </c>
      <c r="N58" s="1550">
        <f>IF(AND($B$21="PCTs", $E$21 ="Premises"), 'Inputs direct labour (2)'!P53, IF(AND($B$21="PCTs", $E$21 ="Equipment"), 'Inputs direct labour (2)'!P39, IF(AND($B$21="All trusts", $E$21 ="Equipment"), 'Inputs direct labour (2)'!P13, IF(AND($B$21="All trusts", $E$21 ="Premises"), 'Inputs direct labour (2)'!P27,””))))</f>
        <v>1167040.66325</v>
      </c>
      <c r="O58" s="1550">
        <f>IF(AND($B$21="PCTs", $E$21 ="Premises"), 'Inputs direct labour (2)'!Q53, IF(AND($B$21="PCTs", $E$21 ="Equipment"), 'Inputs direct labour (2)'!Q39, IF(AND($B$21="All trusts", $E$21 ="Equipment"), 'Inputs direct labour (2)'!Q13, IF(AND($B$21="All trusts", $E$21 ="Premises"), 'Inputs direct labour (2)'!Q27,””))))</f>
        <v>1197825</v>
      </c>
      <c r="P58" s="1550">
        <f>IF(AND($B$21="PCTs", $E$21 ="Premises"), 'Inputs direct labour (2)'!R53, IF(AND($B$21="PCTs", $E$21 ="Equipment"), 'Inputs direct labour (2)'!R39, IF(AND($B$21="All trusts", $E$21 ="Equipment"), 'Inputs direct labour (2)'!R13, IF(AND($B$21="All trusts", $E$21 ="Premises"), 'Inputs direct labour (2)'!R27,””))))</f>
        <v>1280420.3132</v>
      </c>
      <c r="Q58" s="1548"/>
      <c r="R58" s="1549"/>
      <c r="S58" s="1319"/>
      <c r="T58" s="1319"/>
      <c r="U58" s="380"/>
    </row>
    <row r="59" spans="1:21" x14ac:dyDescent="0.2">
      <c r="A59" s="567"/>
      <c r="B59" s="1550" t="str">
        <f>IF(AND($B$21="PCTs", $E$21 ="Premises"), 'Inputs direct labour (2)'!D54, IF(AND($B$21="PCTs", $E$21 ="Equipment"), 'Inputs direct labour (2)'!D40, IF(AND($B$21="All trusts", $E$21 ="Equipment"), 'Inputs direct labour (2)'!D14, IF(AND($B$21="All trusts", $E$21 ="Premises"), 'Inputs direct labour (2)'!D28,””))))</f>
        <v xml:space="preserve">Medical &amp; Surgical Equipment - Maintenance </v>
      </c>
      <c r="C59" s="1550"/>
      <c r="D59" s="1550"/>
      <c r="E59" s="1550">
        <f>IF(AND($B$21="PCTs", $E$21 ="Premises"), 'Inputs direct labour (2)'!A54, IF(AND($B$21="PCTs", $E$21 ="Equipment"), 'Inputs direct labour (2)'!A40, IF(AND($B$21="All trusts", $E$21 ="Equipment"), 'Inputs direct labour (2)'!G14, IF(AND($B$21="All trusts", $E$21 ="Premises"), 'Inputs direct labour (2)'!G28,””))))</f>
        <v>81039.377999999997</v>
      </c>
      <c r="F59" s="1550">
        <f>IF(AND($B$21="PCTs", $E$21 ="Premises"), 'Inputs direct labour (2)'!B54, IF(AND($B$21="PCTs", $E$21 ="Equipment"), 'Inputs direct labour (2)'!B40, IF(AND($B$21="All trusts", $E$21 ="Equipment"), 'Inputs direct labour (2)'!H14, IF(AND($B$21="All trusts", $E$21 ="Premises"), 'Inputs direct labour (2)'!H28,””))))</f>
        <v>87724.941000000006</v>
      </c>
      <c r="G59" s="1550">
        <f>IF(AND($B$21="PCTs", $E$21 ="Premises"), 'Inputs direct labour (2)'!C54, IF(AND($B$21="PCTs", $E$21 ="Equipment"), 'Inputs direct labour (2)'!C40, IF(AND($B$21="All trusts", $E$21 ="Equipment"), 'Inputs direct labour (2)'!I14, IF(AND($B$21="All trusts", $E$21 ="Premises"), 'Inputs direct labour (2)'!I28,””))))</f>
        <v>97026.16</v>
      </c>
      <c r="H59" s="1550">
        <f>IF(AND($B$21="PCTs", $E$21 ="Premises"), 'Inputs direct labour (2)'!D54, IF(AND($B$21="PCTs", $E$21 ="Equipment"), 'Inputs direct labour (2)'!D40, IF(AND($B$21="All trusts", $E$21 ="Equipment"), 'Inputs direct labour (2)'!J14, IF(AND($B$21="All trusts", $E$21 ="Premises"), 'Inputs direct labour (2)'!J28,””))))</f>
        <v>104759.567</v>
      </c>
      <c r="I59" s="1550">
        <f>IF(AND($B$21="PCTs", $E$21 ="Premises"), 'Inputs direct labour (2)'!K54, IF(AND($B$21="PCTs", $E$21 ="Equipment"), 'Inputs direct labour (2)'!K40, IF(AND($B$21="All trusts", $E$21 ="Equipment"), 'Inputs direct labour (2)'!K14, IF(AND($B$21="All trusts", $E$21 ="Premises"), 'Inputs direct labour (2)'!K28,””))))</f>
        <v>96787.019680000012</v>
      </c>
      <c r="J59" s="1550">
        <f>IF(AND($B$21="PCTs", $E$21 ="Premises"), 'Inputs direct labour (2)'!L54, IF(AND($B$21="PCTs", $E$21 ="Equipment"), 'Inputs direct labour (2)'!L40, IF(AND($B$21="All trusts", $E$21 ="Equipment"), 'Inputs direct labour (2)'!L14, IF(AND($B$21="All trusts", $E$21 ="Premises"), 'Inputs direct labour (2)'!L28,””))))</f>
        <v>106021</v>
      </c>
      <c r="K59" s="1550">
        <f>IF(AND($B$21="PCTs", $E$21 ="Premises"), 'Inputs direct labour (2)'!M54, IF(AND($B$21="PCTs", $E$21 ="Equipment"), 'Inputs direct labour (2)'!M40, IF(AND($B$21="All trusts", $E$21 ="Equipment"), 'Inputs direct labour (2)'!M14, IF(AND($B$21="All trusts", $E$21 ="Premises"), 'Inputs direct labour (2)'!M28,””))))</f>
        <v>112531</v>
      </c>
      <c r="L59" s="1550">
        <f>IF(AND($B$21="PCTs", $E$21 ="Premises"), 'Inputs direct labour (2)'!N54, IF(AND($B$21="PCTs", $E$21 ="Equipment"), 'Inputs direct labour (2)'!N40, IF(AND($B$21="All trusts", $E$21 ="Equipment"), 'Inputs direct labour (2)'!N14, IF(AND($B$21="All trusts", $E$21 ="Premises"), 'Inputs direct labour (2)'!N28,””))))</f>
        <v>114218</v>
      </c>
      <c r="M59" s="1550">
        <f>IF(AND($B$21="PCTs", $E$21 ="Premises"), 'Inputs direct labour (2)'!O54, IF(AND($B$21="PCTs", $E$21 ="Equipment"), 'Inputs direct labour (2)'!O40, IF(AND($B$21="All trusts", $E$21 ="Equipment"), 'Inputs direct labour (2)'!O14, IF(AND($B$21="All trusts", $E$21 ="Premises"), 'Inputs direct labour (2)'!O28,””))))</f>
        <v>107029.53605</v>
      </c>
      <c r="N59" s="1550">
        <f>IF(AND($B$21="PCTs", $E$21 ="Premises"), 'Inputs direct labour (2)'!P54, IF(AND($B$21="PCTs", $E$21 ="Equipment"), 'Inputs direct labour (2)'!P40, IF(AND($B$21="All trusts", $E$21 ="Equipment"), 'Inputs direct labour (2)'!P14, IF(AND($B$21="All trusts", $E$21 ="Premises"), 'Inputs direct labour (2)'!P28,””))))</f>
        <v>107579.06499</v>
      </c>
      <c r="O59" s="1550">
        <f>IF(AND($B$21="PCTs", $E$21 ="Premises"), 'Inputs direct labour (2)'!Q54, IF(AND($B$21="PCTs", $E$21 ="Equipment"), 'Inputs direct labour (2)'!Q40, IF(AND($B$21="All trusts", $E$21 ="Equipment"), 'Inputs direct labour (2)'!Q14, IF(AND($B$21="All trusts", $E$21 ="Premises"), 'Inputs direct labour (2)'!Q28,””))))</f>
        <v>111575</v>
      </c>
      <c r="P59" s="1550">
        <f>IF(AND($B$21="PCTs", $E$21 ="Premises"), 'Inputs direct labour (2)'!R54, IF(AND($B$21="PCTs", $E$21 ="Equipment"), 'Inputs direct labour (2)'!R40, IF(AND($B$21="All trusts", $E$21 ="Equipment"), 'Inputs direct labour (2)'!R14, IF(AND($B$21="All trusts", $E$21 ="Premises"), 'Inputs direct labour (2)'!R28,””))))</f>
        <v>128416.43861</v>
      </c>
      <c r="Q59" s="1551"/>
      <c r="R59" s="1549"/>
      <c r="S59" s="1319"/>
      <c r="T59" s="1319"/>
      <c r="U59" s="380"/>
    </row>
    <row r="60" spans="1:21" x14ac:dyDescent="0.2">
      <c r="A60" s="567"/>
      <c r="B60" s="1550" t="str">
        <f>IF(AND($B$21="PCTs", $E$21 ="Premises"), 'Inputs direct labour (2)'!D55, IF(AND($B$21="PCTs", $E$21 ="Equipment"), 'Inputs direct labour (2)'!D41, IF(AND($B$21="All trusts", $E$21 ="Equipment"), 'Inputs direct labour (2)'!D15, IF(AND($B$21="All trusts", $E$21 ="Premises"), 'Inputs direct labour (2)'!D29,””))))</f>
        <v xml:space="preserve">X-Ray Equipment - Purchase </v>
      </c>
      <c r="C60" s="1550"/>
      <c r="D60" s="1550"/>
      <c r="E60" s="1550">
        <f>IF(AND($B$21="PCTs", $E$21 ="Premises"), 'Inputs direct labour (2)'!A55, IF(AND($B$21="PCTs", $E$21 ="Equipment"), 'Inputs direct labour (2)'!A41, IF(AND($B$21="All trusts", $E$21 ="Equipment"), 'Inputs direct labour (2)'!G15, IF(AND($B$21="All trusts", $E$21 ="Premises"), 'Inputs direct labour (2)'!G29,””))))</f>
        <v>29517.756000000001</v>
      </c>
      <c r="F60" s="1550">
        <f>IF(AND($B$21="PCTs", $E$21 ="Premises"), 'Inputs direct labour (2)'!B55, IF(AND($B$21="PCTs", $E$21 ="Equipment"), 'Inputs direct labour (2)'!B41, IF(AND($B$21="All trusts", $E$21 ="Equipment"), 'Inputs direct labour (2)'!H15, IF(AND($B$21="All trusts", $E$21 ="Premises"), 'Inputs direct labour (2)'!H29,””))))</f>
        <v>31902.647000000001</v>
      </c>
      <c r="G60" s="1550">
        <f>IF(AND($B$21="PCTs", $E$21 ="Premises"), 'Inputs direct labour (2)'!C55, IF(AND($B$21="PCTs", $E$21 ="Equipment"), 'Inputs direct labour (2)'!C41, IF(AND($B$21="All trusts", $E$21 ="Equipment"), 'Inputs direct labour (2)'!I15, IF(AND($B$21="All trusts", $E$21 ="Premises"), 'Inputs direct labour (2)'!I29,””))))</f>
        <v>32572.179</v>
      </c>
      <c r="H60" s="1550">
        <f>IF(AND($B$21="PCTs", $E$21 ="Premises"), 'Inputs direct labour (2)'!D55, IF(AND($B$21="PCTs", $E$21 ="Equipment"), 'Inputs direct labour (2)'!D41, IF(AND($B$21="All trusts", $E$21 ="Equipment"), 'Inputs direct labour (2)'!J15, IF(AND($B$21="All trusts", $E$21 ="Premises"), 'Inputs direct labour (2)'!J29,””))))</f>
        <v>32468.973000000002</v>
      </c>
      <c r="I60" s="1550">
        <f>IF(AND($B$21="PCTs", $E$21 ="Premises"), 'Inputs direct labour (2)'!K55, IF(AND($B$21="PCTs", $E$21 ="Equipment"), 'Inputs direct labour (2)'!K41, IF(AND($B$21="All trusts", $E$21 ="Equipment"), 'Inputs direct labour (2)'!K15, IF(AND($B$21="All trusts", $E$21 ="Premises"), 'Inputs direct labour (2)'!K29,””))))</f>
        <v>26297.739249999999</v>
      </c>
      <c r="J60" s="1550">
        <f>IF(AND($B$21="PCTs", $E$21 ="Premises"), 'Inputs direct labour (2)'!L55, IF(AND($B$21="PCTs", $E$21 ="Equipment"), 'Inputs direct labour (2)'!L41, IF(AND($B$21="All trusts", $E$21 ="Equipment"), 'Inputs direct labour (2)'!L15, IF(AND($B$21="All trusts", $E$21 ="Premises"), 'Inputs direct labour (2)'!L29,””))))</f>
        <v>27600</v>
      </c>
      <c r="K60" s="1550">
        <f>IF(AND($B$21="PCTs", $E$21 ="Premises"), 'Inputs direct labour (2)'!M55, IF(AND($B$21="PCTs", $E$21 ="Equipment"), 'Inputs direct labour (2)'!M41, IF(AND($B$21="All trusts", $E$21 ="Equipment"), 'Inputs direct labour (2)'!M15, IF(AND($B$21="All trusts", $E$21 ="Premises"), 'Inputs direct labour (2)'!M29,””))))</f>
        <v>29187</v>
      </c>
      <c r="L60" s="1550">
        <f>IF(AND($B$21="PCTs", $E$21 ="Premises"), 'Inputs direct labour (2)'!N55, IF(AND($B$21="PCTs", $E$21 ="Equipment"), 'Inputs direct labour (2)'!N41, IF(AND($B$21="All trusts", $E$21 ="Equipment"), 'Inputs direct labour (2)'!N15, IF(AND($B$21="All trusts", $E$21 ="Premises"), 'Inputs direct labour (2)'!N29,””))))</f>
        <v>33498</v>
      </c>
      <c r="M60" s="1550">
        <f>IF(AND($B$21="PCTs", $E$21 ="Premises"), 'Inputs direct labour (2)'!O55, IF(AND($B$21="PCTs", $E$21 ="Equipment"), 'Inputs direct labour (2)'!O41, IF(AND($B$21="All trusts", $E$21 ="Equipment"), 'Inputs direct labour (2)'!O15, IF(AND($B$21="All trusts", $E$21 ="Premises"), 'Inputs direct labour (2)'!O29,””))))</f>
        <v>29704</v>
      </c>
      <c r="N60" s="1550">
        <f>IF(AND($B$21="PCTs", $E$21 ="Premises"), 'Inputs direct labour (2)'!P55, IF(AND($B$21="PCTs", $E$21 ="Equipment"), 'Inputs direct labour (2)'!P41, IF(AND($B$21="All trusts", $E$21 ="Equipment"), 'Inputs direct labour (2)'!P15, IF(AND($B$21="All trusts", $E$21 ="Premises"), 'Inputs direct labour (2)'!P29,””))))</f>
        <v>24939.441080000001</v>
      </c>
      <c r="O60" s="1550">
        <f>IF(AND($B$21="PCTs", $E$21 ="Premises"), 'Inputs direct labour (2)'!Q55, IF(AND($B$21="PCTs", $E$21 ="Equipment"), 'Inputs direct labour (2)'!Q41, IF(AND($B$21="All trusts", $E$21 ="Equipment"), 'Inputs direct labour (2)'!Q15, IF(AND($B$21="All trusts", $E$21 ="Premises"), 'Inputs direct labour (2)'!Q29,””))))</f>
        <v>22819</v>
      </c>
      <c r="P60" s="1550">
        <f>IF(AND($B$21="PCTs", $E$21 ="Premises"), 'Inputs direct labour (2)'!R55, IF(AND($B$21="PCTs", $E$21 ="Equipment"), 'Inputs direct labour (2)'!R41, IF(AND($B$21="All trusts", $E$21 ="Equipment"), 'Inputs direct labour (2)'!R15, IF(AND($B$21="All trusts", $E$21 ="Premises"), 'Inputs direct labour (2)'!R29,””))))</f>
        <v>19702.048640000001</v>
      </c>
      <c r="Q60" s="1548"/>
      <c r="R60" s="1549"/>
      <c r="S60" s="1319"/>
      <c r="T60" s="1319"/>
      <c r="U60" s="380"/>
    </row>
    <row r="61" spans="1:21" x14ac:dyDescent="0.2">
      <c r="A61" s="567"/>
      <c r="B61" s="1550" t="str">
        <f>IF(AND($B$21="PCTs", $E$21 ="Premises"), 'Inputs direct labour (2)'!D56, IF(AND($B$21="PCTs", $E$21 ="Equipment"), 'Inputs direct labour (2)'!D42, IF(AND($B$21="All trusts", $E$21 ="Equipment"), 'Inputs direct labour (2)'!D16, IF(AND($B$21="All trusts", $E$21 ="Premises"), 'Inputs direct labour (2)'!D30,””))))</f>
        <v xml:space="preserve">X-Ray Equipment - Maintenance </v>
      </c>
      <c r="C61" s="1550"/>
      <c r="D61" s="1550"/>
      <c r="E61" s="1550">
        <f>IF(AND($B$21="PCTs", $E$21 ="Premises"), 'Inputs direct labour (2)'!A56, IF(AND($B$21="PCTs", $E$21 ="Equipment"), 'Inputs direct labour (2)'!A42, IF(AND($B$21="All trusts", $E$21 ="Equipment"), 'Inputs direct labour (2)'!G16, IF(AND($B$21="All trusts", $E$21 ="Premises"), 'Inputs direct labour (2)'!G30,””))))</f>
        <v>51936.737999999998</v>
      </c>
      <c r="F61" s="1550">
        <f>IF(AND($B$21="PCTs", $E$21 ="Premises"), 'Inputs direct labour (2)'!B56, IF(AND($B$21="PCTs", $E$21 ="Equipment"), 'Inputs direct labour (2)'!B42, IF(AND($B$21="All trusts", $E$21 ="Equipment"), 'Inputs direct labour (2)'!H16, IF(AND($B$21="All trusts", $E$21 ="Premises"), 'Inputs direct labour (2)'!H30,””))))</f>
        <v>52096.368999999999</v>
      </c>
      <c r="G61" s="1550">
        <f>IF(AND($B$21="PCTs", $E$21 ="Premises"), 'Inputs direct labour (2)'!C56, IF(AND($B$21="PCTs", $E$21 ="Equipment"), 'Inputs direct labour (2)'!C42, IF(AND($B$21="All trusts", $E$21 ="Equipment"), 'Inputs direct labour (2)'!I16, IF(AND($B$21="All trusts", $E$21 ="Premises"), 'Inputs direct labour (2)'!I30,””))))</f>
        <v>56571.394</v>
      </c>
      <c r="H61" s="1550">
        <f>IF(AND($B$21="PCTs", $E$21 ="Premises"), 'Inputs direct labour (2)'!D56, IF(AND($B$21="PCTs", $E$21 ="Equipment"), 'Inputs direct labour (2)'!D42, IF(AND($B$21="All trusts", $E$21 ="Equipment"), 'Inputs direct labour (2)'!J16, IF(AND($B$21="All trusts", $E$21 ="Premises"), 'Inputs direct labour (2)'!J30,””))))</f>
        <v>62411.559000000001</v>
      </c>
      <c r="I61" s="1550">
        <f>IF(AND($B$21="PCTs", $E$21 ="Premises"), 'Inputs direct labour (2)'!E56, IF(AND($B$21="PCTs", $E$21 ="Equipment"), 'Inputs direct labour (2)'!K42, IF(AND($B$21="All trusts", $E$21 ="Equipment"), 'Inputs direct labour (2)'!K16, IF(AND($B$21="All trusts", $E$21 ="Premises"), 'Inputs direct labour (2)'!K30,””))))</f>
        <v>57223.132310000001</v>
      </c>
      <c r="J61" s="1550">
        <f>IF(AND($B$21="PCTs", $E$21 ="Premises"), 'Inputs direct labour (2)'!F56, IF(AND($B$21="PCTs", $E$21 ="Equipment"), 'Inputs direct labour (2)'!L42, IF(AND($B$21="All trusts", $E$21 ="Equipment"), 'Inputs direct labour (2)'!L16, IF(AND($B$21="All trusts", $E$21 ="Premises"), 'Inputs direct labour (2)'!L30,””))))</f>
        <v>55030</v>
      </c>
      <c r="K61" s="1550">
        <f>IF(AND($B$21="PCTs", $E$21 ="Premises"), 'Inputs direct labour (2)'!G56, IF(AND($B$21="PCTs", $E$21 ="Equipment"), 'Inputs direct labour (2)'!M42, IF(AND($B$21="All trusts", $E$21 ="Equipment"), 'Inputs direct labour (2)'!M16, IF(AND($B$21="All trusts", $E$21 ="Premises"), 'Inputs direct labour (2)'!M30,””))))</f>
        <v>56133</v>
      </c>
      <c r="L61" s="1550">
        <f>IF(AND($B$21="PCTs", $E$21 ="Premises"), 'Inputs direct labour (2)'!H56, IF(AND($B$21="PCTs", $E$21 ="Equipment"), 'Inputs direct labour (2)'!N42, IF(AND($B$21="All trusts", $E$21 ="Equipment"), 'Inputs direct labour (2)'!N16, IF(AND($B$21="All trusts", $E$21 ="Premises"), 'Inputs direct labour (2)'!N30,””))))</f>
        <v>51721</v>
      </c>
      <c r="M61" s="1550">
        <f>IF(AND($B$21="PCTs", $E$21 ="Premises"), 'Inputs direct labour (2)'!I56, IF(AND($B$21="PCTs", $E$21 ="Equipment"), 'Inputs direct labour (2)'!O42, IF(AND($B$21="All trusts", $E$21 ="Equipment"), 'Inputs direct labour (2)'!O16, IF(AND($B$21="All trusts", $E$21 ="Premises"), 'Inputs direct labour (2)'!O30,””))))</f>
        <v>47581</v>
      </c>
      <c r="N61" s="1550">
        <f>IF(AND($B$21="PCTs", $E$21 ="Premises"), 'Inputs direct labour (2)'!J56, IF(AND($B$21="PCTs", $E$21 ="Equipment"), 'Inputs direct labour (2)'!P42, IF(AND($B$21="All trusts", $E$21 ="Equipment"), 'Inputs direct labour (2)'!P16, IF(AND($B$21="All trusts", $E$21 ="Premises"), 'Inputs direct labour (2)'!P30,””))))</f>
        <v>42277</v>
      </c>
      <c r="O61" s="1550">
        <f>IF(AND($B$21="PCTs", $E$21 ="Premises"), 'Inputs direct labour (2)'!K56, IF(AND($B$21="PCTs", $E$21 ="Equipment"), 'Inputs direct labour (2)'!Q42, IF(AND($B$21="All trusts", $E$21 ="Equipment"), 'Inputs direct labour (2)'!Q16, IF(AND($B$21="All trusts", $E$21 ="Premises"), 'Inputs direct labour (2)'!Q30,””))))</f>
        <v>42858</v>
      </c>
      <c r="P61" s="1550">
        <f>IF(AND($B$21="PCTs", $E$21 ="Premises"), 'Inputs direct labour (2)'!L56, IF(AND($B$21="PCTs", $E$21 ="Equipment"), 'Inputs direct labour (2)'!R42, IF(AND($B$21="All trusts", $E$21 ="Equipment"), 'Inputs direct labour (2)'!R16, IF(AND($B$21="All trusts", $E$21 ="Premises"), 'Inputs direct labour (2)'!R30,””))))</f>
        <v>41116.248149999999</v>
      </c>
      <c r="Q61" s="1552"/>
      <c r="R61" s="1322"/>
      <c r="S61" s="1319"/>
      <c r="T61" s="1319"/>
      <c r="U61" s="380"/>
    </row>
    <row r="62" spans="1:21" x14ac:dyDescent="0.2">
      <c r="A62" s="567"/>
      <c r="B62" s="1550" t="str">
        <f>IF(AND($B$21="PCTs", $E$21 ="Premises"), 'Inputs direct labour (2)'!D57, IF(AND($B$21="PCTs", $E$21 ="Equipment"), 'Inputs direct labour (2)'!D43, IF(AND($B$21="All trusts", $E$21 ="Equipment"), 'Inputs direct labour (2)'!D17, IF(AND($B$21="All trusts", $E$21 ="Premises"), 'Inputs direct labour (2)'!D31,””))))</f>
        <v xml:space="preserve">Appliances </v>
      </c>
      <c r="C62" s="1550"/>
      <c r="D62" s="1550"/>
      <c r="E62" s="1550">
        <f>IF(AND($B$21="PCTs", $E$21 ="Premises"), 'Inputs direct labour (2)'!A57, IF(AND($B$21="PCTs", $E$21 ="Equipment"), 'Inputs direct labour (2)'!A43, IF(AND($B$21="All trusts", $E$21 ="Equipment"), 'Inputs direct labour (2)'!G17, IF(AND($B$21="All trusts", $E$21 ="Premises"), 'Inputs direct labour (2)'!G31,””))))</f>
        <v>284929.64399999997</v>
      </c>
      <c r="F62" s="1550">
        <f>IF(AND($B$21="PCTs", $E$21 ="Premises"), 'Inputs direct labour (2)'!B57, IF(AND($B$21="PCTs", $E$21 ="Equipment"), 'Inputs direct labour (2)'!B43, IF(AND($B$21="All trusts", $E$21 ="Equipment"), 'Inputs direct labour (2)'!H17, IF(AND($B$21="All trusts", $E$21 ="Premises"), 'Inputs direct labour (2)'!H31,””))))</f>
        <v>276970.35100000002</v>
      </c>
      <c r="G62" s="1550">
        <f>IF(AND($B$21="PCTs", $E$21 ="Premises"), 'Inputs direct labour (2)'!C57, IF(AND($B$21="PCTs", $E$21 ="Equipment"), 'Inputs direct labour (2)'!C43, IF(AND($B$21="All trusts", $E$21 ="Equipment"), 'Inputs direct labour (2)'!I17, IF(AND($B$21="All trusts", $E$21 ="Premises"), 'Inputs direct labour (2)'!I31,””))))</f>
        <v>260617.32500000001</v>
      </c>
      <c r="H62" s="1550">
        <f>IF(AND($B$21="PCTs", $E$21 ="Premises"), 'Inputs direct labour (2)'!D57, IF(AND($B$21="PCTs", $E$21 ="Equipment"), 'Inputs direct labour (2)'!D43, IF(AND($B$21="All trusts", $E$21 ="Equipment"), 'Inputs direct labour (2)'!J17, IF(AND($B$21="All trusts", $E$21 ="Premises"), 'Inputs direct labour (2)'!J31,””))))</f>
        <v>292639.33</v>
      </c>
      <c r="I62" s="1550">
        <f>IF(AND($B$21="PCTs", $E$21 ="Premises"), 'Inputs direct labour (2)'!E57, IF(AND($B$21="PCTs", $E$21 ="Equipment"), 'Inputs direct labour (2)'!K43, IF(AND($B$21="All trusts", $E$21 ="Equipment"), 'Inputs direct labour (2)'!K17, IF(AND($B$21="All trusts", $E$21 ="Premises"), 'Inputs direct labour (2)'!K31,””))))</f>
        <v>263890.23437999998</v>
      </c>
      <c r="J62" s="1550">
        <f>IF(AND($B$21="PCTs", $E$21 ="Premises"), 'Inputs direct labour (2)'!F57, IF(AND($B$21="PCTs", $E$21 ="Equipment"), 'Inputs direct labour (2)'!L43, IF(AND($B$21="All trusts", $E$21 ="Equipment"), 'Inputs direct labour (2)'!L17, IF(AND($B$21="All trusts", $E$21 ="Premises"), 'Inputs direct labour (2)'!L31,””))))</f>
        <v>285000</v>
      </c>
      <c r="K62" s="1550">
        <f>IF(AND($B$21="PCTs", $E$21 ="Premises"), 'Inputs direct labour (2)'!G57, IF(AND($B$21="PCTs", $E$21 ="Equipment"), 'Inputs direct labour (2)'!M43, IF(AND($B$21="All trusts", $E$21 ="Equipment"), 'Inputs direct labour (2)'!M17, IF(AND($B$21="All trusts", $E$21 ="Premises"), 'Inputs direct labour (2)'!M31,””))))</f>
        <v>281882</v>
      </c>
      <c r="L62" s="1550">
        <f>IF(AND($B$21="PCTs", $E$21 ="Premises"), 'Inputs direct labour (2)'!H57, IF(AND($B$21="PCTs", $E$21 ="Equipment"), 'Inputs direct labour (2)'!N43, IF(AND($B$21="All trusts", $E$21 ="Equipment"), 'Inputs direct labour (2)'!N17, IF(AND($B$21="All trusts", $E$21 ="Premises"), 'Inputs direct labour (2)'!N31,””))))</f>
        <v>292970</v>
      </c>
      <c r="M62" s="1550">
        <f>IF(AND($B$21="PCTs", $E$21 ="Premises"), 'Inputs direct labour (2)'!I57, IF(AND($B$21="PCTs", $E$21 ="Equipment"), 'Inputs direct labour (2)'!O43, IF(AND($B$21="All trusts", $E$21 ="Equipment"), 'Inputs direct labour (2)'!O17, IF(AND($B$21="All trusts", $E$21 ="Premises"), 'Inputs direct labour (2)'!O31,””))))</f>
        <v>285790.01525</v>
      </c>
      <c r="N62" s="1550">
        <f>IF(AND($B$21="PCTs", $E$21 ="Premises"), 'Inputs direct labour (2)'!J57, IF(AND($B$21="PCTs", $E$21 ="Equipment"), 'Inputs direct labour (2)'!P43, IF(AND($B$21="All trusts", $E$21 ="Equipment"), 'Inputs direct labour (2)'!P17, IF(AND($B$21="All trusts", $E$21 ="Premises"), 'Inputs direct labour (2)'!P31,””))))</f>
        <v>249935.55568000002</v>
      </c>
      <c r="O62" s="1550">
        <f>IF(AND($B$21="PCTs", $E$21 ="Premises"), 'Inputs direct labour (2)'!K57, IF(AND($B$21="PCTs", $E$21 ="Equipment"), 'Inputs direct labour (2)'!Q43, IF(AND($B$21="All trusts", $E$21 ="Equipment"), 'Inputs direct labour (2)'!Q17, IF(AND($B$21="All trusts", $E$21 ="Premises"), 'Inputs direct labour (2)'!Q31,””))))</f>
        <v>296065</v>
      </c>
      <c r="P62" s="1550">
        <f>IF(AND($B$21="PCTs", $E$21 ="Premises"), 'Inputs direct labour (2)'!L57, IF(AND($B$21="PCTs", $E$21 ="Equipment"), 'Inputs direct labour (2)'!R43, IF(AND($B$21="All trusts", $E$21 ="Equipment"), 'Inputs direct labour (2)'!R17, IF(AND($B$21="All trusts", $E$21 ="Premises"), 'Inputs direct labour (2)'!R31,””))))</f>
        <v>290496.9754</v>
      </c>
      <c r="Q62" s="1552"/>
      <c r="R62" s="1322"/>
      <c r="S62" s="1319"/>
      <c r="T62" s="1319"/>
      <c r="U62" s="380"/>
    </row>
    <row r="63" spans="1:21" x14ac:dyDescent="0.2">
      <c r="A63" s="567"/>
      <c r="B63" s="1550" t="str">
        <f>IF(AND($B$21="PCTs", $E$21 ="Premises"), 'Inputs direct labour (2)'!D58, IF(AND($B$21="PCTs", $E$21 ="Equipment"), 'Inputs direct labour (2)'!D44, IF(AND($B$21="All trusts", $E$21 ="Equipment"), 'Inputs direct labour (2)'!D18, IF(AND($B$21="All trusts", $E$21 ="Premises"), 'Inputs direct labour (2)'!D32,””))))</f>
        <v xml:space="preserve">Laboratory Equipment - Purchase </v>
      </c>
      <c r="C63" s="1550"/>
      <c r="D63" s="1550"/>
      <c r="E63" s="1550">
        <f>IF(AND($B$21="PCTs", $E$21 ="Premises"), 'Inputs direct labour (2)'!A58, IF(AND($B$21="PCTs", $E$21 ="Equipment"), 'Inputs direct labour (2)'!A44, IF(AND($B$21="All trusts", $E$21 ="Equipment"), 'Inputs direct labour (2)'!G18, IF(AND($B$21="All trusts", $E$21 ="Premises"), 'Inputs direct labour (2)'!G32,””))))</f>
        <v>240885.799</v>
      </c>
      <c r="F63" s="1550">
        <f>IF(AND($B$21="PCTs", $E$21 ="Premises"), 'Inputs direct labour (2)'!B58, IF(AND($B$21="PCTs", $E$21 ="Equipment"), 'Inputs direct labour (2)'!B44, IF(AND($B$21="All trusts", $E$21 ="Equipment"), 'Inputs direct labour (2)'!H18, IF(AND($B$21="All trusts", $E$21 ="Premises"), 'Inputs direct labour (2)'!H32,””))))</f>
        <v>251528.09299999999</v>
      </c>
      <c r="G63" s="1550">
        <f>IF(AND($B$21="PCTs", $E$21 ="Premises"), 'Inputs direct labour (2)'!C58, IF(AND($B$21="PCTs", $E$21 ="Equipment"), 'Inputs direct labour (2)'!C44, IF(AND($B$21="All trusts", $E$21 ="Equipment"), 'Inputs direct labour (2)'!I18, IF(AND($B$21="All trusts", $E$21 ="Premises"), 'Inputs direct labour (2)'!I32,””))))</f>
        <v>285292.72499999998</v>
      </c>
      <c r="H63" s="1550">
        <f>IF(AND($B$21="PCTs", $E$21 ="Premises"), 'Inputs direct labour (2)'!D58, IF(AND($B$21="PCTs", $E$21 ="Equipment"), 'Inputs direct labour (2)'!D44, IF(AND($B$21="All trusts", $E$21 ="Equipment"), 'Inputs direct labour (2)'!J18, IF(AND($B$21="All trusts", $E$21 ="Premises"), 'Inputs direct labour (2)'!J32,””))))</f>
        <v>298137.36599999998</v>
      </c>
      <c r="I63" s="1550">
        <f>IF(AND($B$21="PCTs", $E$21 ="Premises"), 'Inputs direct labour (2)'!E58, IF(AND($B$21="PCTs", $E$21 ="Equipment"), 'Inputs direct labour (2)'!K44, IF(AND($B$21="All trusts", $E$21 ="Equipment"), 'Inputs direct labour (2)'!K18, IF(AND($B$21="All trusts", $E$21 ="Premises"), 'Inputs direct labour (2)'!K32,””))))</f>
        <v>270875.56216999999</v>
      </c>
      <c r="J63" s="1550">
        <f>IF(AND($B$21="PCTs", $E$21 ="Premises"), 'Inputs direct labour (2)'!F58, IF(AND($B$21="PCTs", $E$21 ="Equipment"), 'Inputs direct labour (2)'!L44, IF(AND($B$21="All trusts", $E$21 ="Equipment"), 'Inputs direct labour (2)'!L18, IF(AND($B$21="All trusts", $E$21 ="Premises"), 'Inputs direct labour (2)'!L32,””))))</f>
        <v>288360</v>
      </c>
      <c r="K63" s="1550">
        <f>IF(AND($B$21="PCTs", $E$21 ="Premises"), 'Inputs direct labour (2)'!G58, IF(AND($B$21="PCTs", $E$21 ="Equipment"), 'Inputs direct labour (2)'!M44, IF(AND($B$21="All trusts", $E$21 ="Equipment"), 'Inputs direct labour (2)'!M18, IF(AND($B$21="All trusts", $E$21 ="Premises"), 'Inputs direct labour (2)'!M32,””))))</f>
        <v>282818</v>
      </c>
      <c r="L63" s="1550">
        <f>IF(AND($B$21="PCTs", $E$21 ="Premises"), 'Inputs direct labour (2)'!H58, IF(AND($B$21="PCTs", $E$21 ="Equipment"), 'Inputs direct labour (2)'!N44, IF(AND($B$21="All trusts", $E$21 ="Equipment"), 'Inputs direct labour (2)'!N18, IF(AND($B$21="All trusts", $E$21 ="Premises"), 'Inputs direct labour (2)'!N32,””))))</f>
        <v>268995</v>
      </c>
      <c r="M63" s="1550">
        <f>IF(AND($B$21="PCTs", $E$21 ="Premises"), 'Inputs direct labour (2)'!I58, IF(AND($B$21="PCTs", $E$21 ="Equipment"), 'Inputs direct labour (2)'!O44, IF(AND($B$21="All trusts", $E$21 ="Equipment"), 'Inputs direct labour (2)'!O18, IF(AND($B$21="All trusts", $E$21 ="Premises"), 'Inputs direct labour (2)'!O32,””))))</f>
        <v>257483.76642</v>
      </c>
      <c r="N63" s="1550">
        <f>IF(AND($B$21="PCTs", $E$21 ="Premises"), 'Inputs direct labour (2)'!J58, IF(AND($B$21="PCTs", $E$21 ="Equipment"), 'Inputs direct labour (2)'!P44, IF(AND($B$21="All trusts", $E$21 ="Equipment"), 'Inputs direct labour (2)'!P18, IF(AND($B$21="All trusts", $E$21 ="Premises"), 'Inputs direct labour (2)'!P32,””))))</f>
        <v>252223.40057</v>
      </c>
      <c r="O63" s="1550">
        <f>IF(AND($B$21="PCTs", $E$21 ="Premises"), 'Inputs direct labour (2)'!K58, IF(AND($B$21="PCTs", $E$21 ="Equipment"), 'Inputs direct labour (2)'!Q44, IF(AND($B$21="All trusts", $E$21 ="Equipment"), 'Inputs direct labour (2)'!Q18, IF(AND($B$21="All trusts", $E$21 ="Premises"), 'Inputs direct labour (2)'!Q32,””))))</f>
        <v>253170</v>
      </c>
      <c r="P63" s="1550">
        <f>IF(AND($B$21="PCTs", $E$21 ="Premises"), 'Inputs direct labour (2)'!L58, IF(AND($B$21="PCTs", $E$21 ="Equipment"), 'Inputs direct labour (2)'!R44, IF(AND($B$21="All trusts", $E$21 ="Equipment"), 'Inputs direct labour (2)'!R18, IF(AND($B$21="All trusts", $E$21 ="Premises"), 'Inputs direct labour (2)'!R32,””))))</f>
        <v>260896.01750000002</v>
      </c>
      <c r="Q63" s="1553"/>
      <c r="R63" s="1319"/>
      <c r="S63" s="1319"/>
      <c r="T63" s="1319"/>
      <c r="U63" s="380"/>
    </row>
    <row r="64" spans="1:21" x14ac:dyDescent="0.2">
      <c r="A64" s="567"/>
      <c r="B64" s="1550" t="str">
        <f>IF(AND($B$21="PCTs", $E$21 ="Premises"), 'Inputs direct labour (2)'!D59, IF(AND($B$21="PCTs", $E$21 ="Equipment"), 'Inputs direct labour (2)'!D45, IF(AND($B$21="All trusts", $E$21 ="Equipment"), 'Inputs direct labour (2)'!D19, IF(AND($B$21="All trusts", $E$21 ="Premises"), 'Inputs direct labour (2)'!D33,””))))</f>
        <v xml:space="preserve">Laboratory Equipment - Maintenance </v>
      </c>
      <c r="C64" s="1550"/>
      <c r="D64" s="1550"/>
      <c r="E64" s="1550">
        <f>IF(AND($B$21="PCTs", $E$21 ="Premises"), 'Inputs direct labour (2)'!A59, IF(AND($B$21="PCTs", $E$21 ="Equipment"), 'Inputs direct labour (2)'!A45, IF(AND($B$21="All trusts", $E$21 ="Equipment"), 'Inputs direct labour (2)'!G19, IF(AND($B$21="All trusts", $E$21 ="Premises"), 'Inputs direct labour (2)'!G33,””))))</f>
        <v>24918.514999999999</v>
      </c>
      <c r="F64" s="1550">
        <f>IF(AND($B$21="PCTs", $E$21 ="Premises"), 'Inputs direct labour (2)'!B59, IF(AND($B$21="PCTs", $E$21 ="Equipment"), 'Inputs direct labour (2)'!B45, IF(AND($B$21="All trusts", $E$21 ="Equipment"), 'Inputs direct labour (2)'!H19, IF(AND($B$21="All trusts", $E$21 ="Premises"), 'Inputs direct labour (2)'!H33,””))))</f>
        <v>25236.432000000001</v>
      </c>
      <c r="G64" s="1550">
        <f>IF(AND($B$21="PCTs", $E$21 ="Premises"), 'Inputs direct labour (2)'!C59, IF(AND($B$21="PCTs", $E$21 ="Equipment"), 'Inputs direct labour (2)'!C45, IF(AND($B$21="All trusts", $E$21 ="Equipment"), 'Inputs direct labour (2)'!I19, IF(AND($B$21="All trusts", $E$21 ="Premises"), 'Inputs direct labour (2)'!I33,””))))</f>
        <v>28181.341</v>
      </c>
      <c r="H64" s="1550">
        <f>IF(AND($B$21="PCTs", $E$21 ="Premises"), 'Inputs direct labour (2)'!D59, IF(AND($B$21="PCTs", $E$21 ="Equipment"), 'Inputs direct labour (2)'!D45, IF(AND($B$21="All trusts", $E$21 ="Equipment"), 'Inputs direct labour (2)'!J19, IF(AND($B$21="All trusts", $E$21 ="Premises"), 'Inputs direct labour (2)'!J33,””))))</f>
        <v>27228.82</v>
      </c>
      <c r="I64" s="1550">
        <f>IF(AND($B$21="PCTs", $E$21 ="Premises"), 'Inputs direct labour (2)'!E59, IF(AND($B$21="PCTs", $E$21 ="Equipment"), 'Inputs direct labour (2)'!K45, IF(AND($B$21="All trusts", $E$21 ="Equipment"), 'Inputs direct labour (2)'!K19, IF(AND($B$21="All trusts", $E$21 ="Premises"), 'Inputs direct labour (2)'!K33,””))))</f>
        <v>25023.175449999999</v>
      </c>
      <c r="J64" s="1550">
        <f>IF(AND($B$21="PCTs", $E$21 ="Premises"), 'Inputs direct labour (2)'!F59, IF(AND($B$21="PCTs", $E$21 ="Equipment"), 'Inputs direct labour (2)'!L45, IF(AND($B$21="All trusts", $E$21 ="Equipment"), 'Inputs direct labour (2)'!L19, IF(AND($B$21="All trusts", $E$21 ="Premises"), 'Inputs direct labour (2)'!L33,””))))</f>
        <v>27197</v>
      </c>
      <c r="K64" s="1550">
        <f>IF(AND($B$21="PCTs", $E$21 ="Premises"), 'Inputs direct labour (2)'!G59, IF(AND($B$21="PCTs", $E$21 ="Equipment"), 'Inputs direct labour (2)'!M45, IF(AND($B$21="All trusts", $E$21 ="Equipment"), 'Inputs direct labour (2)'!M19, IF(AND($B$21="All trusts", $E$21 ="Premises"), 'Inputs direct labour (2)'!M33,””))))</f>
        <v>29163</v>
      </c>
      <c r="L64" s="1550">
        <f>IF(AND($B$21="PCTs", $E$21 ="Premises"), 'Inputs direct labour (2)'!H59, IF(AND($B$21="PCTs", $E$21 ="Equipment"), 'Inputs direct labour (2)'!N45, IF(AND($B$21="All trusts", $E$21 ="Equipment"), 'Inputs direct labour (2)'!N19, IF(AND($B$21="All trusts", $E$21 ="Premises"), 'Inputs direct labour (2)'!N33,””))))</f>
        <v>27917</v>
      </c>
      <c r="M64" s="1550">
        <f>IF(AND($B$21="PCTs", $E$21 ="Premises"), 'Inputs direct labour (2)'!I59, IF(AND($B$21="PCTs", $E$21 ="Equipment"), 'Inputs direct labour (2)'!O45, IF(AND($B$21="All trusts", $E$21 ="Equipment"), 'Inputs direct labour (2)'!O19, IF(AND($B$21="All trusts", $E$21 ="Premises"), 'Inputs direct labour (2)'!O33,””))))</f>
        <v>22215</v>
      </c>
      <c r="N64" s="1550">
        <f>IF(AND($B$21="PCTs", $E$21 ="Premises"), 'Inputs direct labour (2)'!J59, IF(AND($B$21="PCTs", $E$21 ="Equipment"), 'Inputs direct labour (2)'!P45, IF(AND($B$21="All trusts", $E$21 ="Equipment"), 'Inputs direct labour (2)'!P19, IF(AND($B$21="All trusts", $E$21 ="Premises"), 'Inputs direct labour (2)'!P33,””))))</f>
        <v>23367</v>
      </c>
      <c r="O64" s="1550">
        <f>IF(AND($B$21="PCTs", $E$21 ="Premises"), 'Inputs direct labour (2)'!K59, IF(AND($B$21="PCTs", $E$21 ="Equipment"), 'Inputs direct labour (2)'!Q45, IF(AND($B$21="All trusts", $E$21 ="Equipment"), 'Inputs direct labour (2)'!Q19, IF(AND($B$21="All trusts", $E$21 ="Premises"), 'Inputs direct labour (2)'!Q33,””))))</f>
        <v>20895</v>
      </c>
      <c r="P64" s="1550">
        <f>IF(AND($B$21="PCTs", $E$21 ="Premises"), 'Inputs direct labour (2)'!L59, IF(AND($B$21="PCTs", $E$21 ="Equipment"), 'Inputs direct labour (2)'!R45, IF(AND($B$21="All trusts", $E$21 ="Equipment"), 'Inputs direct labour (2)'!R19, IF(AND($B$21="All trusts", $E$21 ="Premises"), 'Inputs direct labour (2)'!R33,””))))</f>
        <v>22742.926899999999</v>
      </c>
      <c r="Q64" s="1553"/>
      <c r="R64" s="1319"/>
      <c r="S64" s="1319"/>
      <c r="T64" s="1319"/>
      <c r="U64" s="380"/>
    </row>
    <row r="65" spans="1:21" x14ac:dyDescent="0.2">
      <c r="A65" s="978"/>
      <c r="B65" s="1550" t="str">
        <f>IF(AND($B$21="PCTs", $E$21 ="Premises"), 'Inputs direct labour (2)'!D60, IF(AND($B$21="PCTs", $E$21 ="Equipment"), 'Inputs direct labour (2)'!D46, IF(AND($B$21="All trusts", $E$21 ="Equipment"), 'Inputs direct labour (2)'!D20, IF(AND($B$21="All trusts", $E$21 ="Premises"), 'Inputs direct labour (2)'!D34,””))))</f>
        <v xml:space="preserve">Furniture, Office &amp; Computer Equipment </v>
      </c>
      <c r="C65" s="1550"/>
      <c r="D65" s="1550"/>
      <c r="E65" s="1550">
        <f>IF(AND($B$21="PCTs", $E$21 ="Premises"), 'Inputs direct labour (2)'!A60, IF(AND($B$21="PCTs", $E$21 ="Equipment"), 'Inputs direct labour (2)'!A46, IF(AND($B$21="All trusts", $E$21 ="Equipment"), 'Inputs direct labour (2)'!G20, IF(AND($B$21="All trusts", $E$21 ="Premises"), 'Inputs direct labour (2)'!G34,””))))</f>
        <v>267669.34700000001</v>
      </c>
      <c r="F65" s="1550">
        <f>IF(AND($B$21="PCTs", $E$21 ="Premises"), 'Inputs direct labour (2)'!B60, IF(AND($B$21="PCTs", $E$21 ="Equipment"), 'Inputs direct labour (2)'!B46, IF(AND($B$21="All trusts", $E$21 ="Equipment"), 'Inputs direct labour (2)'!H20, IF(AND($B$21="All trusts", $E$21 ="Premises"), 'Inputs direct labour (2)'!H34,””))))</f>
        <v>253200.614</v>
      </c>
      <c r="G65" s="1550">
        <f>IF(AND($B$21="PCTs", $E$21 ="Premises"), 'Inputs direct labour (2)'!C60, IF(AND($B$21="PCTs", $E$21 ="Equipment"), 'Inputs direct labour (2)'!C46, IF(AND($B$21="All trusts", $E$21 ="Equipment"), 'Inputs direct labour (2)'!I20, IF(AND($B$21="All trusts", $E$21 ="Premises"), 'Inputs direct labour (2)'!I34,””))))</f>
        <v>217136.23199999999</v>
      </c>
      <c r="H65" s="1550">
        <f>IF(AND($B$21="PCTs", $E$21 ="Premises"), 'Inputs direct labour (2)'!D60, IF(AND($B$21="PCTs", $E$21 ="Equipment"), 'Inputs direct labour (2)'!D46, IF(AND($B$21="All trusts", $E$21 ="Equipment"), 'Inputs direct labour (2)'!J20, IF(AND($B$21="All trusts", $E$21 ="Premises"), 'Inputs direct labour (2)'!J34,””))))</f>
        <v>186677.38800000001</v>
      </c>
      <c r="I65" s="1550">
        <f>IF(AND($B$21="PCTs", $E$21 ="Premises"), 'Inputs direct labour (2)'!E60, IF(AND($B$21="PCTs", $E$21 ="Equipment"), 'Inputs direct labour (2)'!K46, IF(AND($B$21="All trusts", $E$21 ="Equipment"), 'Inputs direct labour (2)'!K20, IF(AND($B$21="All trusts", $E$21 ="Premises"), 'Inputs direct labour (2)'!K34,””))))</f>
        <v>152181.89692473135</v>
      </c>
      <c r="J65" s="1550">
        <f>IF(AND($B$21="PCTs", $E$21 ="Premises"), 'Inputs direct labour (2)'!F60, IF(AND($B$21="PCTs", $E$21 ="Equipment"), 'Inputs direct labour (2)'!L46, IF(AND($B$21="All trusts", $E$21 ="Equipment"), 'Inputs direct labour (2)'!L20, IF(AND($B$21="All trusts", $E$21 ="Premises"), 'Inputs direct labour (2)'!L34,””))))</f>
        <v>141995</v>
      </c>
      <c r="K65" s="1550">
        <f>IF(AND($B$21="PCTs", $E$21 ="Premises"), 'Inputs direct labour (2)'!G60, IF(AND($B$21="PCTs", $E$21 ="Equipment"), 'Inputs direct labour (2)'!M46, IF(AND($B$21="All trusts", $E$21 ="Equipment"), 'Inputs direct labour (2)'!M20, IF(AND($B$21="All trusts", $E$21 ="Premises"), 'Inputs direct labour (2)'!M34,””))))</f>
        <v>134995</v>
      </c>
      <c r="L65" s="1550">
        <f>IF(AND($B$21="PCTs", $E$21 ="Premises"), 'Inputs direct labour (2)'!H60, IF(AND($B$21="PCTs", $E$21 ="Equipment"), 'Inputs direct labour (2)'!N46, IF(AND($B$21="All trusts", $E$21 ="Equipment"), 'Inputs direct labour (2)'!N20, IF(AND($B$21="All trusts", $E$21 ="Premises"), 'Inputs direct labour (2)'!N34,””))))</f>
        <v>165375</v>
      </c>
      <c r="M65" s="1550">
        <f>IF(AND($B$21="PCTs", $E$21 ="Premises"), 'Inputs direct labour (2)'!I60, IF(AND($B$21="PCTs", $E$21 ="Equipment"), 'Inputs direct labour (2)'!O46, IF(AND($B$21="All trusts", $E$21 ="Equipment"), 'Inputs direct labour (2)'!O20, IF(AND($B$21="All trusts", $E$21 ="Premises"), 'Inputs direct labour (2)'!O34,””))))</f>
        <v>130867.21212</v>
      </c>
      <c r="N65" s="1550">
        <f>IF(AND($B$21="PCTs", $E$21 ="Premises"), 'Inputs direct labour (2)'!J60, IF(AND($B$21="PCTs", $E$21 ="Equipment"), 'Inputs direct labour (2)'!P46, IF(AND($B$21="All trusts", $E$21 ="Equipment"), 'Inputs direct labour (2)'!P20, IF(AND($B$21="All trusts", $E$21 ="Premises"), 'Inputs direct labour (2)'!P34,””))))</f>
        <v>110642.5266</v>
      </c>
      <c r="O65" s="1550">
        <f>IF(AND($B$21="PCTs", $E$21 ="Premises"), 'Inputs direct labour (2)'!K60, IF(AND($B$21="PCTs", $E$21 ="Equipment"), 'Inputs direct labour (2)'!Q46, IF(AND($B$21="All trusts", $E$21 ="Equipment"), 'Inputs direct labour (2)'!Q20, IF(AND($B$21="All trusts", $E$21 ="Premises"), 'Inputs direct labour (2)'!Q34,””))))</f>
        <v>105856</v>
      </c>
      <c r="P65" s="1550">
        <f>IF(AND($B$21="PCTs", $E$21 ="Premises"), 'Inputs direct labour (2)'!L60, IF(AND($B$21="PCTs", $E$21 ="Equipment"), 'Inputs direct labour (2)'!R46, IF(AND($B$21="All trusts", $E$21 ="Equipment"), 'Inputs direct labour (2)'!R20, IF(AND($B$21="All trusts", $E$21 ="Premises"), 'Inputs direct labour (2)'!R34,””))))</f>
        <v>119436.2423</v>
      </c>
      <c r="Q65" s="1553"/>
      <c r="R65" s="1319"/>
      <c r="S65" s="1319"/>
      <c r="T65" s="1319"/>
      <c r="U65" s="380"/>
    </row>
    <row r="66" spans="1:21" x14ac:dyDescent="0.2">
      <c r="A66" s="978"/>
      <c r="B66" s="1550" t="str">
        <f>IF(AND($B$21="PCTs", $E$21 ="Premises"), 'Inputs direct labour (2)'!D61, IF(AND($B$21="PCTs", $E$21 ="Equipment"), 'Inputs direct labour (2)'!D47, IF(AND($B$21="All trusts", $E$21 ="Equipment"), 'Inputs direct labour (2)'!D21, IF(AND($B$21="All trusts", $E$21 ="Premises"), 'Inputs direct labour (2)'!D35,””))))</f>
        <v>Computer Hardware-Maintenance &amp; Data Processing Contracts</v>
      </c>
      <c r="C66" s="1550"/>
      <c r="D66" s="1550"/>
      <c r="E66" s="1550">
        <f>IF(AND($B$21="PCTs", $E$21 ="Premises"), 'Inputs direct labour (2)'!A61, IF(AND($B$21="PCTs", $E$21 ="Equipment"), 'Inputs direct labour (2)'!A47, IF(AND($B$21="All trusts", $E$21 ="Equipment"), 'Inputs direct labour (2)'!G21, IF(AND($B$21="All trusts", $E$21 ="Premises"), 'Inputs direct labour (2)'!G35,””))))</f>
        <v>176200.87899999999</v>
      </c>
      <c r="F66" s="1550">
        <f>IF(AND($B$21="PCTs", $E$21 ="Premises"), 'Inputs direct labour (2)'!B61, IF(AND($B$21="PCTs", $E$21 ="Equipment"), 'Inputs direct labour (2)'!B47, IF(AND($B$21="All trusts", $E$21 ="Equipment"), 'Inputs direct labour (2)'!H21, IF(AND($B$21="All trusts", $E$21 ="Premises"), 'Inputs direct labour (2)'!H35,””))))</f>
        <v>173949.31</v>
      </c>
      <c r="G66" s="1550">
        <f>IF(AND($B$21="PCTs", $E$21 ="Premises"), 'Inputs direct labour (2)'!C61, IF(AND($B$21="PCTs", $E$21 ="Equipment"), 'Inputs direct labour (2)'!C47, IF(AND($B$21="All trusts", $E$21 ="Equipment"), 'Inputs direct labour (2)'!I21, IF(AND($B$21="All trusts", $E$21 ="Premises"), 'Inputs direct labour (2)'!I35,””))))</f>
        <v>169942.87400000001</v>
      </c>
      <c r="H66" s="1550">
        <f>IF(AND($B$21="PCTs", $E$21 ="Premises"), 'Inputs direct labour (2)'!D61, IF(AND($B$21="PCTs", $E$21 ="Equipment"), 'Inputs direct labour (2)'!D47, IF(AND($B$21="All trusts", $E$21 ="Equipment"), 'Inputs direct labour (2)'!J21, IF(AND($B$21="All trusts", $E$21 ="Premises"), 'Inputs direct labour (2)'!J35,””))))</f>
        <v>177309.13800000001</v>
      </c>
      <c r="I66" s="1550">
        <f>IF(AND($B$21="PCTs", $E$21 ="Premises"), 'Inputs direct labour (2)'!E61, IF(AND($B$21="PCTs", $E$21 ="Equipment"), 'Inputs direct labour (2)'!K47, IF(AND($B$21="All trusts", $E$21 ="Equipment"), 'Inputs direct labour (2)'!K21, IF(AND($B$21="All trusts", $E$21 ="Premises"), 'Inputs direct labour (2)'!K35,””))))</f>
        <v>153909.17956000002</v>
      </c>
      <c r="J66" s="1550">
        <f>IF(AND($B$21="PCTs", $E$21 ="Premises"), 'Inputs direct labour (2)'!F61, IF(AND($B$21="PCTs", $E$21 ="Equipment"), 'Inputs direct labour (2)'!L47, IF(AND($B$21="All trusts", $E$21 ="Equipment"), 'Inputs direct labour (2)'!L21, IF(AND($B$21="All trusts", $E$21 ="Premises"), 'Inputs direct labour (2)'!L35,””))))</f>
        <v>153539</v>
      </c>
      <c r="K66" s="1550">
        <f>IF(AND($B$21="PCTs", $E$21 ="Premises"), 'Inputs direct labour (2)'!G61, IF(AND($B$21="PCTs", $E$21 ="Equipment"), 'Inputs direct labour (2)'!M47, IF(AND($B$21="All trusts", $E$21 ="Equipment"), 'Inputs direct labour (2)'!M21, IF(AND($B$21="All trusts", $E$21 ="Premises"), 'Inputs direct labour (2)'!M35,””))))</f>
        <v>144839</v>
      </c>
      <c r="L66" s="1550">
        <f>IF(AND($B$21="PCTs", $E$21 ="Premises"), 'Inputs direct labour (2)'!H61, IF(AND($B$21="PCTs", $E$21 ="Equipment"), 'Inputs direct labour (2)'!N47, IF(AND($B$21="All trusts", $E$21 ="Equipment"), 'Inputs direct labour (2)'!N21, IF(AND($B$21="All trusts", $E$21 ="Premises"), 'Inputs direct labour (2)'!N35,””))))</f>
        <v>135976</v>
      </c>
      <c r="M66" s="1550">
        <f>IF(AND($B$21="PCTs", $E$21 ="Premises"), 'Inputs direct labour (2)'!I61, IF(AND($B$21="PCTs", $E$21 ="Equipment"), 'Inputs direct labour (2)'!O47, IF(AND($B$21="All trusts", $E$21 ="Equipment"), 'Inputs direct labour (2)'!O21, IF(AND($B$21="All trusts", $E$21 ="Premises"), 'Inputs direct labour (2)'!O35,””))))</f>
        <v>122961.24986</v>
      </c>
      <c r="N66" s="1550">
        <f>IF(AND($B$21="PCTs", $E$21 ="Premises"), 'Inputs direct labour (2)'!J61, IF(AND($B$21="PCTs", $E$21 ="Equipment"), 'Inputs direct labour (2)'!P47, IF(AND($B$21="All trusts", $E$21 ="Equipment"), 'Inputs direct labour (2)'!P21, IF(AND($B$21="All trusts", $E$21 ="Premises"), 'Inputs direct labour (2)'!P35,””))))</f>
        <v>118482.63475</v>
      </c>
      <c r="O66" s="1550">
        <f>IF(AND($B$21="PCTs", $E$21 ="Premises"), 'Inputs direct labour (2)'!K61, IF(AND($B$21="PCTs", $E$21 ="Equipment"), 'Inputs direct labour (2)'!Q47, IF(AND($B$21="All trusts", $E$21 ="Equipment"), 'Inputs direct labour (2)'!Q21, IF(AND($B$21="All trusts", $E$21 ="Premises"), 'Inputs direct labour (2)'!Q35,””))))</f>
        <v>126216</v>
      </c>
      <c r="P66" s="1550">
        <f>IF(AND($B$21="PCTs", $E$21 ="Premises"), 'Inputs direct labour (2)'!L61, IF(AND($B$21="PCTs", $E$21 ="Equipment"), 'Inputs direct labour (2)'!R47, IF(AND($B$21="All trusts", $E$21 ="Equipment"), 'Inputs direct labour (2)'!R21, IF(AND($B$21="All trusts", $E$21 ="Premises"), 'Inputs direct labour (2)'!R35,””))))</f>
        <v>139534.50134000002</v>
      </c>
      <c r="Q66" s="1553"/>
      <c r="R66" s="1319"/>
      <c r="S66" s="1319"/>
      <c r="T66" s="1319"/>
      <c r="U66" s="380"/>
    </row>
    <row r="67" spans="1:21" x14ac:dyDescent="0.2">
      <c r="A67" s="978"/>
      <c r="B67" s="1545"/>
      <c r="C67" s="1554"/>
      <c r="D67" s="1554"/>
      <c r="E67" s="1554"/>
      <c r="F67" s="1554"/>
      <c r="G67" s="1555"/>
      <c r="H67" s="1555"/>
      <c r="I67" s="1556"/>
      <c r="J67" s="1557"/>
      <c r="K67" s="1553"/>
      <c r="L67" s="1319"/>
      <c r="M67" s="1319"/>
      <c r="N67" s="1319"/>
      <c r="O67" s="1319"/>
      <c r="P67" s="1319"/>
      <c r="Q67" s="1319"/>
      <c r="R67" s="1319"/>
      <c r="S67" s="1319"/>
      <c r="T67" s="1319"/>
      <c r="U67" s="380"/>
    </row>
    <row r="68" spans="1:21" x14ac:dyDescent="0.2">
      <c r="A68" s="567"/>
      <c r="B68" s="1558"/>
      <c r="C68" s="1559" t="s">
        <v>390</v>
      </c>
      <c r="D68" s="1559" t="s">
        <v>504</v>
      </c>
      <c r="E68" s="1559" t="s">
        <v>501</v>
      </c>
      <c r="F68" s="1559" t="s">
        <v>502</v>
      </c>
      <c r="G68" s="1560" t="s">
        <v>503</v>
      </c>
      <c r="H68" s="1561"/>
      <c r="I68" s="1562"/>
      <c r="J68" s="1563"/>
      <c r="K68" s="1553"/>
      <c r="L68" s="1319"/>
      <c r="M68" s="1319"/>
      <c r="N68" s="1319"/>
      <c r="O68" s="1319"/>
      <c r="P68" s="1319"/>
      <c r="Q68" s="1319"/>
      <c r="R68" s="1319"/>
      <c r="S68" s="1319"/>
      <c r="T68" s="1319"/>
      <c r="U68" s="380"/>
    </row>
    <row r="69" spans="1:21" x14ac:dyDescent="0.2">
      <c r="A69" s="567"/>
      <c r="B69" s="1561"/>
      <c r="C69" s="1320">
        <f>P58</f>
        <v>1280420.3132</v>
      </c>
      <c r="D69" s="1320">
        <f t="shared" ref="D69:D74" si="14">IF(P58 &gt; O58,1,0)</f>
        <v>1</v>
      </c>
      <c r="E69" s="1320">
        <f t="shared" ref="E69:E77" si="15">MIN(C58:P58)</f>
        <v>1111880.65277</v>
      </c>
      <c r="F69" s="1320">
        <f t="shared" ref="F69:F77" si="16">MAX(C58:P58)</f>
        <v>1547042.2069999999</v>
      </c>
      <c r="G69" s="1561"/>
      <c r="H69" s="1561"/>
      <c r="I69" s="1562"/>
      <c r="J69" s="1552"/>
      <c r="K69" s="1553"/>
      <c r="L69" s="1319"/>
      <c r="M69" s="1319"/>
      <c r="N69" s="1319"/>
      <c r="O69" s="1319"/>
      <c r="P69" s="1319"/>
      <c r="Q69" s="1319"/>
      <c r="R69" s="1319"/>
      <c r="S69" s="1319"/>
      <c r="T69" s="1319"/>
      <c r="U69" s="380"/>
    </row>
    <row r="70" spans="1:21" x14ac:dyDescent="0.2">
      <c r="A70" s="567"/>
      <c r="B70" s="1564"/>
      <c r="C70" s="1320">
        <f t="shared" ref="C70:C77" si="17">P59</f>
        <v>128416.43861</v>
      </c>
      <c r="D70" s="1320">
        <f t="shared" si="14"/>
        <v>1</v>
      </c>
      <c r="E70" s="1320">
        <f t="shared" si="15"/>
        <v>81039.377999999997</v>
      </c>
      <c r="F70" s="1320">
        <f t="shared" si="16"/>
        <v>128416.43861</v>
      </c>
      <c r="G70" s="1561"/>
      <c r="H70" s="1564"/>
      <c r="I70" s="1565"/>
      <c r="J70" s="1552"/>
      <c r="K70" s="1553"/>
      <c r="L70" s="1319"/>
      <c r="M70" s="1319"/>
      <c r="N70" s="1319"/>
      <c r="O70" s="1319"/>
      <c r="P70" s="1319"/>
      <c r="Q70" s="1319"/>
      <c r="R70" s="1319"/>
      <c r="S70" s="1319"/>
      <c r="T70" s="1319"/>
      <c r="U70" s="380"/>
    </row>
    <row r="71" spans="1:21" x14ac:dyDescent="0.2">
      <c r="A71" s="978"/>
      <c r="B71" s="1564"/>
      <c r="C71" s="1320">
        <f t="shared" si="17"/>
        <v>19702.048640000001</v>
      </c>
      <c r="D71" s="1320">
        <f t="shared" si="14"/>
        <v>0</v>
      </c>
      <c r="E71" s="1320">
        <f t="shared" si="15"/>
        <v>19702.048640000001</v>
      </c>
      <c r="F71" s="1320">
        <f t="shared" si="16"/>
        <v>33498</v>
      </c>
      <c r="G71" s="1561"/>
      <c r="H71" s="1566"/>
      <c r="I71" s="1565"/>
      <c r="J71" s="1322"/>
      <c r="K71" s="1319"/>
      <c r="L71" s="1319"/>
      <c r="M71" s="1319"/>
      <c r="N71" s="1319"/>
      <c r="O71" s="1319"/>
      <c r="P71" s="1319"/>
      <c r="Q71" s="1319"/>
      <c r="R71" s="1319"/>
      <c r="S71" s="1319"/>
      <c r="T71" s="1319"/>
      <c r="U71" s="380"/>
    </row>
    <row r="72" spans="1:21" x14ac:dyDescent="0.2">
      <c r="A72" s="978"/>
      <c r="B72" s="1564"/>
      <c r="C72" s="1320">
        <f t="shared" si="17"/>
        <v>41116.248149999999</v>
      </c>
      <c r="D72" s="1320">
        <f t="shared" si="14"/>
        <v>0</v>
      </c>
      <c r="E72" s="1320">
        <f t="shared" si="15"/>
        <v>41116.248149999999</v>
      </c>
      <c r="F72" s="1320">
        <f t="shared" si="16"/>
        <v>62411.559000000001</v>
      </c>
      <c r="G72" s="1561"/>
      <c r="H72" s="1566"/>
      <c r="I72" s="1565"/>
      <c r="J72" s="1322"/>
      <c r="K72" s="1319"/>
      <c r="L72" s="1319"/>
      <c r="M72" s="1319"/>
      <c r="N72" s="1319"/>
      <c r="O72" s="1319"/>
      <c r="P72" s="1319"/>
      <c r="Q72" s="1319"/>
      <c r="R72" s="1319"/>
      <c r="S72" s="1319"/>
      <c r="T72" s="1319"/>
      <c r="U72" s="380"/>
    </row>
    <row r="73" spans="1:21" x14ac:dyDescent="0.2">
      <c r="A73" s="978"/>
      <c r="B73" s="1564"/>
      <c r="C73" s="1320">
        <f t="shared" si="17"/>
        <v>290496.9754</v>
      </c>
      <c r="D73" s="1320">
        <f t="shared" si="14"/>
        <v>0</v>
      </c>
      <c r="E73" s="1320">
        <f t="shared" si="15"/>
        <v>249935.55568000002</v>
      </c>
      <c r="F73" s="1320">
        <f t="shared" si="16"/>
        <v>296065</v>
      </c>
      <c r="G73" s="1561"/>
      <c r="H73" s="1566"/>
      <c r="I73" s="1565"/>
      <c r="J73" s="1322"/>
      <c r="K73" s="1319"/>
      <c r="L73" s="1319"/>
      <c r="M73" s="1319"/>
      <c r="N73" s="1319"/>
      <c r="O73" s="1319"/>
      <c r="P73" s="1319"/>
      <c r="Q73" s="1319"/>
      <c r="R73" s="1319"/>
      <c r="S73" s="1319"/>
      <c r="T73" s="1319"/>
      <c r="U73" s="380"/>
    </row>
    <row r="74" spans="1:21" x14ac:dyDescent="0.2">
      <c r="A74" s="978"/>
      <c r="B74" s="1564"/>
      <c r="C74" s="1320">
        <f t="shared" si="17"/>
        <v>260896.01750000002</v>
      </c>
      <c r="D74" s="1320">
        <f t="shared" si="14"/>
        <v>1</v>
      </c>
      <c r="E74" s="1320">
        <f t="shared" si="15"/>
        <v>240885.799</v>
      </c>
      <c r="F74" s="1320">
        <f t="shared" si="16"/>
        <v>298137.36599999998</v>
      </c>
      <c r="G74" s="1561"/>
      <c r="H74" s="1566"/>
      <c r="I74" s="1565"/>
      <c r="J74" s="1322"/>
      <c r="K74" s="1319"/>
      <c r="L74" s="1319"/>
      <c r="M74" s="1319"/>
      <c r="N74" s="1319"/>
      <c r="O74" s="1319"/>
      <c r="P74" s="1319"/>
      <c r="Q74" s="1319"/>
      <c r="R74" s="1319"/>
      <c r="S74" s="1319"/>
      <c r="T74" s="1319"/>
      <c r="U74" s="380"/>
    </row>
    <row r="75" spans="1:21" x14ac:dyDescent="0.2">
      <c r="A75" s="978"/>
      <c r="B75" s="1541"/>
      <c r="C75" s="1320">
        <f t="shared" si="17"/>
        <v>22742.926899999999</v>
      </c>
      <c r="D75" s="1567"/>
      <c r="E75" s="1320">
        <f t="shared" si="15"/>
        <v>20895</v>
      </c>
      <c r="F75" s="1320">
        <f t="shared" si="16"/>
        <v>29163</v>
      </c>
      <c r="G75" s="1561"/>
      <c r="H75" s="1564"/>
      <c r="I75" s="1322"/>
      <c r="J75" s="1322"/>
      <c r="K75" s="1319"/>
      <c r="L75" s="1319"/>
      <c r="M75" s="1319"/>
      <c r="N75" s="1319"/>
      <c r="O75" s="1319"/>
      <c r="P75" s="1319"/>
      <c r="Q75" s="1319"/>
      <c r="R75" s="1319"/>
      <c r="S75" s="1319"/>
      <c r="T75" s="1319"/>
      <c r="U75" s="380"/>
    </row>
    <row r="76" spans="1:21" x14ac:dyDescent="0.2">
      <c r="A76" s="978"/>
      <c r="B76" s="1564"/>
      <c r="C76" s="1320">
        <f t="shared" si="17"/>
        <v>119436.2423</v>
      </c>
      <c r="D76" s="1567"/>
      <c r="E76" s="1320">
        <f t="shared" si="15"/>
        <v>105856</v>
      </c>
      <c r="F76" s="1320">
        <f t="shared" si="16"/>
        <v>267669.34700000001</v>
      </c>
      <c r="G76" s="1561"/>
      <c r="H76" s="1568"/>
      <c r="I76" s="1569"/>
      <c r="J76" s="1322"/>
      <c r="K76" s="1319"/>
      <c r="L76" s="1319"/>
      <c r="M76" s="1319"/>
      <c r="N76" s="1319"/>
      <c r="O76" s="1319"/>
      <c r="P76" s="1319"/>
      <c r="Q76" s="1319"/>
      <c r="R76" s="1319"/>
      <c r="S76" s="1319"/>
      <c r="T76" s="1319"/>
      <c r="U76" s="380"/>
    </row>
    <row r="77" spans="1:21" x14ac:dyDescent="0.2">
      <c r="A77" s="567"/>
      <c r="B77" s="1564"/>
      <c r="C77" s="1320">
        <f t="shared" si="17"/>
        <v>139534.50134000002</v>
      </c>
      <c r="D77" s="1567"/>
      <c r="E77" s="1320">
        <f t="shared" si="15"/>
        <v>118482.63475</v>
      </c>
      <c r="F77" s="1320">
        <f t="shared" si="16"/>
        <v>177309.13800000001</v>
      </c>
      <c r="G77" s="1561"/>
      <c r="H77" s="1564"/>
      <c r="I77" s="1322"/>
      <c r="J77" s="1322"/>
      <c r="K77" s="1319"/>
      <c r="L77" s="1319"/>
      <c r="M77" s="1319"/>
      <c r="N77" s="1319"/>
      <c r="O77" s="1319"/>
      <c r="P77" s="1319"/>
      <c r="Q77" s="1319"/>
      <c r="R77" s="1319"/>
      <c r="S77" s="1319"/>
      <c r="T77" s="1319"/>
      <c r="U77" s="380"/>
    </row>
    <row r="78" spans="1:21" x14ac:dyDescent="0.2">
      <c r="A78" s="567"/>
      <c r="B78" s="1564"/>
      <c r="C78" s="1320"/>
      <c r="D78" s="1567"/>
      <c r="E78" s="1321"/>
      <c r="F78" s="1321"/>
      <c r="G78" s="1561"/>
      <c r="H78" s="1321"/>
      <c r="I78" s="1569"/>
      <c r="J78" s="1322"/>
      <c r="K78" s="1319"/>
      <c r="L78" s="1319"/>
      <c r="M78" s="1319"/>
      <c r="N78" s="1319"/>
      <c r="O78" s="1319"/>
      <c r="P78" s="1319"/>
      <c r="Q78" s="1319"/>
      <c r="R78" s="1319"/>
      <c r="S78" s="1319"/>
      <c r="T78" s="1319"/>
      <c r="U78" s="380"/>
    </row>
    <row r="79" spans="1:21" x14ac:dyDescent="0.2">
      <c r="A79" s="567"/>
      <c r="B79" s="1541"/>
      <c r="C79" s="1320"/>
      <c r="D79" s="1567"/>
      <c r="E79" s="1321"/>
      <c r="F79" s="1321"/>
      <c r="G79" s="1564"/>
      <c r="H79" s="1564"/>
      <c r="I79" s="1322"/>
      <c r="J79" s="1322"/>
      <c r="K79" s="1319"/>
      <c r="L79" s="1319"/>
      <c r="M79" s="1319"/>
      <c r="N79" s="1319"/>
      <c r="O79" s="1319"/>
      <c r="P79" s="1319"/>
      <c r="Q79" s="1319"/>
      <c r="R79" s="1319"/>
      <c r="S79" s="1319"/>
      <c r="T79" s="1319"/>
      <c r="U79" s="380"/>
    </row>
    <row r="80" spans="1:21" x14ac:dyDescent="0.2">
      <c r="A80" s="567"/>
      <c r="B80" s="1564"/>
      <c r="C80" s="1320"/>
      <c r="D80" s="1567"/>
      <c r="E80" s="1321"/>
      <c r="F80" s="1321"/>
      <c r="G80" s="1568"/>
      <c r="H80" s="1568"/>
      <c r="I80" s="1570"/>
      <c r="J80" s="1322"/>
      <c r="K80" s="1319"/>
      <c r="L80" s="1319"/>
      <c r="M80" s="1319"/>
      <c r="N80" s="1319"/>
      <c r="O80" s="1319"/>
      <c r="P80" s="1319"/>
      <c r="Q80" s="1319"/>
      <c r="R80" s="1319"/>
      <c r="S80" s="1319"/>
      <c r="T80" s="651"/>
      <c r="U80" s="380"/>
    </row>
    <row r="81" spans="1:21" x14ac:dyDescent="0.2">
      <c r="A81" s="567"/>
      <c r="B81" s="1541"/>
      <c r="C81" s="1320"/>
      <c r="D81" s="1321"/>
      <c r="E81" s="1322"/>
      <c r="F81" s="1322"/>
      <c r="G81" s="1322"/>
      <c r="H81" s="1322"/>
      <c r="I81" s="1322"/>
      <c r="J81" s="1322"/>
      <c r="K81" s="1319"/>
      <c r="L81" s="1319"/>
      <c r="M81" s="1319"/>
      <c r="N81" s="1319"/>
      <c r="O81" s="1319"/>
      <c r="P81" s="1319"/>
      <c r="Q81" s="1319"/>
      <c r="R81" s="1319"/>
      <c r="S81" s="1319"/>
      <c r="T81" s="651"/>
      <c r="U81" s="380"/>
    </row>
    <row r="82" spans="1:21" x14ac:dyDescent="0.2">
      <c r="A82" s="567"/>
      <c r="B82" s="1541"/>
      <c r="C82" s="1320"/>
      <c r="D82" s="1321"/>
      <c r="E82" s="1322"/>
      <c r="F82" s="1322"/>
      <c r="G82" s="1322"/>
      <c r="H82" s="1322"/>
      <c r="I82" s="1322"/>
      <c r="J82" s="1322"/>
      <c r="K82" s="1319"/>
      <c r="L82" s="1319"/>
      <c r="M82" s="1319"/>
      <c r="N82" s="1319"/>
      <c r="O82" s="1319"/>
      <c r="P82" s="1319"/>
      <c r="Q82" s="1319"/>
      <c r="R82" s="1319"/>
      <c r="S82" s="1319"/>
      <c r="T82" s="651"/>
      <c r="U82" s="380"/>
    </row>
    <row r="83" spans="1:21" x14ac:dyDescent="0.2">
      <c r="A83" s="567"/>
      <c r="B83" s="1541"/>
      <c r="C83" s="1320"/>
      <c r="D83" s="1321"/>
      <c r="E83" s="1322"/>
      <c r="F83" s="1322"/>
      <c r="G83" s="1322"/>
      <c r="H83" s="1322"/>
      <c r="I83" s="1322"/>
      <c r="J83" s="1322"/>
      <c r="K83" s="1319"/>
      <c r="L83" s="1319"/>
      <c r="M83" s="1319"/>
      <c r="N83" s="1319"/>
      <c r="O83" s="1319"/>
      <c r="P83" s="1319"/>
      <c r="Q83" s="1319"/>
      <c r="R83" s="1319"/>
      <c r="S83" s="1319"/>
      <c r="T83" s="651"/>
      <c r="U83" s="380"/>
    </row>
    <row r="84" spans="1:21" x14ac:dyDescent="0.2">
      <c r="A84" s="567"/>
      <c r="B84" s="1541"/>
      <c r="C84" s="1320"/>
      <c r="D84" s="1321"/>
      <c r="E84" s="1322"/>
      <c r="F84" s="1322"/>
      <c r="G84" s="1322"/>
      <c r="H84" s="1322"/>
      <c r="I84" s="1322"/>
      <c r="J84" s="1322"/>
      <c r="K84" s="1319"/>
      <c r="L84" s="1319"/>
      <c r="M84" s="1319"/>
      <c r="N84" s="1319"/>
      <c r="O84" s="1319"/>
      <c r="P84" s="1319"/>
      <c r="Q84" s="1319"/>
      <c r="R84" s="1319"/>
      <c r="S84" s="1319"/>
      <c r="T84" s="651"/>
      <c r="U84" s="380"/>
    </row>
    <row r="85" spans="1:21" x14ac:dyDescent="0.2">
      <c r="A85" s="567"/>
      <c r="B85" s="1543"/>
      <c r="C85" s="1542" t="s">
        <v>56</v>
      </c>
      <c r="D85" s="1542" t="s">
        <v>265</v>
      </c>
      <c r="E85" s="1542" t="s">
        <v>266</v>
      </c>
      <c r="F85" s="1542" t="s">
        <v>158</v>
      </c>
      <c r="G85" s="1322"/>
      <c r="H85" s="1322"/>
      <c r="I85" s="1322"/>
      <c r="J85" s="1322"/>
      <c r="K85" s="1319"/>
      <c r="L85" s="1319"/>
      <c r="M85" s="1319"/>
      <c r="N85" s="1319"/>
      <c r="O85" s="1319"/>
      <c r="P85" s="1319"/>
      <c r="Q85" s="1319"/>
      <c r="R85" s="1319"/>
      <c r="S85" s="1319"/>
      <c r="T85" s="651"/>
      <c r="U85" s="380"/>
    </row>
    <row r="86" spans="1:21" x14ac:dyDescent="0.2">
      <c r="A86" s="567"/>
      <c r="B86" s="1543" t="s">
        <v>68</v>
      </c>
      <c r="C86" s="1571"/>
      <c r="D86" s="1571"/>
      <c r="E86" s="1572">
        <v>4421465.1339764148</v>
      </c>
      <c r="F86" s="1571"/>
      <c r="G86" s="1322"/>
      <c r="H86" s="1322"/>
      <c r="I86" s="1322"/>
      <c r="J86" s="1322"/>
      <c r="K86" s="1319"/>
      <c r="L86" s="1319"/>
      <c r="M86" s="1319"/>
      <c r="N86" s="1319"/>
      <c r="O86" s="1319"/>
      <c r="P86" s="1319"/>
      <c r="Q86" s="1319"/>
      <c r="R86" s="1319"/>
      <c r="S86" s="1319"/>
      <c r="T86" s="651"/>
      <c r="U86" s="380"/>
    </row>
    <row r="87" spans="1:21" x14ac:dyDescent="0.2">
      <c r="A87" s="567"/>
      <c r="B87" s="1543" t="s">
        <v>69</v>
      </c>
      <c r="C87" s="1571"/>
      <c r="D87" s="1571"/>
      <c r="E87" s="1572">
        <v>5047095.5</v>
      </c>
      <c r="F87" s="1571"/>
      <c r="G87" s="1319"/>
      <c r="H87" s="1319"/>
      <c r="I87" s="1319"/>
      <c r="J87" s="1322"/>
      <c r="K87" s="1319"/>
      <c r="L87" s="1319"/>
      <c r="M87" s="1319"/>
      <c r="N87" s="1319"/>
      <c r="O87" s="1319"/>
      <c r="P87" s="1319"/>
      <c r="Q87" s="1319"/>
      <c r="R87" s="1319"/>
      <c r="S87" s="1319"/>
      <c r="T87" s="651"/>
      <c r="U87" s="380"/>
    </row>
    <row r="88" spans="1:21" x14ac:dyDescent="0.2">
      <c r="A88" s="567"/>
      <c r="B88" s="1543" t="s">
        <v>495</v>
      </c>
      <c r="C88" s="1571"/>
      <c r="D88" s="1571"/>
      <c r="E88" s="1572">
        <v>5692813.6799999997</v>
      </c>
      <c r="F88" s="1571"/>
      <c r="G88" s="1319"/>
      <c r="H88" s="1319"/>
      <c r="I88" s="1319"/>
      <c r="J88" s="1319"/>
      <c r="K88" s="1319"/>
      <c r="L88" s="1319"/>
      <c r="M88" s="1319"/>
      <c r="N88" s="1319"/>
      <c r="O88" s="1319"/>
      <c r="P88" s="1319"/>
      <c r="Q88" s="1319"/>
      <c r="R88" s="1319"/>
      <c r="S88" s="1319"/>
      <c r="T88" s="651"/>
      <c r="U88" s="380"/>
    </row>
    <row r="89" spans="1:21" x14ac:dyDescent="0.2">
      <c r="A89" s="567"/>
      <c r="B89" s="1543" t="s">
        <v>494</v>
      </c>
      <c r="C89" s="1571"/>
      <c r="D89" s="1571"/>
      <c r="E89" s="1572">
        <v>6597634.0729</v>
      </c>
      <c r="F89" s="1571"/>
      <c r="G89" s="1319"/>
      <c r="H89" s="1319"/>
      <c r="I89" s="1319"/>
      <c r="J89" s="1319"/>
      <c r="K89" s="1319"/>
      <c r="L89" s="1319"/>
      <c r="M89" s="1319"/>
      <c r="N89" s="1319"/>
      <c r="O89" s="1319"/>
      <c r="P89" s="1319"/>
      <c r="Q89" s="1319"/>
      <c r="R89" s="1319"/>
      <c r="S89" s="1319"/>
      <c r="T89" s="651"/>
      <c r="U89" s="380"/>
    </row>
    <row r="90" spans="1:21" x14ac:dyDescent="0.2">
      <c r="A90" s="567"/>
      <c r="B90" s="1543" t="s">
        <v>493</v>
      </c>
      <c r="C90" s="1573"/>
      <c r="D90" s="1573"/>
      <c r="E90" s="1572">
        <v>6302210.0633199997</v>
      </c>
      <c r="F90" s="1573"/>
      <c r="G90" s="1319"/>
      <c r="H90" s="1319"/>
      <c r="I90" s="1319"/>
      <c r="J90" s="1319"/>
      <c r="K90" s="1319"/>
      <c r="L90" s="1319"/>
      <c r="M90" s="1319"/>
      <c r="N90" s="1319"/>
      <c r="O90" s="1319"/>
      <c r="P90" s="1319"/>
      <c r="Q90" s="1319"/>
      <c r="R90" s="1319"/>
      <c r="S90" s="1319"/>
      <c r="T90" s="651"/>
      <c r="U90" s="380"/>
    </row>
    <row r="91" spans="1:21" x14ac:dyDescent="0.2">
      <c r="A91" s="567"/>
      <c r="B91" s="1543" t="s">
        <v>492</v>
      </c>
      <c r="C91" s="1573">
        <v>1099782.3706200002</v>
      </c>
      <c r="D91" s="1571">
        <v>19094</v>
      </c>
      <c r="E91" s="1572">
        <v>6516513.7579399999</v>
      </c>
      <c r="F91" s="1573">
        <v>7635390.1285600001</v>
      </c>
      <c r="G91" s="1319"/>
      <c r="H91" s="1319"/>
      <c r="I91" s="1319"/>
      <c r="J91" s="1319"/>
      <c r="K91" s="1319"/>
      <c r="L91" s="1319"/>
      <c r="M91" s="1319"/>
      <c r="N91" s="1319"/>
      <c r="O91" s="1319"/>
      <c r="P91" s="1319"/>
      <c r="Q91" s="1319"/>
      <c r="R91" s="1319"/>
      <c r="S91" s="1319"/>
      <c r="T91" s="651"/>
      <c r="U91" s="380"/>
    </row>
    <row r="92" spans="1:21" x14ac:dyDescent="0.2">
      <c r="A92" s="567"/>
      <c r="B92" s="1543" t="s">
        <v>192</v>
      </c>
      <c r="C92" s="1571">
        <v>675303.14700003446</v>
      </c>
      <c r="D92" s="1571">
        <v>18746</v>
      </c>
      <c r="E92" s="1572">
        <v>4421465.1339764148</v>
      </c>
      <c r="F92" s="1571">
        <v>5115514.2809764501</v>
      </c>
      <c r="G92" s="1319"/>
      <c r="H92" s="1319"/>
      <c r="I92" s="1319"/>
      <c r="J92" s="1319"/>
      <c r="K92" s="1319"/>
      <c r="L92" s="1319"/>
      <c r="M92" s="1319"/>
      <c r="N92" s="1319"/>
      <c r="O92" s="1319"/>
      <c r="P92" s="1319"/>
      <c r="Q92" s="1319"/>
      <c r="R92" s="1319"/>
      <c r="S92" s="1319"/>
      <c r="T92" s="651"/>
      <c r="U92" s="380"/>
    </row>
    <row r="93" spans="1:21" x14ac:dyDescent="0.2">
      <c r="A93" s="567"/>
      <c r="B93" s="1543" t="s">
        <v>193</v>
      </c>
      <c r="C93" s="1571">
        <v>778520.87100000004</v>
      </c>
      <c r="D93" s="1571">
        <v>14048</v>
      </c>
      <c r="E93" s="1572">
        <v>5047095.5</v>
      </c>
      <c r="F93" s="1571">
        <v>5839664.3710000003</v>
      </c>
      <c r="G93" s="1319"/>
      <c r="H93" s="1319"/>
      <c r="I93" s="1319"/>
      <c r="J93" s="1319"/>
      <c r="K93" s="1319"/>
      <c r="L93" s="1319"/>
      <c r="M93" s="1319"/>
      <c r="N93" s="1319"/>
      <c r="O93" s="1319"/>
      <c r="P93" s="1319"/>
      <c r="Q93" s="1319"/>
      <c r="R93" s="1319"/>
      <c r="S93" s="1319"/>
      <c r="T93" s="651"/>
      <c r="U93" s="380"/>
    </row>
    <row r="94" spans="1:21" x14ac:dyDescent="0.2">
      <c r="A94" s="567"/>
      <c r="B94" s="1543" t="s">
        <v>194</v>
      </c>
      <c r="C94" s="1571">
        <v>859911</v>
      </c>
      <c r="D94" s="1571">
        <v>15638</v>
      </c>
      <c r="E94" s="1572">
        <v>5692813.6799999997</v>
      </c>
      <c r="F94" s="1571">
        <v>6568362.6799999997</v>
      </c>
      <c r="G94" s="1319"/>
      <c r="H94" s="1319"/>
      <c r="I94" s="1319"/>
      <c r="J94" s="1319"/>
      <c r="K94" s="1319"/>
      <c r="L94" s="1319"/>
      <c r="M94" s="1319"/>
      <c r="N94" s="1319"/>
      <c r="O94" s="1319"/>
      <c r="P94" s="1319"/>
      <c r="Q94" s="1319"/>
      <c r="R94" s="1319"/>
      <c r="S94" s="1319"/>
      <c r="T94" s="651"/>
      <c r="U94" s="380"/>
    </row>
    <row r="95" spans="1:21" x14ac:dyDescent="0.2">
      <c r="A95" s="567"/>
      <c r="B95" s="1543" t="s">
        <v>195</v>
      </c>
      <c r="C95" s="1571">
        <v>1174841</v>
      </c>
      <c r="D95" s="1571">
        <v>12117</v>
      </c>
      <c r="E95" s="1572">
        <v>6597634.0729</v>
      </c>
      <c r="F95" s="1571">
        <v>7784592.0729</v>
      </c>
      <c r="G95" s="1319"/>
      <c r="H95" s="1319"/>
      <c r="I95" s="1319"/>
      <c r="J95" s="1319"/>
      <c r="K95" s="1319"/>
      <c r="L95" s="1319"/>
      <c r="M95" s="1319"/>
      <c r="N95" s="1319"/>
      <c r="O95" s="1319"/>
      <c r="P95" s="1319"/>
      <c r="Q95" s="1319"/>
      <c r="R95" s="1319"/>
      <c r="S95" s="1319"/>
      <c r="T95" s="651"/>
      <c r="U95" s="380"/>
    </row>
    <row r="96" spans="1:21" x14ac:dyDescent="0.2">
      <c r="A96" s="567"/>
      <c r="B96" s="1543" t="s">
        <v>196</v>
      </c>
      <c r="C96" s="1573">
        <v>1109565.85458</v>
      </c>
      <c r="D96" s="1573">
        <v>14255</v>
      </c>
      <c r="E96" s="1572">
        <v>6302210.0633199997</v>
      </c>
      <c r="F96" s="1573">
        <v>7426030.9178999998</v>
      </c>
      <c r="G96" s="1319"/>
      <c r="H96" s="1319"/>
      <c r="I96" s="1319"/>
      <c r="J96" s="1319"/>
      <c r="K96" s="1319"/>
      <c r="L96" s="1319"/>
      <c r="M96" s="1319"/>
      <c r="N96" s="1319"/>
      <c r="O96" s="1319"/>
      <c r="P96" s="1319"/>
      <c r="Q96" s="1319"/>
      <c r="R96" s="1319"/>
      <c r="S96" s="1319"/>
      <c r="T96" s="651"/>
      <c r="U96" s="380"/>
    </row>
    <row r="97" spans="1:21" x14ac:dyDescent="0.2">
      <c r="A97" s="567"/>
      <c r="B97" s="1543" t="s">
        <v>6</v>
      </c>
      <c r="C97" s="1573">
        <v>1099782.3706200002</v>
      </c>
      <c r="D97" s="1571">
        <v>19094</v>
      </c>
      <c r="E97" s="1572">
        <v>6516513.7579399999</v>
      </c>
      <c r="F97" s="1573">
        <v>7635390.1285600001</v>
      </c>
      <c r="G97" s="1319"/>
      <c r="H97" s="1319"/>
      <c r="I97" s="1319"/>
      <c r="J97" s="1319"/>
      <c r="K97" s="1319"/>
      <c r="L97" s="1319"/>
      <c r="M97" s="1319"/>
      <c r="N97" s="1319"/>
      <c r="O97" s="1319"/>
      <c r="P97" s="1319"/>
      <c r="Q97" s="1319"/>
      <c r="R97" s="1319"/>
      <c r="S97" s="1319"/>
      <c r="T97" s="651"/>
      <c r="U97" s="380"/>
    </row>
    <row r="98" spans="1:21" x14ac:dyDescent="0.2">
      <c r="A98" s="567"/>
      <c r="B98" s="1543" t="s">
        <v>7</v>
      </c>
      <c r="C98" s="1574">
        <v>1171813</v>
      </c>
      <c r="D98" s="1574">
        <v>13092</v>
      </c>
      <c r="E98" s="1574">
        <v>6839898</v>
      </c>
      <c r="F98" s="1575">
        <v>8025361</v>
      </c>
      <c r="G98" s="1319"/>
      <c r="H98" s="1319"/>
      <c r="I98" s="1319"/>
      <c r="J98" s="1319"/>
      <c r="K98" s="1319"/>
      <c r="L98" s="1319"/>
      <c r="M98" s="1319"/>
      <c r="N98" s="1319"/>
      <c r="O98" s="1319"/>
      <c r="P98" s="1319"/>
      <c r="Q98" s="1319"/>
      <c r="R98" s="1319"/>
      <c r="S98" s="1319"/>
      <c r="T98" s="651"/>
      <c r="U98" s="380"/>
    </row>
    <row r="99" spans="1:21" x14ac:dyDescent="0.2">
      <c r="A99" s="567"/>
      <c r="B99" s="1319"/>
      <c r="C99" s="1319"/>
      <c r="D99" s="1319"/>
      <c r="E99" s="1319"/>
      <c r="F99" s="1319"/>
      <c r="G99" s="1319"/>
      <c r="H99" s="1319"/>
      <c r="I99" s="1319"/>
      <c r="J99" s="1319"/>
      <c r="K99" s="1319"/>
      <c r="L99" s="1319"/>
      <c r="M99" s="1319"/>
      <c r="N99" s="1319"/>
      <c r="O99" s="1319"/>
      <c r="P99" s="1319"/>
      <c r="Q99" s="1319"/>
      <c r="R99" s="1319"/>
      <c r="S99" s="1319"/>
      <c r="T99" s="651"/>
      <c r="U99" s="380"/>
    </row>
    <row r="100" spans="1:21" x14ac:dyDescent="0.2">
      <c r="A100" s="567"/>
      <c r="B100" s="1319"/>
      <c r="C100" s="1319"/>
      <c r="D100" s="1319"/>
      <c r="E100" s="1319"/>
      <c r="F100" s="1319"/>
      <c r="G100" s="1319"/>
      <c r="H100" s="1319"/>
      <c r="I100" s="1319"/>
      <c r="J100" s="1319"/>
      <c r="K100" s="1319"/>
      <c r="L100" s="1319"/>
      <c r="M100" s="1319"/>
      <c r="N100" s="1319"/>
      <c r="O100" s="1319"/>
      <c r="P100" s="1319"/>
      <c r="Q100" s="1319"/>
      <c r="R100" s="1319"/>
      <c r="S100" s="1319"/>
      <c r="T100" s="651"/>
      <c r="U100" s="380"/>
    </row>
    <row r="101" spans="1:21" x14ac:dyDescent="0.2">
      <c r="A101" s="567"/>
      <c r="B101" s="1319"/>
      <c r="C101" s="1319"/>
      <c r="D101" s="1319"/>
      <c r="E101" s="1319"/>
      <c r="F101" s="1319"/>
      <c r="G101" s="1319"/>
      <c r="H101" s="1319"/>
      <c r="I101" s="1319"/>
      <c r="J101" s="1319"/>
      <c r="K101" s="1319"/>
      <c r="L101" s="1319"/>
      <c r="M101" s="1319"/>
      <c r="N101" s="1319"/>
      <c r="O101" s="1319"/>
      <c r="P101" s="1319"/>
      <c r="Q101" s="1319"/>
      <c r="R101" s="1319"/>
      <c r="S101" s="1319"/>
      <c r="T101" s="651"/>
      <c r="U101" s="380"/>
    </row>
    <row r="102" spans="1:21" x14ac:dyDescent="0.2">
      <c r="A102" s="567"/>
      <c r="B102" s="1319"/>
      <c r="C102" s="1319"/>
      <c r="D102" s="1319"/>
      <c r="E102" s="1319"/>
      <c r="F102" s="1319"/>
      <c r="G102" s="1319"/>
      <c r="H102" s="1319"/>
      <c r="I102" s="1319"/>
      <c r="J102" s="1319"/>
      <c r="K102" s="1319"/>
      <c r="L102" s="1319"/>
      <c r="M102" s="1319"/>
      <c r="N102" s="1319"/>
      <c r="O102" s="1319"/>
      <c r="P102" s="1319"/>
      <c r="Q102" s="1319"/>
      <c r="R102" s="1319"/>
      <c r="S102" s="1319"/>
      <c r="T102" s="651"/>
      <c r="U102" s="380"/>
    </row>
    <row r="103" spans="1:21" x14ac:dyDescent="0.2">
      <c r="A103" s="567"/>
      <c r="B103" s="1319"/>
      <c r="C103" s="1319"/>
      <c r="D103" s="1319"/>
      <c r="E103" s="1319"/>
      <c r="F103" s="1319"/>
      <c r="G103" s="1319"/>
      <c r="H103" s="1319"/>
      <c r="I103" s="1319"/>
      <c r="J103" s="1319"/>
      <c r="K103" s="1319"/>
      <c r="L103" s="1319"/>
      <c r="M103" s="1319"/>
      <c r="N103" s="1319"/>
      <c r="O103" s="1319"/>
      <c r="P103" s="1319"/>
      <c r="Q103" s="1319"/>
      <c r="R103" s="1319"/>
      <c r="S103" s="1319"/>
      <c r="T103" s="651"/>
    </row>
    <row r="104" spans="1:21" x14ac:dyDescent="0.2">
      <c r="A104" s="567"/>
      <c r="B104" s="1319"/>
      <c r="C104" s="1319"/>
      <c r="D104" s="1319"/>
      <c r="E104" s="1319"/>
      <c r="F104" s="1319"/>
      <c r="G104" s="1319"/>
      <c r="H104" s="1319"/>
      <c r="I104" s="1319"/>
      <c r="J104" s="1319"/>
      <c r="K104" s="1319"/>
      <c r="L104" s="1319"/>
      <c r="M104" s="1319"/>
      <c r="N104" s="1319"/>
      <c r="O104" s="1319"/>
      <c r="P104" s="1319"/>
      <c r="Q104" s="1319"/>
      <c r="R104" s="1319"/>
      <c r="S104" s="1319"/>
      <c r="T104" s="651"/>
    </row>
    <row r="105" spans="1:21" x14ac:dyDescent="0.2">
      <c r="A105" s="567"/>
      <c r="B105" s="1319"/>
      <c r="C105" s="1319"/>
      <c r="D105" s="1319"/>
      <c r="E105" s="1319"/>
      <c r="F105" s="1319"/>
      <c r="G105" s="1319"/>
      <c r="H105" s="1319"/>
      <c r="I105" s="1319"/>
      <c r="J105" s="1319"/>
      <c r="K105" s="1319"/>
      <c r="L105" s="1319"/>
      <c r="M105" s="1319"/>
      <c r="N105" s="1319"/>
      <c r="O105" s="1319"/>
      <c r="P105" s="1319"/>
      <c r="Q105" s="1319"/>
      <c r="R105" s="1319"/>
      <c r="S105" s="1319"/>
      <c r="T105" s="651"/>
    </row>
    <row r="106" spans="1:21" x14ac:dyDescent="0.2">
      <c r="A106" s="567"/>
      <c r="B106" s="1319"/>
      <c r="C106" s="1319"/>
      <c r="D106" s="1319"/>
      <c r="E106" s="1319"/>
      <c r="F106" s="1319"/>
      <c r="G106" s="1319"/>
      <c r="H106" s="1319"/>
      <c r="I106" s="1319"/>
      <c r="J106" s="1319"/>
      <c r="K106" s="1319"/>
      <c r="L106" s="1319"/>
      <c r="M106" s="1319"/>
      <c r="N106" s="1319"/>
      <c r="O106" s="1319"/>
      <c r="P106" s="1319"/>
      <c r="Q106" s="1319"/>
      <c r="R106" s="1319"/>
      <c r="S106" s="1319"/>
      <c r="T106" s="651"/>
    </row>
    <row r="107" spans="1:21" x14ac:dyDescent="0.2">
      <c r="A107" s="567"/>
      <c r="B107" s="1319"/>
      <c r="C107" s="1319"/>
      <c r="D107" s="1319"/>
      <c r="E107" s="1319"/>
      <c r="F107" s="1319"/>
      <c r="G107" s="1319"/>
      <c r="H107" s="1319"/>
      <c r="I107" s="1319"/>
      <c r="J107" s="1319"/>
      <c r="K107" s="1319"/>
      <c r="L107" s="1319"/>
      <c r="M107" s="1319"/>
      <c r="N107" s="1319"/>
      <c r="O107" s="1319"/>
      <c r="P107" s="1319"/>
      <c r="Q107" s="1319"/>
      <c r="R107" s="1319"/>
      <c r="S107" s="1319"/>
      <c r="T107" s="651"/>
    </row>
    <row r="108" spans="1:21" x14ac:dyDescent="0.2">
      <c r="A108" s="567"/>
      <c r="B108" s="1319"/>
      <c r="C108" s="1319"/>
      <c r="D108" s="1319"/>
      <c r="E108" s="1319"/>
      <c r="F108" s="1319"/>
      <c r="G108" s="1319"/>
      <c r="H108" s="1319"/>
      <c r="I108" s="1319"/>
      <c r="J108" s="1319"/>
      <c r="K108" s="1319"/>
      <c r="L108" s="1319"/>
      <c r="M108" s="1319"/>
      <c r="N108" s="1319"/>
      <c r="O108" s="1319"/>
      <c r="P108" s="1319"/>
      <c r="Q108" s="1319"/>
      <c r="R108" s="1319"/>
      <c r="S108" s="1319"/>
      <c r="T108" s="651"/>
    </row>
    <row r="109" spans="1:21" x14ac:dyDescent="0.2">
      <c r="A109" s="567"/>
      <c r="B109" s="1319"/>
      <c r="C109" s="1319"/>
      <c r="D109" s="1319"/>
      <c r="E109" s="1319"/>
      <c r="F109" s="1319"/>
      <c r="G109" s="1319"/>
      <c r="H109" s="1319"/>
      <c r="I109" s="1319"/>
      <c r="J109" s="1319"/>
      <c r="K109" s="1319"/>
      <c r="L109" s="1319"/>
      <c r="M109" s="1319"/>
      <c r="N109" s="1319"/>
      <c r="O109" s="1319"/>
      <c r="P109" s="1319"/>
      <c r="Q109" s="1319"/>
      <c r="R109" s="1319"/>
      <c r="S109" s="1319"/>
      <c r="T109" s="651"/>
    </row>
    <row r="110" spans="1:21" x14ac:dyDescent="0.2">
      <c r="A110" s="567"/>
      <c r="B110" s="1319"/>
      <c r="C110" s="1319"/>
      <c r="D110" s="1319"/>
      <c r="E110" s="1319"/>
      <c r="F110" s="1319"/>
      <c r="G110" s="1319"/>
      <c r="H110" s="1319"/>
      <c r="I110" s="1319"/>
      <c r="J110" s="1319"/>
      <c r="K110" s="1319"/>
      <c r="L110" s="1319"/>
      <c r="M110" s="1319"/>
      <c r="N110" s="1319"/>
      <c r="O110" s="1319"/>
      <c r="P110" s="1319"/>
      <c r="Q110" s="1319"/>
      <c r="R110" s="1319"/>
      <c r="S110" s="1319"/>
      <c r="T110" s="651"/>
    </row>
    <row r="111" spans="1:21" x14ac:dyDescent="0.2">
      <c r="A111" s="567"/>
      <c r="B111" s="1319"/>
      <c r="C111" s="1319"/>
      <c r="D111" s="1319"/>
      <c r="E111" s="1319"/>
      <c r="F111" s="1319"/>
      <c r="G111" s="1319"/>
      <c r="H111" s="1319"/>
      <c r="I111" s="1319"/>
      <c r="J111" s="1319"/>
      <c r="K111" s="1319"/>
      <c r="L111" s="1319"/>
      <c r="M111" s="1319"/>
      <c r="N111" s="1319"/>
      <c r="O111" s="1319"/>
      <c r="P111" s="1319"/>
      <c r="Q111" s="1319"/>
      <c r="R111" s="1319"/>
      <c r="S111" s="1319"/>
      <c r="T111" s="651"/>
    </row>
    <row r="112" spans="1:21" x14ac:dyDescent="0.2">
      <c r="A112" s="567"/>
      <c r="B112" s="1319"/>
      <c r="C112" s="1319"/>
      <c r="D112" s="1319"/>
      <c r="E112" s="1319"/>
      <c r="F112" s="1319"/>
      <c r="G112" s="1319"/>
      <c r="H112" s="1319"/>
      <c r="I112" s="1319"/>
      <c r="J112" s="1319"/>
      <c r="K112" s="1319"/>
      <c r="L112" s="1319"/>
      <c r="M112" s="1319"/>
      <c r="N112" s="1319"/>
      <c r="O112" s="1319"/>
      <c r="P112" s="1319"/>
      <c r="Q112" s="1319"/>
      <c r="R112" s="1319"/>
      <c r="S112" s="1319"/>
      <c r="T112" s="651"/>
    </row>
    <row r="113" spans="1:20" x14ac:dyDescent="0.2">
      <c r="A113" s="567"/>
      <c r="B113" s="1319"/>
      <c r="C113" s="1319"/>
      <c r="D113" s="1319"/>
      <c r="E113" s="1319"/>
      <c r="F113" s="1319"/>
      <c r="G113" s="1319"/>
      <c r="H113" s="1319"/>
      <c r="I113" s="1319"/>
      <c r="J113" s="1319"/>
      <c r="K113" s="1319"/>
      <c r="L113" s="1319"/>
      <c r="M113" s="1319"/>
      <c r="N113" s="1319"/>
      <c r="O113" s="1319"/>
      <c r="P113" s="1319"/>
      <c r="Q113" s="1319"/>
      <c r="R113" s="1319"/>
      <c r="S113" s="1319"/>
      <c r="T113" s="651"/>
    </row>
    <row r="114" spans="1:20" x14ac:dyDescent="0.2">
      <c r="A114" s="567"/>
      <c r="B114" s="1319"/>
      <c r="C114" s="1319"/>
      <c r="D114" s="1319"/>
      <c r="E114" s="1319"/>
      <c r="F114" s="1319"/>
      <c r="G114" s="1319"/>
      <c r="H114" s="1319"/>
      <c r="I114" s="1319"/>
      <c r="J114" s="1319"/>
      <c r="K114" s="1319"/>
      <c r="L114" s="1319"/>
      <c r="M114" s="1319"/>
      <c r="N114" s="1319"/>
      <c r="O114" s="1319"/>
      <c r="P114" s="1319"/>
      <c r="Q114" s="1319"/>
      <c r="R114" s="1319"/>
      <c r="S114" s="1319"/>
      <c r="T114" s="651"/>
    </row>
    <row r="115" spans="1:20" x14ac:dyDescent="0.2">
      <c r="A115" s="567"/>
      <c r="B115" s="1319"/>
      <c r="C115" s="1319"/>
      <c r="D115" s="1319"/>
      <c r="E115" s="1319"/>
      <c r="F115" s="1319"/>
      <c r="G115" s="1319"/>
      <c r="H115" s="1319"/>
      <c r="I115" s="1319"/>
      <c r="J115" s="1319"/>
      <c r="K115" s="1319"/>
      <c r="L115" s="1319"/>
      <c r="M115" s="1319"/>
      <c r="N115" s="1319"/>
      <c r="O115" s="1319"/>
      <c r="P115" s="1319"/>
      <c r="Q115" s="1319"/>
      <c r="R115" s="1319"/>
      <c r="S115" s="1319"/>
      <c r="T115" s="651"/>
    </row>
    <row r="116" spans="1:20" x14ac:dyDescent="0.2">
      <c r="A116" s="567"/>
      <c r="B116" s="1319"/>
      <c r="C116" s="1319"/>
      <c r="D116" s="1319"/>
      <c r="E116" s="1319"/>
      <c r="F116" s="1319"/>
      <c r="G116" s="1319"/>
      <c r="H116" s="1319"/>
      <c r="I116" s="1319"/>
      <c r="J116" s="1319"/>
      <c r="K116" s="1319"/>
      <c r="L116" s="1319"/>
      <c r="M116" s="1319"/>
      <c r="N116" s="1319"/>
      <c r="O116" s="1319"/>
      <c r="P116" s="1319"/>
      <c r="Q116" s="1319"/>
      <c r="R116" s="1319"/>
      <c r="S116" s="1319"/>
      <c r="T116" s="651"/>
    </row>
    <row r="117" spans="1:20" x14ac:dyDescent="0.2">
      <c r="A117" s="567"/>
      <c r="B117" s="1319"/>
      <c r="C117" s="1319"/>
      <c r="D117" s="1319"/>
      <c r="E117" s="1319"/>
      <c r="F117" s="1319"/>
      <c r="G117" s="1319"/>
      <c r="H117" s="1319"/>
      <c r="I117" s="1319"/>
      <c r="J117" s="1319"/>
      <c r="K117" s="1319"/>
      <c r="L117" s="1319"/>
      <c r="M117" s="1319"/>
      <c r="N117" s="1319"/>
      <c r="O117" s="1319"/>
      <c r="P117" s="1319"/>
      <c r="Q117" s="1319"/>
      <c r="R117" s="1319"/>
      <c r="S117" s="1319"/>
      <c r="T117" s="651"/>
    </row>
    <row r="118" spans="1:20" x14ac:dyDescent="0.2">
      <c r="A118" s="567"/>
      <c r="B118" s="1319"/>
      <c r="C118" s="1319"/>
      <c r="D118" s="1319"/>
      <c r="E118" s="1319"/>
      <c r="F118" s="1319"/>
      <c r="G118" s="1319"/>
      <c r="H118" s="1319"/>
      <c r="I118" s="1319"/>
      <c r="J118" s="1319"/>
      <c r="K118" s="1319"/>
      <c r="L118" s="1319"/>
      <c r="M118" s="1319"/>
      <c r="N118" s="1319"/>
      <c r="O118" s="1319"/>
      <c r="P118" s="1319"/>
      <c r="Q118" s="1319"/>
      <c r="R118" s="1319"/>
      <c r="S118" s="1319"/>
      <c r="T118" s="651"/>
    </row>
    <row r="119" spans="1:20" x14ac:dyDescent="0.2">
      <c r="A119" s="567"/>
      <c r="B119" s="1319"/>
      <c r="C119" s="1319"/>
      <c r="D119" s="1319"/>
      <c r="E119" s="1319"/>
      <c r="F119" s="1319"/>
      <c r="G119" s="1319"/>
      <c r="H119" s="1319"/>
      <c r="I119" s="1319"/>
      <c r="J119" s="1319"/>
      <c r="K119" s="1319"/>
      <c r="L119" s="1319"/>
      <c r="M119" s="1319"/>
      <c r="N119" s="1319"/>
      <c r="O119" s="1319"/>
      <c r="P119" s="1319"/>
      <c r="Q119" s="1319"/>
      <c r="R119" s="1319"/>
      <c r="S119" s="1319"/>
      <c r="T119" s="651"/>
    </row>
    <row r="120" spans="1:20" x14ac:dyDescent="0.2">
      <c r="A120" s="567"/>
      <c r="B120" s="1319"/>
      <c r="C120" s="1319"/>
      <c r="D120" s="1319"/>
      <c r="E120" s="1319"/>
      <c r="F120" s="1319"/>
      <c r="G120" s="1319"/>
      <c r="H120" s="1319"/>
      <c r="I120" s="1319"/>
      <c r="J120" s="1319"/>
      <c r="K120" s="1319"/>
      <c r="L120" s="1319"/>
      <c r="M120" s="1319"/>
      <c r="N120" s="1319"/>
      <c r="O120" s="1319"/>
      <c r="P120" s="1319"/>
      <c r="Q120" s="1319"/>
      <c r="R120" s="1319"/>
      <c r="S120" s="1319"/>
      <c r="T120" s="651"/>
    </row>
    <row r="121" spans="1:20" x14ac:dyDescent="0.2">
      <c r="A121" s="567"/>
      <c r="B121" s="1319"/>
      <c r="C121" s="1319"/>
      <c r="D121" s="1319"/>
      <c r="E121" s="1319"/>
      <c r="F121" s="1319"/>
      <c r="G121" s="1319"/>
      <c r="H121" s="1319"/>
      <c r="I121" s="1319"/>
      <c r="J121" s="1319"/>
      <c r="K121" s="1319"/>
      <c r="L121" s="1319"/>
      <c r="M121" s="1319"/>
      <c r="N121" s="1319"/>
      <c r="O121" s="1319"/>
      <c r="P121" s="1319"/>
      <c r="Q121" s="1319"/>
      <c r="R121" s="1319"/>
      <c r="S121" s="1319"/>
      <c r="T121" s="651"/>
    </row>
    <row r="122" spans="1:20" x14ac:dyDescent="0.2">
      <c r="A122" s="567"/>
      <c r="B122" s="1319"/>
      <c r="C122" s="1319"/>
      <c r="D122" s="1319"/>
      <c r="E122" s="1319"/>
      <c r="F122" s="1319"/>
      <c r="G122" s="1319"/>
      <c r="H122" s="1319"/>
      <c r="I122" s="1319"/>
      <c r="J122" s="1319"/>
      <c r="K122" s="1319"/>
      <c r="L122" s="1319"/>
      <c r="M122" s="1319"/>
      <c r="N122" s="1319"/>
      <c r="O122" s="1319"/>
      <c r="P122" s="1319"/>
      <c r="Q122" s="1319"/>
      <c r="R122" s="1319"/>
      <c r="S122" s="1319"/>
      <c r="T122" s="651"/>
    </row>
    <row r="123" spans="1:20" x14ac:dyDescent="0.2">
      <c r="A123" s="567"/>
      <c r="B123" s="1319"/>
      <c r="C123" s="1319"/>
      <c r="D123" s="1319"/>
      <c r="E123" s="1319"/>
      <c r="F123" s="1319"/>
      <c r="G123" s="1319"/>
      <c r="H123" s="1319"/>
      <c r="I123" s="1319"/>
      <c r="J123" s="1319"/>
      <c r="K123" s="1319"/>
      <c r="L123" s="1319"/>
      <c r="M123" s="1319"/>
      <c r="N123" s="1319"/>
      <c r="O123" s="1319"/>
      <c r="P123" s="1319"/>
      <c r="Q123" s="1319"/>
      <c r="R123" s="1319"/>
      <c r="S123" s="1319"/>
      <c r="T123" s="651"/>
    </row>
    <row r="124" spans="1:20" x14ac:dyDescent="0.2">
      <c r="A124" s="567"/>
      <c r="B124" s="1319"/>
      <c r="C124" s="1319"/>
      <c r="D124" s="1319"/>
      <c r="E124" s="1319"/>
      <c r="F124" s="1319"/>
      <c r="G124" s="1319"/>
      <c r="H124" s="1319"/>
      <c r="I124" s="1319"/>
      <c r="J124" s="1319"/>
      <c r="K124" s="1319"/>
      <c r="L124" s="1319"/>
      <c r="M124" s="1319"/>
      <c r="N124" s="1319"/>
      <c r="O124" s="1319"/>
      <c r="P124" s="1319"/>
      <c r="Q124" s="1319"/>
      <c r="R124" s="1319"/>
      <c r="S124" s="1319"/>
      <c r="T124" s="651"/>
    </row>
    <row r="125" spans="1:20" x14ac:dyDescent="0.2">
      <c r="A125" s="567"/>
      <c r="B125" s="1319"/>
      <c r="C125" s="1319"/>
      <c r="D125" s="1319"/>
      <c r="E125" s="1319"/>
      <c r="F125" s="1319"/>
      <c r="G125" s="1319"/>
      <c r="H125" s="1319"/>
      <c r="I125" s="1319"/>
      <c r="J125" s="1319"/>
      <c r="K125" s="1319"/>
      <c r="L125" s="1319"/>
      <c r="M125" s="1319"/>
      <c r="N125" s="1319"/>
      <c r="O125" s="1319"/>
      <c r="P125" s="1319"/>
      <c r="Q125" s="1319"/>
      <c r="R125" s="1319"/>
      <c r="S125" s="1319"/>
      <c r="T125" s="651"/>
    </row>
    <row r="126" spans="1:20" x14ac:dyDescent="0.2">
      <c r="A126" s="567"/>
      <c r="B126" s="1319"/>
      <c r="C126" s="1319"/>
      <c r="D126" s="1319"/>
      <c r="E126" s="1319"/>
      <c r="F126" s="1319"/>
      <c r="G126" s="1319"/>
      <c r="H126" s="1319"/>
      <c r="I126" s="1319"/>
      <c r="J126" s="1319"/>
      <c r="K126" s="1319"/>
      <c r="L126" s="1319"/>
      <c r="M126" s="1319"/>
      <c r="N126" s="1319"/>
      <c r="O126" s="1319"/>
      <c r="P126" s="1319"/>
      <c r="Q126" s="1319"/>
      <c r="R126" s="1319"/>
      <c r="S126" s="1319"/>
      <c r="T126" s="651"/>
    </row>
    <row r="127" spans="1:20" x14ac:dyDescent="0.2">
      <c r="A127" s="567"/>
      <c r="B127" s="1319"/>
      <c r="C127" s="1319"/>
      <c r="D127" s="1319"/>
      <c r="E127" s="1319"/>
      <c r="F127" s="1319"/>
      <c r="G127" s="1319"/>
      <c r="H127" s="1319"/>
      <c r="I127" s="1319"/>
      <c r="J127" s="1319"/>
      <c r="K127" s="1319"/>
      <c r="L127" s="1319"/>
      <c r="M127" s="1319"/>
      <c r="N127" s="1319"/>
      <c r="O127" s="1319"/>
      <c r="P127" s="1319"/>
      <c r="Q127" s="1319"/>
      <c r="R127" s="1319"/>
      <c r="S127" s="1319"/>
      <c r="T127" s="651"/>
    </row>
    <row r="128" spans="1:20" x14ac:dyDescent="0.2">
      <c r="A128" s="567"/>
      <c r="B128" s="1319"/>
      <c r="C128" s="1319"/>
      <c r="D128" s="1319"/>
      <c r="E128" s="1319"/>
      <c r="F128" s="1319"/>
      <c r="G128" s="1319"/>
      <c r="H128" s="1319"/>
      <c r="I128" s="1319"/>
      <c r="J128" s="1319"/>
      <c r="K128" s="1319"/>
      <c r="L128" s="1319"/>
      <c r="M128" s="1319"/>
      <c r="N128" s="1319"/>
      <c r="O128" s="1319"/>
      <c r="P128" s="1319"/>
      <c r="Q128" s="1319"/>
      <c r="R128" s="1319"/>
      <c r="S128" s="1319"/>
      <c r="T128" s="651"/>
    </row>
    <row r="129" spans="1:20" x14ac:dyDescent="0.2">
      <c r="A129" s="567"/>
      <c r="B129" s="1319"/>
      <c r="C129" s="1319"/>
      <c r="D129" s="1319"/>
      <c r="E129" s="1319"/>
      <c r="F129" s="1319"/>
      <c r="G129" s="1319"/>
      <c r="H129" s="1319"/>
      <c r="I129" s="1319"/>
      <c r="J129" s="1319"/>
      <c r="K129" s="1319"/>
      <c r="L129" s="1319"/>
      <c r="M129" s="1319"/>
      <c r="N129" s="1319"/>
      <c r="O129" s="1319"/>
      <c r="P129" s="1319"/>
      <c r="Q129" s="1319"/>
      <c r="R129" s="1319"/>
      <c r="S129" s="1319"/>
      <c r="T129" s="651"/>
    </row>
    <row r="130" spans="1:20" x14ac:dyDescent="0.2">
      <c r="A130" s="567"/>
      <c r="B130" s="1319"/>
      <c r="C130" s="1319"/>
      <c r="D130" s="1319"/>
      <c r="E130" s="1319"/>
      <c r="F130" s="1319"/>
      <c r="G130" s="1319"/>
      <c r="H130" s="1319"/>
      <c r="I130" s="1319"/>
      <c r="J130" s="1319"/>
      <c r="K130" s="1319"/>
      <c r="L130" s="1319"/>
      <c r="M130" s="1319"/>
      <c r="N130" s="1319"/>
      <c r="O130" s="1319"/>
      <c r="P130" s="1319"/>
      <c r="Q130" s="1319"/>
      <c r="R130" s="1319"/>
      <c r="S130" s="1319"/>
      <c r="T130" s="651"/>
    </row>
    <row r="131" spans="1:20" x14ac:dyDescent="0.2">
      <c r="A131" s="567"/>
      <c r="B131" s="1319"/>
      <c r="C131" s="1319"/>
      <c r="D131" s="1319"/>
      <c r="E131" s="1319"/>
      <c r="F131" s="1319"/>
      <c r="G131" s="1319"/>
      <c r="H131" s="1319"/>
      <c r="I131" s="1319"/>
      <c r="J131" s="1319"/>
      <c r="K131" s="1319"/>
      <c r="L131" s="1319"/>
      <c r="M131" s="1319"/>
      <c r="N131" s="1319"/>
      <c r="O131" s="1319"/>
      <c r="P131" s="1319"/>
      <c r="Q131" s="1319"/>
      <c r="R131" s="1319"/>
      <c r="S131" s="1319"/>
      <c r="T131" s="651"/>
    </row>
    <row r="132" spans="1:20" x14ac:dyDescent="0.2">
      <c r="A132" s="567"/>
      <c r="B132" s="1319"/>
      <c r="C132" s="1319"/>
      <c r="D132" s="1319"/>
      <c r="E132" s="1319"/>
      <c r="F132" s="1319"/>
      <c r="G132" s="1319"/>
      <c r="H132" s="1319"/>
      <c r="I132" s="1319"/>
      <c r="J132" s="1319"/>
      <c r="K132" s="1319"/>
      <c r="L132" s="1319"/>
      <c r="M132" s="1319"/>
      <c r="N132" s="1319"/>
      <c r="O132" s="1319"/>
      <c r="P132" s="1319"/>
      <c r="Q132" s="1319"/>
      <c r="R132" s="1319"/>
      <c r="S132" s="1319"/>
      <c r="T132" s="651"/>
    </row>
    <row r="133" spans="1:20" x14ac:dyDescent="0.2">
      <c r="A133" s="567"/>
      <c r="B133" s="1319"/>
      <c r="C133" s="1319"/>
      <c r="D133" s="1319"/>
      <c r="E133" s="1319"/>
      <c r="F133" s="1319"/>
      <c r="G133" s="1319"/>
      <c r="H133" s="1319"/>
      <c r="I133" s="1319"/>
      <c r="J133" s="1319"/>
      <c r="K133" s="1319"/>
      <c r="L133" s="1319"/>
      <c r="M133" s="1319"/>
      <c r="N133" s="1319"/>
      <c r="O133" s="1319"/>
      <c r="P133" s="1319"/>
      <c r="Q133" s="1319"/>
      <c r="R133" s="1319"/>
      <c r="S133" s="1319"/>
      <c r="T133" s="651"/>
    </row>
    <row r="134" spans="1:20" x14ac:dyDescent="0.2">
      <c r="A134" s="567"/>
      <c r="B134" s="1319"/>
      <c r="C134" s="1319"/>
      <c r="D134" s="1319"/>
      <c r="E134" s="1319"/>
      <c r="F134" s="1319"/>
      <c r="G134" s="1319"/>
      <c r="H134" s="1319"/>
      <c r="I134" s="1319"/>
      <c r="J134" s="1319"/>
      <c r="K134" s="1319"/>
      <c r="L134" s="1319"/>
      <c r="M134" s="1319"/>
      <c r="N134" s="1319"/>
      <c r="O134" s="1319"/>
      <c r="P134" s="1319"/>
      <c r="Q134" s="1319"/>
      <c r="R134" s="1319"/>
      <c r="S134" s="1319"/>
      <c r="T134" s="651"/>
    </row>
    <row r="135" spans="1:20" x14ac:dyDescent="0.2">
      <c r="A135" s="567"/>
      <c r="B135" s="1319"/>
      <c r="C135" s="1319"/>
      <c r="D135" s="1319"/>
      <c r="E135" s="1319"/>
      <c r="F135" s="1319"/>
      <c r="G135" s="1319"/>
      <c r="H135" s="1319"/>
      <c r="I135" s="1319"/>
      <c r="J135" s="1319"/>
      <c r="K135" s="1319"/>
      <c r="L135" s="1319"/>
      <c r="M135" s="1319"/>
      <c r="N135" s="1319"/>
      <c r="O135" s="1319"/>
      <c r="P135" s="1319"/>
      <c r="Q135" s="1319"/>
      <c r="R135" s="1319"/>
      <c r="S135" s="1319"/>
      <c r="T135" s="651"/>
    </row>
    <row r="136" spans="1:20" x14ac:dyDescent="0.2">
      <c r="A136" s="567"/>
      <c r="B136" s="1319"/>
      <c r="C136" s="1319"/>
      <c r="D136" s="1319"/>
      <c r="E136" s="1319"/>
      <c r="F136" s="1319"/>
      <c r="G136" s="1319"/>
      <c r="H136" s="1319"/>
      <c r="I136" s="1319"/>
      <c r="J136" s="1319"/>
      <c r="K136" s="1319"/>
      <c r="L136" s="1319"/>
      <c r="M136" s="1319"/>
      <c r="N136" s="1319"/>
      <c r="O136" s="1319"/>
      <c r="P136" s="1319"/>
      <c r="Q136" s="1319"/>
      <c r="R136" s="1319"/>
      <c r="S136" s="1319"/>
      <c r="T136" s="651"/>
    </row>
    <row r="137" spans="1:20" x14ac:dyDescent="0.2">
      <c r="A137" s="567"/>
      <c r="B137" s="1319"/>
      <c r="C137" s="1319"/>
      <c r="D137" s="1319"/>
      <c r="E137" s="1319"/>
      <c r="F137" s="1319"/>
      <c r="G137" s="1319"/>
      <c r="H137" s="1319"/>
      <c r="I137" s="1319"/>
      <c r="J137" s="1319"/>
      <c r="K137" s="1319"/>
      <c r="L137" s="1319"/>
      <c r="M137" s="1319"/>
      <c r="N137" s="1319"/>
      <c r="O137" s="1319"/>
      <c r="P137" s="1319"/>
      <c r="Q137" s="1319"/>
      <c r="R137" s="1319"/>
      <c r="S137" s="1319"/>
      <c r="T137" s="651"/>
    </row>
    <row r="138" spans="1:20" x14ac:dyDescent="0.2">
      <c r="A138" s="567"/>
      <c r="B138" s="1319"/>
      <c r="C138" s="1319"/>
      <c r="D138" s="1319"/>
      <c r="E138" s="1319"/>
      <c r="F138" s="1319"/>
      <c r="G138" s="1319"/>
      <c r="H138" s="1319"/>
      <c r="I138" s="1319"/>
      <c r="J138" s="1319"/>
      <c r="K138" s="1319"/>
      <c r="L138" s="1319"/>
      <c r="M138" s="1319"/>
      <c r="N138" s="1319"/>
      <c r="O138" s="1319"/>
      <c r="P138" s="1319"/>
      <c r="Q138" s="1319"/>
      <c r="R138" s="1319"/>
      <c r="S138" s="1319"/>
      <c r="T138" s="651"/>
    </row>
    <row r="139" spans="1:20" x14ac:dyDescent="0.2">
      <c r="A139" s="567"/>
      <c r="B139" s="1319"/>
      <c r="C139" s="1319"/>
      <c r="D139" s="1319"/>
      <c r="E139" s="1319"/>
      <c r="F139" s="1319"/>
      <c r="G139" s="1319"/>
      <c r="H139" s="1319"/>
      <c r="I139" s="1319"/>
      <c r="J139" s="1319"/>
      <c r="K139" s="1319"/>
      <c r="L139" s="1319"/>
      <c r="M139" s="1319"/>
      <c r="N139" s="1319"/>
      <c r="O139" s="1319"/>
      <c r="P139" s="1319"/>
      <c r="Q139" s="1319"/>
      <c r="R139" s="1319"/>
      <c r="S139" s="1319"/>
      <c r="T139" s="651"/>
    </row>
    <row r="140" spans="1:20" x14ac:dyDescent="0.2">
      <c r="A140" s="567"/>
      <c r="B140" s="1319"/>
      <c r="C140" s="1319"/>
      <c r="D140" s="1319"/>
      <c r="E140" s="1319"/>
      <c r="F140" s="1319"/>
      <c r="G140" s="1319"/>
      <c r="H140" s="1319"/>
      <c r="I140" s="1319"/>
      <c r="J140" s="1319"/>
      <c r="K140" s="1319"/>
      <c r="L140" s="1319"/>
      <c r="M140" s="1319"/>
      <c r="N140" s="1319"/>
      <c r="O140" s="1319"/>
      <c r="P140" s="1319"/>
      <c r="Q140" s="1319"/>
      <c r="R140" s="1319"/>
      <c r="S140" s="1319"/>
      <c r="T140" s="651"/>
    </row>
    <row r="141" spans="1:20" x14ac:dyDescent="0.2">
      <c r="A141" s="567"/>
      <c r="B141" s="1319"/>
      <c r="C141" s="1319"/>
      <c r="D141" s="1319"/>
      <c r="E141" s="1319"/>
      <c r="F141" s="1319"/>
      <c r="G141" s="1319"/>
      <c r="H141" s="1319"/>
      <c r="I141" s="1319"/>
      <c r="J141" s="1319"/>
      <c r="K141" s="1319"/>
      <c r="L141" s="1319"/>
      <c r="M141" s="1319"/>
      <c r="N141" s="1319"/>
      <c r="O141" s="1319"/>
      <c r="P141" s="1319"/>
      <c r="Q141" s="1319"/>
      <c r="R141" s="1319"/>
      <c r="S141" s="1319"/>
      <c r="T141" s="651"/>
    </row>
    <row r="142" spans="1:20" x14ac:dyDescent="0.2">
      <c r="A142" s="567"/>
      <c r="B142" s="1319"/>
      <c r="C142" s="1319"/>
      <c r="D142" s="1319"/>
      <c r="E142" s="1319"/>
      <c r="F142" s="1319"/>
      <c r="G142" s="1319"/>
      <c r="H142" s="1319"/>
      <c r="I142" s="1319"/>
      <c r="J142" s="1319"/>
      <c r="K142" s="1319"/>
      <c r="L142" s="1319"/>
      <c r="M142" s="1319"/>
      <c r="N142" s="1319"/>
      <c r="O142" s="1319"/>
      <c r="P142" s="1319"/>
      <c r="Q142" s="1319"/>
      <c r="R142" s="1319"/>
      <c r="S142" s="1319"/>
      <c r="T142" s="651"/>
    </row>
    <row r="143" spans="1:20" x14ac:dyDescent="0.2">
      <c r="A143" s="567"/>
      <c r="B143" s="1319"/>
      <c r="C143" s="1319"/>
      <c r="D143" s="1319"/>
      <c r="E143" s="1319"/>
      <c r="F143" s="1319"/>
      <c r="G143" s="1319"/>
      <c r="H143" s="1319"/>
      <c r="I143" s="1319"/>
      <c r="J143" s="1319"/>
      <c r="K143" s="1319"/>
      <c r="L143" s="1319"/>
      <c r="M143" s="1319"/>
      <c r="N143" s="1319"/>
      <c r="O143" s="1319"/>
      <c r="P143" s="1319"/>
      <c r="Q143" s="1319"/>
      <c r="R143" s="1319"/>
      <c r="S143" s="1319"/>
      <c r="T143" s="651"/>
    </row>
    <row r="144" spans="1:20" x14ac:dyDescent="0.2">
      <c r="A144" s="567"/>
      <c r="B144" s="1319"/>
      <c r="C144" s="1319"/>
      <c r="D144" s="1319"/>
      <c r="E144" s="1319"/>
      <c r="F144" s="1319"/>
      <c r="G144" s="1319"/>
      <c r="H144" s="1319"/>
      <c r="I144" s="1319"/>
      <c r="J144" s="1319"/>
      <c r="K144" s="1319"/>
      <c r="L144" s="1319"/>
      <c r="M144" s="1319"/>
      <c r="N144" s="1319"/>
      <c r="O144" s="1319"/>
      <c r="P144" s="1319"/>
      <c r="Q144" s="1319"/>
      <c r="R144" s="1319"/>
      <c r="S144" s="1319"/>
      <c r="T144" s="651"/>
    </row>
    <row r="145" spans="1:20" x14ac:dyDescent="0.2">
      <c r="A145" s="567"/>
      <c r="B145" s="1319"/>
      <c r="C145" s="1319"/>
      <c r="D145" s="1319"/>
      <c r="E145" s="1319"/>
      <c r="F145" s="1319"/>
      <c r="G145" s="1319"/>
      <c r="H145" s="1319"/>
      <c r="I145" s="1319"/>
      <c r="J145" s="1319"/>
      <c r="K145" s="1319"/>
      <c r="L145" s="1319"/>
      <c r="M145" s="1319"/>
      <c r="N145" s="1319"/>
      <c r="O145" s="1319"/>
      <c r="P145" s="1319"/>
      <c r="Q145" s="1319"/>
      <c r="R145" s="1319"/>
      <c r="S145" s="1319"/>
      <c r="T145" s="651"/>
    </row>
    <row r="146" spans="1:20" x14ac:dyDescent="0.2">
      <c r="A146" s="567"/>
      <c r="B146" s="1319"/>
      <c r="C146" s="1319"/>
      <c r="D146" s="1319"/>
      <c r="E146" s="1319"/>
      <c r="F146" s="1319"/>
      <c r="G146" s="1319"/>
      <c r="H146" s="1319"/>
      <c r="I146" s="1319"/>
      <c r="J146" s="1319"/>
      <c r="K146" s="1319"/>
      <c r="L146" s="1319"/>
      <c r="M146" s="1319"/>
      <c r="N146" s="1319"/>
      <c r="O146" s="1319"/>
      <c r="P146" s="1319"/>
      <c r="Q146" s="1319"/>
      <c r="R146" s="1319"/>
      <c r="S146" s="1319"/>
      <c r="T146" s="651"/>
    </row>
    <row r="147" spans="1:20" x14ac:dyDescent="0.2">
      <c r="A147" s="567"/>
      <c r="B147" s="1319"/>
      <c r="C147" s="1319"/>
      <c r="D147" s="1319"/>
      <c r="E147" s="1319"/>
      <c r="F147" s="1319"/>
      <c r="G147" s="1319"/>
      <c r="H147" s="1319"/>
      <c r="I147" s="1319"/>
      <c r="J147" s="1319"/>
      <c r="K147" s="1319"/>
      <c r="L147" s="1319"/>
      <c r="M147" s="1319"/>
      <c r="N147" s="1319"/>
      <c r="O147" s="1319"/>
      <c r="P147" s="1319"/>
      <c r="Q147" s="1319"/>
      <c r="R147" s="1319"/>
      <c r="S147" s="1319"/>
      <c r="T147" s="651"/>
    </row>
    <row r="148" spans="1:20" x14ac:dyDescent="0.2">
      <c r="A148" s="567"/>
      <c r="B148" s="1319"/>
      <c r="C148" s="1319"/>
      <c r="D148" s="1319"/>
      <c r="E148" s="1319"/>
      <c r="F148" s="1319"/>
      <c r="G148" s="1319"/>
      <c r="H148" s="1319"/>
      <c r="I148" s="1319"/>
      <c r="J148" s="1319"/>
      <c r="K148" s="1319"/>
      <c r="L148" s="1319"/>
      <c r="M148" s="1319"/>
      <c r="N148" s="1319"/>
      <c r="O148" s="1319"/>
      <c r="P148" s="1319"/>
      <c r="Q148" s="1319"/>
      <c r="R148" s="1319"/>
      <c r="S148" s="1319"/>
      <c r="T148" s="651"/>
    </row>
    <row r="149" spans="1:20" x14ac:dyDescent="0.2">
      <c r="A149" s="567"/>
      <c r="B149" s="1319"/>
      <c r="C149" s="1319"/>
      <c r="D149" s="1319"/>
      <c r="E149" s="1319"/>
      <c r="F149" s="1319"/>
      <c r="G149" s="1319"/>
      <c r="H149" s="1319"/>
      <c r="I149" s="1319"/>
      <c r="J149" s="1319"/>
      <c r="K149" s="1319"/>
      <c r="L149" s="1319"/>
      <c r="M149" s="1319"/>
      <c r="N149" s="1319"/>
      <c r="O149" s="1319"/>
      <c r="P149" s="1319"/>
      <c r="Q149" s="1319"/>
      <c r="R149" s="1319"/>
      <c r="S149" s="1319"/>
      <c r="T149" s="651"/>
    </row>
    <row r="150" spans="1:20" x14ac:dyDescent="0.2">
      <c r="A150" s="567"/>
      <c r="B150" s="1319"/>
      <c r="C150" s="1319"/>
      <c r="D150" s="1319"/>
      <c r="E150" s="1319"/>
      <c r="F150" s="1319"/>
      <c r="G150" s="1319"/>
      <c r="H150" s="1319"/>
      <c r="I150" s="1319"/>
      <c r="J150" s="1319"/>
      <c r="K150" s="1319"/>
      <c r="L150" s="1319"/>
      <c r="M150" s="1319"/>
      <c r="N150" s="1319"/>
      <c r="O150" s="1319"/>
      <c r="P150" s="1319"/>
      <c r="Q150" s="1319"/>
      <c r="R150" s="1319"/>
      <c r="S150" s="1319"/>
      <c r="T150" s="651"/>
    </row>
    <row r="151" spans="1:20" x14ac:dyDescent="0.2">
      <c r="A151" s="567"/>
      <c r="B151" s="1319"/>
      <c r="C151" s="1319"/>
      <c r="D151" s="1319"/>
      <c r="E151" s="1319"/>
      <c r="F151" s="1319"/>
      <c r="G151" s="1319"/>
      <c r="H151" s="1319"/>
      <c r="I151" s="1319"/>
      <c r="J151" s="1319"/>
      <c r="K151" s="1319"/>
      <c r="L151" s="1319"/>
      <c r="M151" s="1319"/>
      <c r="N151" s="1319"/>
      <c r="O151" s="1319"/>
      <c r="P151" s="1319"/>
      <c r="Q151" s="1319"/>
      <c r="R151" s="1319"/>
      <c r="S151" s="1319"/>
      <c r="T151" s="651"/>
    </row>
    <row r="152" spans="1:20" x14ac:dyDescent="0.2">
      <c r="A152" s="567"/>
      <c r="B152" s="1319"/>
      <c r="C152" s="1319"/>
      <c r="D152" s="1319"/>
      <c r="E152" s="1319"/>
      <c r="F152" s="1319"/>
      <c r="G152" s="1319"/>
      <c r="H152" s="1319"/>
      <c r="I152" s="1319"/>
      <c r="J152" s="1319"/>
      <c r="K152" s="1319"/>
      <c r="L152" s="1319"/>
      <c r="M152" s="1319"/>
      <c r="N152" s="1319"/>
      <c r="O152" s="1319"/>
      <c r="P152" s="1319"/>
      <c r="Q152" s="1319"/>
      <c r="R152" s="1319"/>
      <c r="S152" s="1319"/>
      <c r="T152" s="651"/>
    </row>
    <row r="153" spans="1:20" x14ac:dyDescent="0.2">
      <c r="A153" s="567"/>
      <c r="B153" s="1319"/>
      <c r="C153" s="1319"/>
      <c r="D153" s="1319"/>
      <c r="E153" s="1319"/>
      <c r="F153" s="1319"/>
      <c r="G153" s="1319"/>
      <c r="H153" s="1319"/>
      <c r="I153" s="1319"/>
      <c r="J153" s="1319"/>
      <c r="K153" s="1319"/>
      <c r="L153" s="1319"/>
      <c r="M153" s="1319"/>
      <c r="N153" s="1319"/>
      <c r="O153" s="1319"/>
      <c r="P153" s="1319"/>
      <c r="Q153" s="1319"/>
      <c r="R153" s="1319"/>
      <c r="S153" s="1319"/>
      <c r="T153" s="651"/>
    </row>
    <row r="154" spans="1:20" x14ac:dyDescent="0.2">
      <c r="A154" s="567"/>
      <c r="B154" s="1319"/>
      <c r="C154" s="1319"/>
      <c r="D154" s="1319"/>
      <c r="E154" s="1319"/>
      <c r="F154" s="1319"/>
      <c r="G154" s="1319"/>
      <c r="H154" s="1319"/>
      <c r="I154" s="1319"/>
      <c r="J154" s="1319"/>
      <c r="K154" s="1319"/>
      <c r="L154" s="1319"/>
      <c r="M154" s="1319"/>
      <c r="N154" s="1319"/>
      <c r="O154" s="1319"/>
      <c r="P154" s="1319"/>
      <c r="Q154" s="1319"/>
      <c r="R154" s="1319"/>
      <c r="S154" s="1319"/>
      <c r="T154" s="651"/>
    </row>
    <row r="155" spans="1:20" x14ac:dyDescent="0.2">
      <c r="A155" s="567"/>
      <c r="B155" s="567"/>
      <c r="C155" s="567"/>
      <c r="D155" s="567"/>
      <c r="E155" s="567"/>
      <c r="F155" s="567"/>
      <c r="G155" s="567"/>
      <c r="H155" s="567"/>
      <c r="I155" s="567"/>
      <c r="J155" s="567"/>
      <c r="K155" s="567"/>
      <c r="L155" s="567"/>
      <c r="M155" s="567"/>
      <c r="N155" s="567"/>
      <c r="O155" s="567"/>
      <c r="P155" s="567"/>
      <c r="Q155" s="567"/>
      <c r="R155" s="1319"/>
      <c r="S155" s="1319"/>
      <c r="T155" s="651"/>
    </row>
    <row r="156" spans="1:20" x14ac:dyDescent="0.2">
      <c r="A156" s="567"/>
      <c r="B156" s="567"/>
      <c r="C156" s="567"/>
      <c r="D156" s="567"/>
      <c r="E156" s="567"/>
      <c r="F156" s="567"/>
      <c r="G156" s="567"/>
      <c r="H156" s="567"/>
      <c r="I156" s="567"/>
      <c r="J156" s="567"/>
      <c r="K156" s="567"/>
      <c r="L156" s="567"/>
      <c r="M156" s="567"/>
      <c r="N156" s="567"/>
      <c r="O156" s="567"/>
      <c r="P156" s="567"/>
      <c r="Q156" s="567"/>
      <c r="R156" s="1319"/>
      <c r="S156" s="1319"/>
      <c r="T156" s="651"/>
    </row>
    <row r="157" spans="1:20" x14ac:dyDescent="0.2">
      <c r="A157" s="567"/>
      <c r="B157" s="567"/>
      <c r="C157" s="567"/>
      <c r="D157" s="567"/>
      <c r="E157" s="567"/>
      <c r="F157" s="567"/>
      <c r="G157" s="567"/>
      <c r="H157" s="567"/>
      <c r="I157" s="567"/>
      <c r="J157" s="567"/>
      <c r="K157" s="567"/>
      <c r="L157" s="567"/>
      <c r="M157" s="567"/>
      <c r="N157" s="567"/>
      <c r="O157" s="567"/>
      <c r="P157" s="567"/>
      <c r="Q157" s="567"/>
      <c r="R157" s="1319"/>
      <c r="S157" s="1319"/>
      <c r="T157" s="651"/>
    </row>
    <row r="158" spans="1:20" x14ac:dyDescent="0.2">
      <c r="A158" s="567"/>
      <c r="B158" s="567"/>
      <c r="C158" s="567"/>
      <c r="D158" s="567"/>
      <c r="E158" s="567"/>
      <c r="F158" s="567"/>
      <c r="G158" s="567"/>
      <c r="H158" s="567"/>
      <c r="I158" s="567"/>
      <c r="J158" s="567"/>
      <c r="K158" s="567"/>
      <c r="L158" s="567"/>
      <c r="M158" s="567"/>
      <c r="N158" s="567"/>
      <c r="O158" s="567"/>
      <c r="P158" s="567"/>
      <c r="Q158" s="567"/>
      <c r="R158" s="1319"/>
      <c r="S158" s="1319"/>
      <c r="T158" s="651"/>
    </row>
    <row r="159" spans="1:20" x14ac:dyDescent="0.2">
      <c r="A159" s="567"/>
      <c r="B159" s="567"/>
      <c r="C159" s="567"/>
      <c r="D159" s="567"/>
      <c r="E159" s="567"/>
      <c r="F159" s="567"/>
      <c r="G159" s="567"/>
      <c r="H159" s="567"/>
      <c r="I159" s="567"/>
      <c r="J159" s="567"/>
      <c r="K159" s="567"/>
      <c r="L159" s="567"/>
      <c r="M159" s="567"/>
      <c r="N159" s="567"/>
      <c r="O159" s="567"/>
      <c r="P159" s="567"/>
      <c r="Q159" s="567"/>
      <c r="R159" s="1319"/>
      <c r="S159" s="1319"/>
      <c r="T159" s="651"/>
    </row>
    <row r="160" spans="1:20" x14ac:dyDescent="0.2">
      <c r="A160" s="567"/>
      <c r="B160" s="567"/>
      <c r="C160" s="567"/>
      <c r="D160" s="567"/>
      <c r="E160" s="567"/>
      <c r="F160" s="567"/>
      <c r="G160" s="567"/>
      <c r="H160" s="567"/>
      <c r="I160" s="567"/>
      <c r="J160" s="567"/>
      <c r="K160" s="567"/>
      <c r="L160" s="567"/>
      <c r="M160" s="567"/>
      <c r="N160" s="567"/>
      <c r="O160" s="567"/>
      <c r="P160" s="567"/>
      <c r="Q160" s="567"/>
      <c r="R160" s="1319"/>
      <c r="S160" s="1319"/>
      <c r="T160" s="651"/>
    </row>
    <row r="161" spans="1:20" x14ac:dyDescent="0.2">
      <c r="A161" s="567"/>
      <c r="B161" s="567"/>
      <c r="C161" s="567"/>
      <c r="D161" s="567"/>
      <c r="E161" s="567"/>
      <c r="F161" s="567"/>
      <c r="G161" s="567"/>
      <c r="H161" s="567"/>
      <c r="I161" s="567"/>
      <c r="J161" s="567"/>
      <c r="K161" s="567"/>
      <c r="L161" s="567"/>
      <c r="M161" s="567"/>
      <c r="N161" s="567"/>
      <c r="O161" s="567"/>
      <c r="P161" s="567"/>
      <c r="Q161" s="567"/>
      <c r="R161" s="1319"/>
      <c r="S161" s="1319"/>
      <c r="T161" s="651"/>
    </row>
    <row r="162" spans="1:20" x14ac:dyDescent="0.2">
      <c r="A162" s="567"/>
      <c r="B162" s="567"/>
      <c r="C162" s="567"/>
      <c r="D162" s="567"/>
      <c r="E162" s="567"/>
      <c r="F162" s="567"/>
      <c r="G162" s="567"/>
      <c r="H162" s="567"/>
      <c r="I162" s="567"/>
      <c r="J162" s="567"/>
      <c r="K162" s="567"/>
      <c r="L162" s="567"/>
      <c r="M162" s="567"/>
      <c r="N162" s="567"/>
      <c r="O162" s="567"/>
      <c r="P162" s="567"/>
      <c r="Q162" s="567"/>
      <c r="R162" s="1319"/>
      <c r="S162" s="1319"/>
      <c r="T162" s="651"/>
    </row>
    <row r="163" spans="1:20" x14ac:dyDescent="0.2">
      <c r="A163" s="567"/>
      <c r="B163" s="567"/>
      <c r="C163" s="567"/>
      <c r="D163" s="567"/>
      <c r="E163" s="567"/>
      <c r="F163" s="567"/>
      <c r="G163" s="567"/>
      <c r="H163" s="567"/>
      <c r="I163" s="567"/>
      <c r="J163" s="567"/>
      <c r="K163" s="567"/>
      <c r="L163" s="567"/>
      <c r="M163" s="567"/>
      <c r="N163" s="567"/>
      <c r="O163" s="567"/>
      <c r="P163" s="567"/>
      <c r="Q163" s="567"/>
      <c r="R163" s="1319"/>
      <c r="S163" s="1319"/>
      <c r="T163" s="651"/>
    </row>
    <row r="164" spans="1:20" x14ac:dyDescent="0.2">
      <c r="A164" s="567"/>
      <c r="B164" s="567"/>
      <c r="C164" s="567"/>
      <c r="D164" s="567"/>
      <c r="E164" s="567"/>
      <c r="F164" s="567"/>
      <c r="G164" s="567"/>
      <c r="H164" s="567"/>
      <c r="I164" s="567"/>
      <c r="J164" s="567"/>
      <c r="K164" s="567"/>
      <c r="L164" s="567"/>
      <c r="M164" s="567"/>
      <c r="N164" s="567"/>
      <c r="O164" s="567"/>
      <c r="P164" s="567"/>
      <c r="Q164" s="567"/>
      <c r="R164" s="1319"/>
      <c r="S164" s="1319"/>
      <c r="T164" s="651"/>
    </row>
    <row r="165" spans="1:20" x14ac:dyDescent="0.2">
      <c r="A165" s="567"/>
      <c r="B165" s="567"/>
      <c r="C165" s="567"/>
      <c r="D165" s="567"/>
      <c r="E165" s="567"/>
      <c r="F165" s="567"/>
      <c r="G165" s="567"/>
      <c r="H165" s="567"/>
      <c r="I165" s="567"/>
      <c r="J165" s="567"/>
      <c r="K165" s="567"/>
      <c r="L165" s="567"/>
      <c r="M165" s="567"/>
      <c r="N165" s="567"/>
      <c r="O165" s="567"/>
      <c r="P165" s="567"/>
      <c r="Q165" s="567"/>
      <c r="R165" s="1319"/>
      <c r="S165" s="1319"/>
      <c r="T165" s="651"/>
    </row>
    <row r="166" spans="1:20" x14ac:dyDescent="0.2">
      <c r="A166" s="567"/>
      <c r="B166" s="567"/>
      <c r="C166" s="567"/>
      <c r="D166" s="567"/>
      <c r="E166" s="567"/>
      <c r="F166" s="567"/>
      <c r="G166" s="567"/>
      <c r="H166" s="567"/>
      <c r="I166" s="567"/>
      <c r="J166" s="567"/>
      <c r="K166" s="567"/>
      <c r="L166" s="567"/>
      <c r="M166" s="567"/>
      <c r="N166" s="567"/>
      <c r="O166" s="567"/>
      <c r="P166" s="567"/>
      <c r="Q166" s="567"/>
      <c r="R166" s="1319"/>
      <c r="S166" s="1319"/>
      <c r="T166" s="651"/>
    </row>
    <row r="167" spans="1:20" x14ac:dyDescent="0.2">
      <c r="A167" s="567"/>
      <c r="B167" s="567"/>
      <c r="C167" s="567"/>
      <c r="D167" s="567"/>
      <c r="E167" s="567"/>
      <c r="F167" s="567"/>
      <c r="G167" s="567"/>
      <c r="H167" s="567"/>
      <c r="I167" s="567"/>
      <c r="J167" s="567"/>
      <c r="K167" s="567"/>
      <c r="L167" s="567"/>
      <c r="M167" s="567"/>
      <c r="N167" s="567"/>
      <c r="O167" s="567"/>
      <c r="P167" s="567"/>
      <c r="Q167" s="567"/>
      <c r="R167" s="1319"/>
      <c r="S167" s="1319"/>
      <c r="T167" s="651"/>
    </row>
    <row r="168" spans="1:20" x14ac:dyDescent="0.2">
      <c r="A168" s="567"/>
      <c r="B168" s="567"/>
      <c r="C168" s="567"/>
      <c r="D168" s="567"/>
      <c r="E168" s="567"/>
      <c r="F168" s="567"/>
      <c r="G168" s="567"/>
      <c r="H168" s="567"/>
      <c r="I168" s="567"/>
      <c r="J168" s="567"/>
      <c r="K168" s="567"/>
      <c r="L168" s="567"/>
      <c r="M168" s="567"/>
      <c r="N168" s="567"/>
      <c r="O168" s="567"/>
      <c r="P168" s="567"/>
      <c r="Q168" s="567"/>
      <c r="R168" s="1319"/>
      <c r="S168" s="1319"/>
      <c r="T168" s="651"/>
    </row>
    <row r="169" spans="1:20" x14ac:dyDescent="0.2">
      <c r="A169" s="567"/>
      <c r="B169" s="567"/>
      <c r="C169" s="567"/>
      <c r="D169" s="567"/>
      <c r="E169" s="567"/>
      <c r="F169" s="567"/>
      <c r="G169" s="567"/>
      <c r="H169" s="567"/>
      <c r="I169" s="567"/>
      <c r="J169" s="567"/>
      <c r="K169" s="567"/>
      <c r="L169" s="567"/>
      <c r="M169" s="567"/>
      <c r="N169" s="567"/>
      <c r="O169" s="567"/>
      <c r="P169" s="567"/>
      <c r="Q169" s="567"/>
      <c r="R169" s="1319"/>
      <c r="S169" s="1319"/>
      <c r="T169" s="651"/>
    </row>
    <row r="170" spans="1:20" x14ac:dyDescent="0.2">
      <c r="A170" s="567"/>
      <c r="B170" s="567"/>
      <c r="C170" s="567"/>
      <c r="D170" s="567"/>
      <c r="E170" s="567"/>
      <c r="F170" s="567"/>
      <c r="G170" s="567"/>
      <c r="H170" s="567"/>
      <c r="I170" s="567"/>
      <c r="J170" s="567"/>
      <c r="K170" s="567"/>
      <c r="L170" s="567"/>
      <c r="M170" s="567"/>
      <c r="N170" s="567"/>
      <c r="O170" s="567"/>
      <c r="P170" s="567"/>
      <c r="Q170" s="567"/>
      <c r="R170" s="1319"/>
      <c r="S170" s="1319"/>
      <c r="T170" s="651"/>
    </row>
    <row r="171" spans="1:20" x14ac:dyDescent="0.2">
      <c r="A171" s="567"/>
      <c r="B171" s="567"/>
      <c r="C171" s="567"/>
      <c r="D171" s="567"/>
      <c r="E171" s="567"/>
      <c r="F171" s="567"/>
      <c r="G171" s="567"/>
      <c r="H171" s="567"/>
      <c r="I171" s="567"/>
      <c r="J171" s="567"/>
      <c r="K171" s="567"/>
      <c r="L171" s="567"/>
      <c r="M171" s="567"/>
      <c r="N171" s="567"/>
      <c r="O171" s="567"/>
      <c r="P171" s="567"/>
      <c r="Q171" s="567"/>
      <c r="R171" s="1319"/>
      <c r="S171" s="1319"/>
      <c r="T171" s="651"/>
    </row>
    <row r="172" spans="1:20" x14ac:dyDescent="0.2">
      <c r="A172" s="567"/>
      <c r="B172" s="567"/>
      <c r="C172" s="567"/>
      <c r="D172" s="567"/>
      <c r="E172" s="567"/>
      <c r="F172" s="567"/>
      <c r="G172" s="567"/>
      <c r="H172" s="567"/>
      <c r="I172" s="567"/>
      <c r="J172" s="567"/>
      <c r="K172" s="567"/>
      <c r="L172" s="567"/>
      <c r="M172" s="567"/>
      <c r="N172" s="567"/>
      <c r="O172" s="567"/>
      <c r="P172" s="567"/>
      <c r="Q172" s="567"/>
      <c r="R172" s="1319"/>
      <c r="S172" s="1319"/>
      <c r="T172" s="651"/>
    </row>
    <row r="173" spans="1:20" x14ac:dyDescent="0.2">
      <c r="A173" s="567"/>
      <c r="B173" s="567"/>
      <c r="C173" s="567"/>
      <c r="D173" s="567"/>
      <c r="E173" s="567"/>
      <c r="F173" s="567"/>
      <c r="G173" s="567"/>
      <c r="H173" s="567"/>
      <c r="I173" s="567"/>
      <c r="J173" s="567"/>
      <c r="K173" s="567"/>
      <c r="L173" s="567"/>
      <c r="M173" s="567"/>
      <c r="N173" s="567"/>
      <c r="O173" s="567"/>
      <c r="P173" s="567"/>
      <c r="Q173" s="567"/>
      <c r="R173" s="1319"/>
      <c r="S173" s="1319"/>
      <c r="T173" s="651"/>
    </row>
    <row r="174" spans="1:20" x14ac:dyDescent="0.2">
      <c r="A174" s="567"/>
      <c r="B174" s="567"/>
      <c r="C174" s="567"/>
      <c r="D174" s="567"/>
      <c r="E174" s="567"/>
      <c r="F174" s="567"/>
      <c r="G174" s="567"/>
      <c r="H174" s="567"/>
      <c r="I174" s="567"/>
      <c r="J174" s="567"/>
      <c r="K174" s="567"/>
      <c r="L174" s="567"/>
      <c r="M174" s="567"/>
      <c r="N174" s="567"/>
      <c r="O174" s="567"/>
      <c r="P174" s="567"/>
      <c r="Q174" s="567"/>
      <c r="R174" s="1319"/>
      <c r="S174" s="1319"/>
      <c r="T174" s="651"/>
    </row>
    <row r="175" spans="1:20" x14ac:dyDescent="0.2">
      <c r="A175" s="567"/>
      <c r="B175" s="567"/>
      <c r="C175" s="567"/>
      <c r="D175" s="567"/>
      <c r="E175" s="567"/>
      <c r="F175" s="567"/>
      <c r="G175" s="567"/>
      <c r="H175" s="567"/>
      <c r="I175" s="567"/>
      <c r="J175" s="567"/>
      <c r="K175" s="567"/>
      <c r="L175" s="567"/>
      <c r="M175" s="567"/>
      <c r="N175" s="567"/>
      <c r="O175" s="567"/>
      <c r="P175" s="567"/>
      <c r="Q175" s="567"/>
      <c r="R175" s="1319"/>
      <c r="S175" s="1319"/>
      <c r="T175" s="651"/>
    </row>
    <row r="176" spans="1:20" x14ac:dyDescent="0.2">
      <c r="A176" s="567"/>
      <c r="B176" s="567"/>
      <c r="C176" s="567"/>
      <c r="D176" s="567"/>
      <c r="E176" s="567"/>
      <c r="F176" s="567"/>
      <c r="G176" s="567"/>
      <c r="H176" s="567"/>
      <c r="I176" s="567"/>
      <c r="J176" s="567"/>
      <c r="K176" s="567"/>
      <c r="L176" s="567"/>
      <c r="M176" s="567"/>
      <c r="N176" s="567"/>
      <c r="O176" s="567"/>
      <c r="P176" s="567"/>
      <c r="Q176" s="567"/>
      <c r="R176" s="1319"/>
      <c r="S176" s="1319"/>
      <c r="T176" s="651"/>
    </row>
    <row r="177" spans="1:20" x14ac:dyDescent="0.2">
      <c r="A177" s="567"/>
      <c r="B177" s="567"/>
      <c r="C177" s="567"/>
      <c r="D177" s="567"/>
      <c r="E177" s="567"/>
      <c r="F177" s="567"/>
      <c r="G177" s="567"/>
      <c r="H177" s="567"/>
      <c r="I177" s="567"/>
      <c r="J177" s="567"/>
      <c r="K177" s="567"/>
      <c r="L177" s="567"/>
      <c r="M177" s="567"/>
      <c r="N177" s="567"/>
      <c r="O177" s="567"/>
      <c r="P177" s="567"/>
      <c r="Q177" s="567"/>
      <c r="R177" s="1319"/>
      <c r="S177" s="1319"/>
      <c r="T177" s="651"/>
    </row>
    <row r="178" spans="1:20" x14ac:dyDescent="0.2">
      <c r="A178" s="567"/>
      <c r="B178" s="567"/>
      <c r="C178" s="567"/>
      <c r="D178" s="567"/>
      <c r="E178" s="567"/>
      <c r="F178" s="567"/>
      <c r="G178" s="567"/>
      <c r="H178" s="567"/>
      <c r="I178" s="567"/>
      <c r="J178" s="567"/>
      <c r="K178" s="567"/>
      <c r="L178" s="567"/>
      <c r="M178" s="567"/>
      <c r="N178" s="567"/>
      <c r="O178" s="567"/>
      <c r="P178" s="567"/>
      <c r="Q178" s="567"/>
      <c r="R178" s="1319"/>
      <c r="S178" s="1319"/>
      <c r="T178" s="651"/>
    </row>
    <row r="179" spans="1:20" x14ac:dyDescent="0.2">
      <c r="A179" s="567"/>
      <c r="B179" s="567"/>
      <c r="C179" s="567"/>
      <c r="D179" s="567"/>
      <c r="E179" s="567"/>
      <c r="F179" s="567"/>
      <c r="G179" s="567"/>
      <c r="H179" s="567"/>
      <c r="I179" s="567"/>
      <c r="J179" s="567"/>
      <c r="K179" s="567"/>
      <c r="L179" s="567"/>
      <c r="M179" s="567"/>
      <c r="N179" s="567"/>
      <c r="O179" s="567"/>
      <c r="P179" s="567"/>
      <c r="Q179" s="567"/>
      <c r="R179" s="1319"/>
      <c r="S179" s="1319"/>
      <c r="T179" s="651"/>
    </row>
    <row r="180" spans="1:20" x14ac:dyDescent="0.2">
      <c r="A180" s="567"/>
      <c r="B180" s="567"/>
      <c r="C180" s="567"/>
      <c r="D180" s="567"/>
      <c r="E180" s="567"/>
      <c r="F180" s="567"/>
      <c r="G180" s="567"/>
      <c r="H180" s="567"/>
      <c r="I180" s="567"/>
      <c r="J180" s="567"/>
      <c r="K180" s="567"/>
      <c r="L180" s="567"/>
      <c r="M180" s="567"/>
      <c r="N180" s="567"/>
      <c r="O180" s="567"/>
      <c r="P180" s="567"/>
      <c r="Q180" s="567"/>
      <c r="R180" s="1319"/>
      <c r="S180" s="1319"/>
      <c r="T180" s="651"/>
    </row>
    <row r="181" spans="1:20" x14ac:dyDescent="0.2">
      <c r="A181" s="567"/>
      <c r="B181" s="567"/>
      <c r="C181" s="567"/>
      <c r="D181" s="567"/>
      <c r="E181" s="567"/>
      <c r="F181" s="567"/>
      <c r="G181" s="567"/>
      <c r="H181" s="567"/>
      <c r="I181" s="567"/>
      <c r="J181" s="567"/>
      <c r="K181" s="567"/>
      <c r="L181" s="567"/>
      <c r="M181" s="567"/>
      <c r="N181" s="567"/>
      <c r="O181" s="567"/>
      <c r="P181" s="567"/>
      <c r="Q181" s="567"/>
      <c r="R181" s="1319"/>
      <c r="S181" s="1319"/>
      <c r="T181" s="651"/>
    </row>
    <row r="182" spans="1:20" x14ac:dyDescent="0.2">
      <c r="A182" s="567"/>
      <c r="B182" s="567"/>
      <c r="C182" s="567"/>
      <c r="D182" s="567"/>
      <c r="E182" s="567"/>
      <c r="F182" s="567"/>
      <c r="G182" s="567"/>
      <c r="H182" s="567"/>
      <c r="I182" s="567"/>
      <c r="J182" s="567"/>
      <c r="K182" s="567"/>
      <c r="L182" s="567"/>
      <c r="M182" s="567"/>
      <c r="N182" s="567"/>
      <c r="O182" s="567"/>
      <c r="P182" s="567"/>
      <c r="Q182" s="567"/>
      <c r="R182" s="1319"/>
      <c r="S182" s="1319"/>
      <c r="T182" s="651"/>
    </row>
    <row r="183" spans="1:20" x14ac:dyDescent="0.2">
      <c r="A183" s="567"/>
      <c r="B183" s="567"/>
      <c r="C183" s="567"/>
      <c r="D183" s="567"/>
      <c r="E183" s="567"/>
      <c r="F183" s="567"/>
      <c r="G183" s="567"/>
      <c r="H183" s="567"/>
      <c r="I183" s="567"/>
      <c r="J183" s="567"/>
      <c r="K183" s="567"/>
      <c r="L183" s="567"/>
      <c r="M183" s="567"/>
      <c r="N183" s="567"/>
      <c r="O183" s="567"/>
      <c r="P183" s="567"/>
      <c r="Q183" s="567"/>
      <c r="R183" s="1319"/>
      <c r="S183" s="1319"/>
      <c r="T183" s="651"/>
    </row>
    <row r="184" spans="1:20" x14ac:dyDescent="0.2">
      <c r="A184" s="567"/>
      <c r="B184" s="567"/>
      <c r="C184" s="567"/>
      <c r="D184" s="567"/>
      <c r="E184" s="567"/>
      <c r="F184" s="567"/>
      <c r="G184" s="567"/>
      <c r="H184" s="567"/>
      <c r="I184" s="567"/>
      <c r="J184" s="567"/>
      <c r="K184" s="567"/>
      <c r="L184" s="567"/>
      <c r="M184" s="567"/>
      <c r="N184" s="567"/>
      <c r="O184" s="567"/>
      <c r="P184" s="567"/>
      <c r="Q184" s="567"/>
      <c r="R184" s="1319"/>
      <c r="S184" s="1319"/>
      <c r="T184" s="651"/>
    </row>
    <row r="185" spans="1:20" x14ac:dyDescent="0.2">
      <c r="A185" s="567"/>
      <c r="B185" s="567"/>
      <c r="C185" s="567"/>
      <c r="D185" s="567"/>
      <c r="E185" s="567"/>
      <c r="F185" s="567"/>
      <c r="G185" s="567"/>
      <c r="H185" s="567"/>
      <c r="I185" s="567"/>
      <c r="J185" s="567"/>
      <c r="K185" s="567"/>
      <c r="L185" s="567"/>
      <c r="M185" s="567"/>
      <c r="N185" s="567"/>
      <c r="O185" s="567"/>
      <c r="P185" s="567"/>
      <c r="Q185" s="567"/>
      <c r="R185" s="1319"/>
      <c r="S185" s="1319"/>
      <c r="T185" s="651"/>
    </row>
    <row r="186" spans="1:20" x14ac:dyDescent="0.2">
      <c r="A186" s="567"/>
      <c r="B186" s="567"/>
      <c r="C186" s="567"/>
      <c r="D186" s="567"/>
      <c r="E186" s="567"/>
      <c r="F186" s="567"/>
      <c r="G186" s="567"/>
      <c r="H186" s="567"/>
      <c r="I186" s="567"/>
      <c r="J186" s="567"/>
      <c r="K186" s="567"/>
      <c r="L186" s="567"/>
      <c r="M186" s="567"/>
      <c r="N186" s="567"/>
      <c r="O186" s="567"/>
      <c r="P186" s="567"/>
      <c r="Q186" s="567"/>
      <c r="R186" s="1319"/>
      <c r="S186" s="1319"/>
      <c r="T186" s="651"/>
    </row>
    <row r="187" spans="1:20" x14ac:dyDescent="0.2">
      <c r="A187" s="567"/>
      <c r="B187" s="567"/>
      <c r="C187" s="567"/>
      <c r="D187" s="567"/>
      <c r="E187" s="567"/>
      <c r="F187" s="567"/>
      <c r="G187" s="567"/>
      <c r="H187" s="567"/>
      <c r="I187" s="567"/>
      <c r="J187" s="567"/>
      <c r="K187" s="567"/>
      <c r="L187" s="567"/>
      <c r="M187" s="567"/>
      <c r="N187" s="567"/>
      <c r="O187" s="567"/>
      <c r="P187" s="567"/>
      <c r="Q187" s="567"/>
      <c r="R187" s="1319"/>
      <c r="S187" s="1319"/>
      <c r="T187" s="651"/>
    </row>
    <row r="188" spans="1:20" x14ac:dyDescent="0.2">
      <c r="A188" s="567"/>
      <c r="B188" s="567"/>
      <c r="C188" s="567"/>
      <c r="D188" s="567"/>
      <c r="E188" s="567"/>
      <c r="F188" s="567"/>
      <c r="G188" s="567"/>
      <c r="H188" s="567"/>
      <c r="I188" s="567"/>
      <c r="J188" s="567"/>
      <c r="K188" s="567"/>
      <c r="L188" s="567"/>
      <c r="M188" s="567"/>
      <c r="N188" s="567"/>
      <c r="O188" s="567"/>
      <c r="P188" s="567"/>
      <c r="Q188" s="567"/>
      <c r="R188" s="1319"/>
      <c r="S188" s="1319"/>
      <c r="T188" s="651"/>
    </row>
    <row r="189" spans="1:20" x14ac:dyDescent="0.2">
      <c r="A189" s="567"/>
      <c r="B189" s="567"/>
      <c r="C189" s="567"/>
      <c r="D189" s="567"/>
      <c r="E189" s="567"/>
      <c r="F189" s="567"/>
      <c r="G189" s="567"/>
      <c r="H189" s="567"/>
      <c r="I189" s="567"/>
      <c r="J189" s="567"/>
      <c r="K189" s="567"/>
      <c r="L189" s="567"/>
      <c r="M189" s="567"/>
      <c r="N189" s="567"/>
      <c r="O189" s="567"/>
      <c r="P189" s="567"/>
      <c r="Q189" s="567"/>
      <c r="R189" s="1319"/>
      <c r="S189" s="1319"/>
      <c r="T189" s="651"/>
    </row>
    <row r="190" spans="1:20" x14ac:dyDescent="0.2">
      <c r="A190" s="567"/>
      <c r="B190" s="567"/>
      <c r="C190" s="567"/>
      <c r="D190" s="567"/>
      <c r="E190" s="567"/>
      <c r="F190" s="567"/>
      <c r="G190" s="567"/>
      <c r="H190" s="567"/>
      <c r="I190" s="567"/>
      <c r="J190" s="567"/>
      <c r="K190" s="567"/>
      <c r="L190" s="567"/>
      <c r="M190" s="567"/>
      <c r="N190" s="567"/>
      <c r="O190" s="567"/>
      <c r="P190" s="567"/>
      <c r="Q190" s="567"/>
      <c r="R190" s="1319"/>
      <c r="S190" s="1319"/>
      <c r="T190" s="651"/>
    </row>
    <row r="191" spans="1:20" x14ac:dyDescent="0.2">
      <c r="A191" s="567"/>
      <c r="B191" s="567"/>
      <c r="C191" s="567"/>
      <c r="D191" s="567"/>
      <c r="E191" s="567"/>
      <c r="F191" s="567"/>
      <c r="G191" s="567"/>
      <c r="H191" s="567"/>
      <c r="I191" s="567"/>
      <c r="J191" s="567"/>
      <c r="K191" s="567"/>
      <c r="L191" s="567"/>
      <c r="M191" s="567"/>
      <c r="N191" s="567"/>
      <c r="O191" s="567"/>
      <c r="P191" s="567"/>
      <c r="Q191" s="567"/>
      <c r="R191" s="1319"/>
      <c r="S191" s="1319"/>
      <c r="T191" s="651"/>
    </row>
    <row r="192" spans="1:20" x14ac:dyDescent="0.2">
      <c r="A192" s="567"/>
      <c r="B192" s="567"/>
      <c r="C192" s="567"/>
      <c r="D192" s="567"/>
      <c r="E192" s="567"/>
      <c r="F192" s="567"/>
      <c r="G192" s="567"/>
      <c r="H192" s="567"/>
      <c r="I192" s="567"/>
      <c r="J192" s="567"/>
      <c r="K192" s="567"/>
      <c r="L192" s="567"/>
      <c r="M192" s="567"/>
      <c r="N192" s="567"/>
      <c r="O192" s="567"/>
      <c r="P192" s="567"/>
      <c r="Q192" s="567"/>
      <c r="R192" s="1319"/>
      <c r="S192" s="1319"/>
      <c r="T192" s="651"/>
    </row>
    <row r="193" spans="1:20" x14ac:dyDescent="0.2">
      <c r="A193" s="567"/>
      <c r="B193" s="567"/>
      <c r="C193" s="567"/>
      <c r="D193" s="567"/>
      <c r="E193" s="567"/>
      <c r="F193" s="567"/>
      <c r="G193" s="567"/>
      <c r="H193" s="567"/>
      <c r="I193" s="567"/>
      <c r="J193" s="567"/>
      <c r="K193" s="567"/>
      <c r="L193" s="567"/>
      <c r="M193" s="567"/>
      <c r="N193" s="567"/>
      <c r="O193" s="567"/>
      <c r="P193" s="567"/>
      <c r="Q193" s="567"/>
      <c r="R193" s="1319"/>
      <c r="S193" s="1319"/>
      <c r="T193" s="651"/>
    </row>
    <row r="194" spans="1:20" x14ac:dyDescent="0.2">
      <c r="A194" s="567"/>
      <c r="B194" s="567"/>
      <c r="C194" s="567"/>
      <c r="D194" s="567"/>
      <c r="E194" s="567"/>
      <c r="F194" s="567"/>
      <c r="G194" s="567"/>
      <c r="H194" s="567"/>
      <c r="I194" s="567"/>
      <c r="J194" s="567"/>
      <c r="K194" s="567"/>
      <c r="L194" s="567"/>
      <c r="M194" s="567"/>
      <c r="N194" s="567"/>
      <c r="O194" s="567"/>
      <c r="P194" s="567"/>
      <c r="Q194" s="567"/>
      <c r="R194" s="1319"/>
      <c r="S194" s="1319"/>
      <c r="T194" s="651"/>
    </row>
    <row r="195" spans="1:20" x14ac:dyDescent="0.2">
      <c r="A195" s="567"/>
      <c r="B195" s="567"/>
      <c r="C195" s="567"/>
      <c r="D195" s="567"/>
      <c r="E195" s="567"/>
      <c r="F195" s="567"/>
      <c r="G195" s="567"/>
      <c r="H195" s="567"/>
      <c r="I195" s="567"/>
      <c r="J195" s="567"/>
      <c r="K195" s="567"/>
      <c r="L195" s="567"/>
      <c r="M195" s="567"/>
      <c r="N195" s="567"/>
      <c r="O195" s="567"/>
      <c r="P195" s="567"/>
      <c r="Q195" s="567"/>
      <c r="R195" s="1319"/>
      <c r="S195" s="1319"/>
      <c r="T195" s="651"/>
    </row>
    <row r="196" spans="1:20" x14ac:dyDescent="0.2">
      <c r="A196" s="567"/>
      <c r="B196" s="567"/>
      <c r="C196" s="567"/>
      <c r="D196" s="567"/>
      <c r="E196" s="567"/>
      <c r="F196" s="567"/>
      <c r="G196" s="567"/>
      <c r="H196" s="567"/>
      <c r="I196" s="567"/>
      <c r="J196" s="567"/>
      <c r="K196" s="567"/>
      <c r="L196" s="567"/>
      <c r="M196" s="567"/>
      <c r="N196" s="567"/>
      <c r="O196" s="567"/>
      <c r="P196" s="567"/>
      <c r="Q196" s="567"/>
      <c r="R196" s="1319"/>
      <c r="S196" s="1319"/>
      <c r="T196" s="651"/>
    </row>
    <row r="197" spans="1:20" x14ac:dyDescent="0.2">
      <c r="A197" s="567"/>
      <c r="B197" s="567"/>
      <c r="C197" s="567"/>
      <c r="D197" s="567"/>
      <c r="E197" s="567"/>
      <c r="F197" s="567"/>
      <c r="G197" s="567"/>
      <c r="H197" s="567"/>
      <c r="I197" s="567"/>
      <c r="J197" s="567"/>
      <c r="K197" s="567"/>
      <c r="L197" s="567"/>
      <c r="M197" s="567"/>
      <c r="N197" s="567"/>
      <c r="O197" s="567"/>
      <c r="P197" s="567"/>
      <c r="Q197" s="567"/>
      <c r="R197" s="1319"/>
      <c r="S197" s="1319"/>
      <c r="T197" s="651"/>
    </row>
    <row r="198" spans="1:20" x14ac:dyDescent="0.2">
      <c r="A198" s="567"/>
      <c r="B198" s="567"/>
      <c r="C198" s="567"/>
      <c r="D198" s="567"/>
      <c r="E198" s="567"/>
      <c r="F198" s="567"/>
      <c r="G198" s="567"/>
      <c r="H198" s="567"/>
      <c r="I198" s="567"/>
      <c r="J198" s="567"/>
      <c r="K198" s="567"/>
      <c r="L198" s="567"/>
      <c r="M198" s="567"/>
      <c r="N198" s="567"/>
      <c r="O198" s="567"/>
      <c r="P198" s="567"/>
      <c r="Q198" s="567"/>
      <c r="R198" s="1319"/>
      <c r="S198" s="1319"/>
      <c r="T198" s="651"/>
    </row>
    <row r="199" spans="1:20" x14ac:dyDescent="0.2">
      <c r="A199" s="567"/>
      <c r="B199" s="567"/>
      <c r="C199" s="567"/>
      <c r="D199" s="567"/>
      <c r="E199" s="567"/>
      <c r="F199" s="567"/>
      <c r="G199" s="567"/>
      <c r="H199" s="567"/>
      <c r="I199" s="567"/>
      <c r="J199" s="567"/>
      <c r="K199" s="567"/>
      <c r="L199" s="567"/>
      <c r="M199" s="567"/>
      <c r="N199" s="567"/>
      <c r="O199" s="567"/>
      <c r="P199" s="567"/>
      <c r="Q199" s="567"/>
      <c r="R199" s="1319"/>
      <c r="S199" s="1319"/>
      <c r="T199" s="651"/>
    </row>
    <row r="200" spans="1:20" x14ac:dyDescent="0.2">
      <c r="A200" s="567"/>
      <c r="B200" s="567"/>
      <c r="C200" s="567"/>
      <c r="D200" s="567"/>
      <c r="E200" s="567"/>
      <c r="F200" s="567"/>
      <c r="G200" s="567"/>
      <c r="H200" s="567"/>
      <c r="I200" s="567"/>
      <c r="J200" s="567"/>
      <c r="K200" s="567"/>
      <c r="L200" s="567"/>
      <c r="M200" s="567"/>
      <c r="N200" s="567"/>
      <c r="O200" s="567"/>
      <c r="P200" s="567"/>
      <c r="Q200" s="567"/>
      <c r="R200" s="1319"/>
      <c r="S200" s="1319"/>
      <c r="T200" s="651"/>
    </row>
    <row r="201" spans="1:20" x14ac:dyDescent="0.2">
      <c r="A201" s="567"/>
      <c r="B201" s="567"/>
      <c r="C201" s="567"/>
      <c r="D201" s="567"/>
      <c r="E201" s="567"/>
      <c r="F201" s="567"/>
      <c r="G201" s="567"/>
      <c r="H201" s="567"/>
      <c r="I201" s="567"/>
      <c r="J201" s="567"/>
      <c r="K201" s="567"/>
      <c r="L201" s="567"/>
      <c r="M201" s="567"/>
      <c r="N201" s="567"/>
      <c r="O201" s="567"/>
      <c r="P201" s="567"/>
      <c r="Q201" s="567"/>
      <c r="R201" s="1319"/>
      <c r="S201" s="1319"/>
      <c r="T201" s="651"/>
    </row>
    <row r="202" spans="1:20" x14ac:dyDescent="0.2">
      <c r="A202" s="567"/>
      <c r="B202" s="567"/>
      <c r="C202" s="567"/>
      <c r="D202" s="567"/>
      <c r="E202" s="567"/>
      <c r="F202" s="567"/>
      <c r="G202" s="567"/>
      <c r="H202" s="567"/>
      <c r="I202" s="567"/>
      <c r="J202" s="567"/>
      <c r="K202" s="567"/>
      <c r="L202" s="567"/>
      <c r="M202" s="567"/>
      <c r="N202" s="567"/>
      <c r="O202" s="567"/>
      <c r="P202" s="567"/>
      <c r="Q202" s="567"/>
      <c r="R202" s="1319"/>
      <c r="S202" s="1319"/>
      <c r="T202" s="651"/>
    </row>
    <row r="203" spans="1:20" x14ac:dyDescent="0.2">
      <c r="A203" s="567"/>
      <c r="B203" s="567"/>
      <c r="C203" s="567"/>
      <c r="D203" s="567"/>
      <c r="E203" s="567"/>
      <c r="F203" s="567"/>
      <c r="G203" s="567"/>
      <c r="H203" s="567"/>
      <c r="I203" s="567"/>
      <c r="J203" s="567"/>
      <c r="K203" s="567"/>
      <c r="L203" s="567"/>
      <c r="M203" s="567"/>
      <c r="N203" s="567"/>
      <c r="O203" s="567"/>
      <c r="P203" s="567"/>
      <c r="Q203" s="567"/>
      <c r="R203" s="1319"/>
      <c r="S203" s="1319"/>
      <c r="T203" s="651"/>
    </row>
    <row r="204" spans="1:20" x14ac:dyDescent="0.2">
      <c r="A204" s="567"/>
      <c r="B204" s="567"/>
      <c r="C204" s="567"/>
      <c r="D204" s="567"/>
      <c r="E204" s="567"/>
      <c r="F204" s="567"/>
      <c r="G204" s="567"/>
      <c r="H204" s="567"/>
      <c r="I204" s="567"/>
      <c r="J204" s="567"/>
      <c r="K204" s="567"/>
      <c r="L204" s="567"/>
      <c r="M204" s="567"/>
      <c r="N204" s="567"/>
      <c r="O204" s="567"/>
      <c r="P204" s="567"/>
      <c r="Q204" s="567"/>
      <c r="R204" s="1319"/>
      <c r="S204" s="1319"/>
      <c r="T204" s="651"/>
    </row>
    <row r="205" spans="1:20" x14ac:dyDescent="0.2">
      <c r="A205" s="567"/>
      <c r="B205" s="567"/>
      <c r="C205" s="567"/>
      <c r="D205" s="567"/>
      <c r="E205" s="567"/>
      <c r="F205" s="567"/>
      <c r="G205" s="567"/>
      <c r="H205" s="567"/>
      <c r="I205" s="567"/>
      <c r="J205" s="567"/>
      <c r="K205" s="567"/>
      <c r="L205" s="567"/>
      <c r="M205" s="567"/>
      <c r="N205" s="567"/>
      <c r="O205" s="567"/>
      <c r="P205" s="567"/>
      <c r="Q205" s="567"/>
      <c r="R205" s="1319"/>
      <c r="S205" s="1319"/>
      <c r="T205" s="651"/>
    </row>
    <row r="206" spans="1:20" x14ac:dyDescent="0.2">
      <c r="A206" s="567"/>
      <c r="B206" s="567"/>
      <c r="C206" s="567"/>
      <c r="D206" s="567"/>
      <c r="E206" s="567"/>
      <c r="F206" s="567"/>
      <c r="G206" s="567"/>
      <c r="H206" s="567"/>
      <c r="I206" s="567"/>
      <c r="J206" s="567"/>
      <c r="K206" s="567"/>
      <c r="L206" s="567"/>
      <c r="M206" s="567"/>
      <c r="N206" s="567"/>
      <c r="O206" s="567"/>
      <c r="P206" s="567"/>
      <c r="Q206" s="567"/>
      <c r="R206" s="1319"/>
      <c r="S206" s="1319"/>
      <c r="T206" s="651"/>
    </row>
    <row r="207" spans="1:20" x14ac:dyDescent="0.2">
      <c r="A207" s="567"/>
      <c r="B207" s="567"/>
      <c r="C207" s="567"/>
      <c r="D207" s="567"/>
      <c r="E207" s="567"/>
      <c r="F207" s="567"/>
      <c r="G207" s="567"/>
      <c r="H207" s="567"/>
      <c r="I207" s="567"/>
      <c r="J207" s="567"/>
      <c r="K207" s="567"/>
      <c r="L207" s="567"/>
      <c r="M207" s="567"/>
      <c r="N207" s="567"/>
      <c r="O207" s="567"/>
      <c r="P207" s="567"/>
      <c r="Q207" s="567"/>
      <c r="R207" s="1319"/>
      <c r="S207" s="1319"/>
      <c r="T207" s="651"/>
    </row>
    <row r="208" spans="1:20" x14ac:dyDescent="0.2">
      <c r="A208" s="567"/>
      <c r="B208" s="567"/>
      <c r="C208" s="567"/>
      <c r="D208" s="567"/>
      <c r="E208" s="567"/>
      <c r="F208" s="567"/>
      <c r="G208" s="567"/>
      <c r="H208" s="567"/>
      <c r="I208" s="567"/>
      <c r="J208" s="567"/>
      <c r="K208" s="567"/>
      <c r="L208" s="567"/>
      <c r="M208" s="567"/>
      <c r="N208" s="567"/>
      <c r="O208" s="567"/>
      <c r="P208" s="567"/>
      <c r="Q208" s="567"/>
      <c r="R208" s="1319"/>
      <c r="S208" s="1319"/>
      <c r="T208" s="651"/>
    </row>
    <row r="209" spans="1:20" x14ac:dyDescent="0.2">
      <c r="A209" s="567"/>
      <c r="B209" s="567"/>
      <c r="C209" s="567"/>
      <c r="D209" s="567"/>
      <c r="E209" s="567"/>
      <c r="F209" s="567"/>
      <c r="G209" s="567"/>
      <c r="H209" s="567"/>
      <c r="I209" s="567"/>
      <c r="J209" s="567"/>
      <c r="K209" s="567"/>
      <c r="L209" s="567"/>
      <c r="M209" s="567"/>
      <c r="N209" s="567"/>
      <c r="O209" s="567"/>
      <c r="P209" s="567"/>
      <c r="Q209" s="567"/>
      <c r="R209" s="1319"/>
      <c r="S209" s="1319"/>
      <c r="T209" s="651"/>
    </row>
    <row r="210" spans="1:20" x14ac:dyDescent="0.2">
      <c r="A210" s="567"/>
      <c r="B210" s="567"/>
      <c r="C210" s="567"/>
      <c r="D210" s="567"/>
      <c r="E210" s="567"/>
      <c r="F210" s="567"/>
      <c r="G210" s="567"/>
      <c r="H210" s="567"/>
      <c r="I210" s="567"/>
      <c r="J210" s="567"/>
      <c r="K210" s="567"/>
      <c r="L210" s="567"/>
      <c r="M210" s="567"/>
      <c r="N210" s="567"/>
      <c r="O210" s="567"/>
      <c r="P210" s="567"/>
      <c r="Q210" s="567"/>
      <c r="R210" s="1319"/>
      <c r="S210" s="1319"/>
      <c r="T210" s="651"/>
    </row>
    <row r="211" spans="1:20" x14ac:dyDescent="0.2">
      <c r="A211" s="567"/>
      <c r="B211" s="567"/>
      <c r="C211" s="567"/>
      <c r="D211" s="567"/>
      <c r="E211" s="567"/>
      <c r="F211" s="567"/>
      <c r="G211" s="567"/>
      <c r="H211" s="567"/>
      <c r="I211" s="567"/>
      <c r="J211" s="567"/>
      <c r="K211" s="567"/>
      <c r="L211" s="567"/>
      <c r="M211" s="567"/>
      <c r="N211" s="567"/>
      <c r="O211" s="567"/>
      <c r="P211" s="567"/>
      <c r="Q211" s="567"/>
      <c r="R211" s="1319"/>
      <c r="S211" s="1319"/>
      <c r="T211" s="651"/>
    </row>
    <row r="212" spans="1:20" x14ac:dyDescent="0.2">
      <c r="A212" s="567"/>
      <c r="B212" s="567"/>
      <c r="C212" s="567"/>
      <c r="D212" s="567"/>
      <c r="E212" s="567"/>
      <c r="F212" s="567"/>
      <c r="G212" s="567"/>
      <c r="H212" s="567"/>
      <c r="I212" s="567"/>
      <c r="J212" s="567"/>
      <c r="K212" s="567"/>
      <c r="L212" s="567"/>
      <c r="M212" s="567"/>
      <c r="N212" s="567"/>
      <c r="O212" s="567"/>
      <c r="P212" s="567"/>
      <c r="Q212" s="567"/>
      <c r="R212" s="1319"/>
      <c r="S212" s="1319"/>
      <c r="T212" s="651"/>
    </row>
    <row r="213" spans="1:20" x14ac:dyDescent="0.2">
      <c r="A213" s="567"/>
      <c r="B213" s="567"/>
      <c r="C213" s="567"/>
      <c r="D213" s="567"/>
      <c r="E213" s="567"/>
      <c r="F213" s="567"/>
      <c r="G213" s="567"/>
      <c r="H213" s="567"/>
      <c r="I213" s="567"/>
      <c r="J213" s="567"/>
      <c r="K213" s="567"/>
      <c r="L213" s="567"/>
      <c r="M213" s="567"/>
      <c r="N213" s="567"/>
      <c r="O213" s="567"/>
      <c r="P213" s="567"/>
      <c r="Q213" s="567"/>
      <c r="R213" s="1319"/>
      <c r="S213" s="1319"/>
      <c r="T213" s="651"/>
    </row>
    <row r="214" spans="1:20" x14ac:dyDescent="0.2">
      <c r="A214" s="567"/>
      <c r="B214" s="567"/>
      <c r="C214" s="567"/>
      <c r="D214" s="567"/>
      <c r="E214" s="567"/>
      <c r="F214" s="567"/>
      <c r="G214" s="567"/>
      <c r="H214" s="567"/>
      <c r="I214" s="567"/>
      <c r="J214" s="567"/>
      <c r="K214" s="567"/>
      <c r="L214" s="567"/>
      <c r="M214" s="567"/>
      <c r="N214" s="567"/>
      <c r="O214" s="567"/>
      <c r="P214" s="567"/>
      <c r="Q214" s="567"/>
      <c r="R214" s="1319"/>
      <c r="S214" s="1319"/>
      <c r="T214" s="651"/>
    </row>
    <row r="215" spans="1:20" x14ac:dyDescent="0.2">
      <c r="A215" s="567"/>
      <c r="B215" s="567"/>
      <c r="C215" s="567"/>
      <c r="D215" s="567"/>
      <c r="E215" s="567"/>
      <c r="F215" s="567"/>
      <c r="G215" s="567"/>
      <c r="H215" s="567"/>
      <c r="I215" s="567"/>
      <c r="J215" s="567"/>
      <c r="K215" s="567"/>
      <c r="L215" s="567"/>
      <c r="M215" s="567"/>
      <c r="N215" s="567"/>
      <c r="O215" s="567"/>
      <c r="P215" s="567"/>
      <c r="Q215" s="567"/>
      <c r="R215" s="1319"/>
      <c r="S215" s="1319"/>
      <c r="T215" s="651"/>
    </row>
    <row r="216" spans="1:20" x14ac:dyDescent="0.2">
      <c r="A216" s="567"/>
      <c r="B216" s="567"/>
      <c r="C216" s="567"/>
      <c r="D216" s="567"/>
      <c r="E216" s="567"/>
      <c r="F216" s="567"/>
      <c r="G216" s="567"/>
      <c r="H216" s="567"/>
      <c r="I216" s="567"/>
      <c r="J216" s="567"/>
      <c r="K216" s="567"/>
      <c r="L216" s="567"/>
      <c r="M216" s="567"/>
      <c r="N216" s="567"/>
      <c r="O216" s="567"/>
      <c r="P216" s="567"/>
      <c r="Q216" s="567"/>
      <c r="R216" s="1319"/>
      <c r="S216" s="1319"/>
      <c r="T216" s="651"/>
    </row>
    <row r="217" spans="1:20" x14ac:dyDescent="0.2">
      <c r="A217" s="567"/>
      <c r="B217" s="567"/>
      <c r="C217" s="567"/>
      <c r="D217" s="567"/>
      <c r="E217" s="567"/>
      <c r="F217" s="567"/>
      <c r="G217" s="567"/>
      <c r="H217" s="567"/>
      <c r="I217" s="567"/>
      <c r="J217" s="567"/>
      <c r="K217" s="567"/>
      <c r="L217" s="567"/>
      <c r="M217" s="567"/>
      <c r="N217" s="567"/>
      <c r="O217" s="567"/>
      <c r="P217" s="567"/>
      <c r="Q217" s="567"/>
      <c r="R217" s="1319"/>
      <c r="S217" s="1319"/>
      <c r="T217" s="651"/>
    </row>
    <row r="218" spans="1:20" x14ac:dyDescent="0.2">
      <c r="A218" s="567"/>
      <c r="B218" s="567"/>
      <c r="C218" s="567"/>
      <c r="D218" s="567"/>
      <c r="E218" s="567"/>
      <c r="F218" s="567"/>
      <c r="G218" s="567"/>
      <c r="H218" s="567"/>
      <c r="I218" s="567"/>
      <c r="J218" s="567"/>
      <c r="K218" s="567"/>
      <c r="L218" s="567"/>
      <c r="M218" s="567"/>
      <c r="N218" s="567"/>
      <c r="O218" s="567"/>
      <c r="P218" s="567"/>
      <c r="Q218" s="567"/>
      <c r="R218" s="1319"/>
      <c r="S218" s="1319"/>
      <c r="T218" s="651"/>
    </row>
    <row r="219" spans="1:20" x14ac:dyDescent="0.2">
      <c r="A219" s="567"/>
      <c r="B219" s="567"/>
      <c r="C219" s="567"/>
      <c r="D219" s="567"/>
      <c r="E219" s="567"/>
      <c r="F219" s="567"/>
      <c r="G219" s="567"/>
      <c r="H219" s="567"/>
      <c r="I219" s="567"/>
      <c r="J219" s="567"/>
      <c r="K219" s="567"/>
      <c r="L219" s="567"/>
      <c r="M219" s="567"/>
      <c r="N219" s="567"/>
      <c r="O219" s="567"/>
      <c r="P219" s="567"/>
      <c r="Q219" s="567"/>
      <c r="R219" s="1319"/>
      <c r="S219" s="1319"/>
      <c r="T219" s="651"/>
    </row>
    <row r="220" spans="1:20" x14ac:dyDescent="0.2">
      <c r="A220" s="567"/>
      <c r="B220" s="567"/>
      <c r="C220" s="567"/>
      <c r="D220" s="567"/>
      <c r="E220" s="567"/>
      <c r="F220" s="567"/>
      <c r="G220" s="567"/>
      <c r="H220" s="567"/>
      <c r="I220" s="567"/>
      <c r="J220" s="567"/>
      <c r="K220" s="567"/>
      <c r="L220" s="567"/>
      <c r="M220" s="567"/>
      <c r="N220" s="567"/>
      <c r="O220" s="567"/>
      <c r="P220" s="567"/>
      <c r="Q220" s="567"/>
      <c r="R220" s="1319"/>
      <c r="S220" s="1319"/>
      <c r="T220" s="651"/>
    </row>
    <row r="221" spans="1:20" x14ac:dyDescent="0.2">
      <c r="A221" s="567"/>
      <c r="B221" s="567"/>
      <c r="C221" s="567"/>
      <c r="D221" s="567"/>
      <c r="E221" s="567"/>
      <c r="F221" s="567"/>
      <c r="G221" s="567"/>
      <c r="H221" s="567"/>
      <c r="I221" s="567"/>
      <c r="J221" s="567"/>
      <c r="K221" s="567"/>
      <c r="L221" s="567"/>
      <c r="M221" s="567"/>
      <c r="N221" s="567"/>
      <c r="O221" s="567"/>
      <c r="P221" s="567"/>
      <c r="Q221" s="567"/>
      <c r="R221" s="1319"/>
      <c r="S221" s="1319"/>
      <c r="T221" s="651"/>
    </row>
    <row r="222" spans="1:20" x14ac:dyDescent="0.2">
      <c r="A222" s="567"/>
      <c r="B222" s="567"/>
      <c r="C222" s="567"/>
      <c r="D222" s="567"/>
      <c r="E222" s="567"/>
      <c r="F222" s="567"/>
      <c r="G222" s="567"/>
      <c r="H222" s="567"/>
      <c r="I222" s="567"/>
      <c r="J222" s="567"/>
      <c r="K222" s="567"/>
      <c r="L222" s="567"/>
      <c r="M222" s="567"/>
      <c r="N222" s="567"/>
      <c r="O222" s="567"/>
      <c r="P222" s="567"/>
      <c r="Q222" s="567"/>
      <c r="R222" s="1319"/>
      <c r="S222" s="1319"/>
      <c r="T222" s="651"/>
    </row>
    <row r="223" spans="1:20" x14ac:dyDescent="0.2">
      <c r="A223" s="567"/>
      <c r="B223" s="567"/>
      <c r="C223" s="567"/>
      <c r="D223" s="567"/>
      <c r="E223" s="567"/>
      <c r="F223" s="567"/>
      <c r="G223" s="567"/>
      <c r="H223" s="567"/>
      <c r="I223" s="567"/>
      <c r="J223" s="567"/>
      <c r="K223" s="567"/>
      <c r="L223" s="567"/>
      <c r="M223" s="567"/>
      <c r="N223" s="567"/>
      <c r="O223" s="567"/>
      <c r="P223" s="567"/>
      <c r="Q223" s="567"/>
      <c r="R223" s="1319"/>
      <c r="S223" s="1319"/>
      <c r="T223" s="651"/>
    </row>
    <row r="224" spans="1:20" x14ac:dyDescent="0.2">
      <c r="A224" s="567"/>
      <c r="B224" s="567"/>
      <c r="C224" s="567"/>
      <c r="D224" s="567"/>
      <c r="E224" s="567"/>
      <c r="F224" s="567"/>
      <c r="G224" s="567"/>
      <c r="H224" s="567"/>
      <c r="I224" s="567"/>
      <c r="J224" s="567"/>
      <c r="K224" s="567"/>
      <c r="L224" s="567"/>
      <c r="M224" s="567"/>
      <c r="N224" s="567"/>
      <c r="O224" s="567"/>
      <c r="P224" s="567"/>
      <c r="Q224" s="567"/>
      <c r="R224" s="1319"/>
      <c r="S224" s="1319"/>
      <c r="T224" s="651"/>
    </row>
    <row r="225" spans="1:19" x14ac:dyDescent="0.2">
      <c r="A225" s="383"/>
      <c r="B225" s="567"/>
      <c r="C225" s="567"/>
      <c r="D225" s="567"/>
      <c r="E225" s="567"/>
      <c r="F225" s="567"/>
      <c r="G225" s="567"/>
      <c r="H225" s="567"/>
      <c r="I225" s="567"/>
      <c r="J225" s="567"/>
      <c r="K225" s="567"/>
      <c r="L225" s="567"/>
      <c r="M225" s="567"/>
      <c r="N225" s="567"/>
      <c r="O225" s="567"/>
      <c r="P225" s="567"/>
      <c r="Q225" s="567"/>
      <c r="R225" s="567"/>
      <c r="S225" s="567"/>
    </row>
    <row r="226" spans="1:19" x14ac:dyDescent="0.2">
      <c r="A226" s="383"/>
      <c r="B226" s="567"/>
      <c r="C226" s="567"/>
      <c r="D226" s="567"/>
      <c r="E226" s="567"/>
      <c r="F226" s="567"/>
      <c r="G226" s="567"/>
      <c r="H226" s="567"/>
      <c r="I226" s="567"/>
      <c r="J226" s="567"/>
      <c r="K226" s="567"/>
      <c r="L226" s="567"/>
      <c r="M226" s="567"/>
      <c r="N226" s="567"/>
      <c r="O226" s="567"/>
      <c r="P226" s="567"/>
      <c r="Q226" s="567"/>
      <c r="R226" s="567"/>
      <c r="S226" s="567"/>
    </row>
    <row r="227" spans="1:19" x14ac:dyDescent="0.2">
      <c r="A227" s="383"/>
      <c r="B227" s="567"/>
      <c r="C227" s="567"/>
      <c r="D227" s="567"/>
      <c r="E227" s="567"/>
      <c r="F227" s="567"/>
      <c r="G227" s="567"/>
      <c r="H227" s="567"/>
      <c r="I227" s="567"/>
      <c r="J227" s="567"/>
      <c r="K227" s="567"/>
      <c r="L227" s="567"/>
      <c r="M227" s="567"/>
      <c r="N227" s="567"/>
      <c r="O227" s="567"/>
      <c r="P227" s="567"/>
      <c r="Q227" s="567"/>
      <c r="R227" s="567"/>
      <c r="S227" s="567"/>
    </row>
    <row r="228" spans="1:19" x14ac:dyDescent="0.2">
      <c r="A228" s="383"/>
      <c r="B228" s="567"/>
      <c r="C228" s="567"/>
      <c r="D228" s="567"/>
      <c r="E228" s="567"/>
      <c r="F228" s="567"/>
      <c r="G228" s="567"/>
      <c r="H228" s="567"/>
      <c r="I228" s="567"/>
      <c r="J228" s="567"/>
      <c r="K228" s="567"/>
      <c r="L228" s="567"/>
      <c r="M228" s="567"/>
      <c r="N228" s="567"/>
      <c r="O228" s="567"/>
      <c r="P228" s="567"/>
      <c r="Q228" s="567"/>
      <c r="R228" s="567"/>
      <c r="S228" s="567"/>
    </row>
    <row r="229" spans="1:19" x14ac:dyDescent="0.2">
      <c r="A229" s="383"/>
      <c r="B229" s="567"/>
      <c r="C229" s="567"/>
      <c r="D229" s="567"/>
      <c r="E229" s="567"/>
      <c r="F229" s="567"/>
      <c r="G229" s="567"/>
      <c r="H229" s="567"/>
      <c r="I229" s="567"/>
      <c r="J229" s="567"/>
      <c r="K229" s="567"/>
      <c r="L229" s="567"/>
      <c r="M229" s="567"/>
      <c r="N229" s="567"/>
      <c r="O229" s="567"/>
      <c r="P229" s="567"/>
      <c r="Q229" s="567"/>
      <c r="R229" s="567"/>
      <c r="S229" s="567"/>
    </row>
    <row r="230" spans="1:19" x14ac:dyDescent="0.2">
      <c r="A230" s="383"/>
      <c r="B230" s="567"/>
      <c r="C230" s="567"/>
      <c r="D230" s="567"/>
      <c r="E230" s="567"/>
      <c r="F230" s="567"/>
      <c r="G230" s="567"/>
      <c r="H230" s="567"/>
      <c r="I230" s="567"/>
      <c r="J230" s="567"/>
      <c r="K230" s="567"/>
      <c r="L230" s="567"/>
      <c r="M230" s="567"/>
      <c r="N230" s="567"/>
      <c r="O230" s="567"/>
      <c r="P230" s="567"/>
      <c r="Q230" s="567"/>
      <c r="R230" s="567"/>
      <c r="S230" s="567"/>
    </row>
  </sheetData>
  <customSheetViews>
    <customSheetView guid="{9EA95E61-FCA5-4867-AEB4-B8C24058ACDD}" showGridLines="0" showRowCol="0" topLeftCell="A13">
      <selection activeCell="D23" sqref="D23"/>
      <pageMargins left="0.7" right="0.7" top="0.75" bottom="0.75" header="0.3" footer="0.3"/>
      <pageSetup paperSize="9" orientation="portrait" r:id="rId1"/>
    </customSheetView>
  </customSheetViews>
  <mergeCells count="5">
    <mergeCell ref="K55:M55"/>
    <mergeCell ref="K56:M56"/>
    <mergeCell ref="E20:F20"/>
    <mergeCell ref="E21:F21"/>
    <mergeCell ref="I24:I32"/>
  </mergeCells>
  <conditionalFormatting sqref="C12:C15">
    <cfRule type="dataBar" priority="4">
      <dataBar>
        <cfvo type="num" val="0"/>
        <cfvo type="num" val="$C$15"/>
        <color theme="0"/>
      </dataBar>
    </cfRule>
  </conditionalFormatting>
  <conditionalFormatting sqref="E12:E15">
    <cfRule type="iconSet" priority="3">
      <iconSet iconSet="3Arrows" showValue="0">
        <cfvo type="percent" val="0"/>
        <cfvo type="num" val="0"/>
        <cfvo type="num" val="0" gte="0"/>
      </iconSet>
    </cfRule>
  </conditionalFormatting>
  <conditionalFormatting sqref="E24:E32">
    <cfRule type="iconSet" priority="1">
      <iconSet iconSet="3Arrows" showValue="0">
        <cfvo type="percent" val="0"/>
        <cfvo type="num" val="0"/>
        <cfvo type="num" val="0"/>
      </iconSet>
    </cfRule>
  </conditionalFormatting>
  <dataValidations count="2">
    <dataValidation type="list" allowBlank="1" showInputMessage="1" showErrorMessage="1" sqref="B21">
      <formula1>pcts</formula1>
    </dataValidation>
    <dataValidation type="list" allowBlank="1" showInputMessage="1" showErrorMessage="1" sqref="E21">
      <formula1>Capitalcosts</formula1>
    </dataValidation>
  </dataValidations>
  <pageMargins left="0.7" right="0.7" top="0.75" bottom="0.75"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02417" r:id="rId5" name="Check Box 17">
              <controlPr defaultSize="0" autoFill="0" autoLine="0" autoPict="0">
                <anchor moveWithCells="1">
                  <from>
                    <xdr:col>0</xdr:col>
                    <xdr:colOff>504825</xdr:colOff>
                    <xdr:row>33</xdr:row>
                    <xdr:rowOff>47625</xdr:rowOff>
                  </from>
                  <to>
                    <xdr:col>2</xdr:col>
                    <xdr:colOff>133350</xdr:colOff>
                    <xdr:row>34</xdr:row>
                    <xdr:rowOff>104775</xdr:rowOff>
                  </to>
                </anchor>
              </controlPr>
            </control>
          </mc:Choice>
        </mc:AlternateContent>
      </controls>
    </mc:Choice>
  </mc:AlternateContent>
  <extLst>
    <ext xmlns:x14="http://schemas.microsoft.com/office/spreadsheetml/2009/9/main" uri="{05C60535-1F16-4fd2-B633-F4F36F0B64E0}">
      <x14:sparklineGroups xmlns:xm="http://schemas.microsoft.com/office/excel/2006/main">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'Capital_inputs '!D36:G36</xm:f>
              <xm:sqref>D35</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'Capital_inputs '!C22:P22</xm:f>
              <xm:sqref>G33</xm:sqref>
            </x14:sparkline>
          </x14:sparklines>
        </x14:sparklineGroup>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'Capital_inputs '!C67:P67</xm:f>
              <xm:sqref>G78</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4:N38"/>
  <sheetViews>
    <sheetView showGridLines="0" showRowColHeaders="0" zoomScaleNormal="100" workbookViewId="0">
      <selection activeCell="B6" sqref="B6:D27"/>
    </sheetView>
  </sheetViews>
  <sheetFormatPr defaultRowHeight="15" x14ac:dyDescent="0.25"/>
  <cols>
    <col min="1" max="16384" width="9.140625" style="233"/>
  </cols>
  <sheetData>
    <row r="4" spans="1:14" ht="36" x14ac:dyDescent="0.55000000000000004">
      <c r="A4" s="658"/>
      <c r="B4" s="1014" t="s">
        <v>626</v>
      </c>
      <c r="C4" s="658"/>
      <c r="D4" s="658"/>
      <c r="E4" s="658"/>
      <c r="F4" s="658"/>
      <c r="G4" s="658"/>
      <c r="H4" s="658"/>
      <c r="I4" s="658"/>
      <c r="J4" s="658"/>
      <c r="K4" s="658"/>
      <c r="L4" s="658"/>
      <c r="M4" s="658"/>
      <c r="N4" s="658"/>
    </row>
    <row r="5" spans="1:14" ht="18" customHeight="1" x14ac:dyDescent="0.5">
      <c r="B5" s="626"/>
    </row>
    <row r="6" spans="1:14" ht="18" customHeight="1" x14ac:dyDescent="0.25"/>
    <row r="7" spans="1:14" ht="18" customHeight="1" x14ac:dyDescent="0.5">
      <c r="B7" s="9" t="s">
        <v>674</v>
      </c>
      <c r="D7" s="690"/>
      <c r="E7" s="690"/>
      <c r="F7" s="1475"/>
    </row>
    <row r="8" spans="1:14" ht="18" customHeight="1" x14ac:dyDescent="0.35">
      <c r="B8" s="1898" t="s">
        <v>675</v>
      </c>
      <c r="C8" s="1898"/>
      <c r="D8" s="1898"/>
      <c r="E8" s="10"/>
      <c r="F8" s="1304"/>
      <c r="G8" s="10"/>
    </row>
    <row r="9" spans="1:14" ht="18" customHeight="1" x14ac:dyDescent="0.35">
      <c r="A9" s="10"/>
      <c r="B9" s="1448" t="s">
        <v>676</v>
      </c>
      <c r="F9" s="1304"/>
      <c r="G9" s="10"/>
    </row>
    <row r="10" spans="1:14" ht="18" customHeight="1" x14ac:dyDescent="0.35">
      <c r="A10" s="10"/>
      <c r="B10" s="1448" t="s">
        <v>677</v>
      </c>
      <c r="C10" s="691"/>
      <c r="D10" s="691"/>
      <c r="E10" s="691"/>
      <c r="F10" s="10"/>
      <c r="G10" s="10"/>
    </row>
    <row r="11" spans="1:14" ht="18" customHeight="1" x14ac:dyDescent="0.35">
      <c r="A11" s="10"/>
      <c r="B11" s="1448" t="s">
        <v>678</v>
      </c>
      <c r="C11" s="691"/>
      <c r="D11" s="691"/>
      <c r="E11" s="10"/>
      <c r="F11" s="10"/>
      <c r="G11" s="10"/>
    </row>
    <row r="12" spans="1:14" ht="18" customHeight="1" x14ac:dyDescent="0.35">
      <c r="A12" s="10"/>
      <c r="B12" s="1448" t="s">
        <v>679</v>
      </c>
      <c r="C12" s="691"/>
      <c r="D12" s="10"/>
      <c r="E12" s="10"/>
      <c r="F12" s="10"/>
      <c r="G12" s="10"/>
    </row>
    <row r="13" spans="1:14" ht="18" customHeight="1" x14ac:dyDescent="0.35">
      <c r="A13" s="10"/>
      <c r="B13" s="691"/>
      <c r="D13" s="10"/>
      <c r="E13" s="10"/>
      <c r="F13" s="10"/>
      <c r="G13" s="10"/>
    </row>
    <row r="14" spans="1:14" ht="18" customHeight="1" x14ac:dyDescent="0.5">
      <c r="A14" s="10"/>
      <c r="B14" s="9" t="s">
        <v>686</v>
      </c>
      <c r="D14" s="690"/>
      <c r="E14" s="690"/>
    </row>
    <row r="15" spans="1:14" ht="18" customHeight="1" x14ac:dyDescent="0.25">
      <c r="B15" s="1448" t="s">
        <v>680</v>
      </c>
      <c r="C15" s="691"/>
      <c r="D15" s="691"/>
      <c r="E15" s="691"/>
      <c r="F15" s="1304"/>
    </row>
    <row r="16" spans="1:14" ht="18" customHeight="1" x14ac:dyDescent="0.35">
      <c r="A16" s="10"/>
      <c r="B16" s="1448" t="s">
        <v>681</v>
      </c>
      <c r="C16" s="691"/>
      <c r="D16" s="10"/>
      <c r="E16" s="10"/>
      <c r="F16" s="1475"/>
    </row>
    <row r="17" spans="1:6" ht="18" customHeight="1" x14ac:dyDescent="0.35">
      <c r="A17" s="10"/>
      <c r="B17" s="1448" t="s">
        <v>682</v>
      </c>
      <c r="C17" s="691"/>
      <c r="D17" s="10"/>
      <c r="E17" s="10"/>
      <c r="F17" s="1304"/>
    </row>
    <row r="18" spans="1:6" ht="18" customHeight="1" x14ac:dyDescent="0.5">
      <c r="A18" s="10"/>
      <c r="B18" s="1448" t="s">
        <v>683</v>
      </c>
      <c r="C18" s="691"/>
      <c r="D18" s="690"/>
      <c r="E18" s="690"/>
    </row>
    <row r="19" spans="1:6" ht="18" customHeight="1" x14ac:dyDescent="0.5">
      <c r="A19" s="10"/>
      <c r="B19" s="1448" t="s">
        <v>684</v>
      </c>
      <c r="C19" s="691"/>
      <c r="D19" s="691"/>
      <c r="E19" s="690"/>
    </row>
    <row r="20" spans="1:6" ht="18" customHeight="1" x14ac:dyDescent="0.35">
      <c r="A20" s="10"/>
      <c r="B20" s="1448" t="s">
        <v>685</v>
      </c>
      <c r="C20" s="691"/>
      <c r="D20" s="691"/>
      <c r="E20" s="691"/>
    </row>
    <row r="21" spans="1:6" ht="18" customHeight="1" x14ac:dyDescent="0.5">
      <c r="A21" s="10"/>
      <c r="D21" s="690"/>
      <c r="E21" s="690"/>
    </row>
    <row r="22" spans="1:6" ht="18" customHeight="1" x14ac:dyDescent="0.5">
      <c r="A22" s="10"/>
      <c r="B22" s="9" t="s">
        <v>110</v>
      </c>
      <c r="D22" s="690"/>
      <c r="E22" s="690"/>
    </row>
    <row r="23" spans="1:6" ht="18" customHeight="1" x14ac:dyDescent="0.5">
      <c r="B23" s="1448" t="s">
        <v>468</v>
      </c>
      <c r="D23" s="690"/>
      <c r="E23" s="690"/>
    </row>
    <row r="24" spans="1:6" ht="18" customHeight="1" x14ac:dyDescent="0.5">
      <c r="B24" s="690"/>
      <c r="C24" s="690"/>
      <c r="D24" s="690"/>
      <c r="E24" s="690"/>
    </row>
    <row r="25" spans="1:6" ht="33.75" x14ac:dyDescent="0.5">
      <c r="B25" s="9" t="s">
        <v>400</v>
      </c>
      <c r="C25" s="690"/>
      <c r="D25" s="690"/>
      <c r="E25" s="690"/>
    </row>
    <row r="26" spans="1:6" x14ac:dyDescent="0.25">
      <c r="B26" s="1448" t="s">
        <v>401</v>
      </c>
    </row>
    <row r="38" spans="2:2" ht="46.5" x14ac:dyDescent="0.7">
      <c r="B38" s="683"/>
    </row>
  </sheetData>
  <customSheetViews>
    <customSheetView guid="{9EA95E61-FCA5-4867-AEB4-B8C24058ACDD}" showGridLines="0" showRowCol="0">
      <selection activeCell="P10" sqref="P10"/>
      <pageMargins left="0.7" right="0.7" top="0.75" bottom="0.75" header="0.3" footer="0.3"/>
      <pageSetup paperSize="9" orientation="portrait" r:id="rId1"/>
    </customSheetView>
  </customSheetViews>
  <mergeCells count="1">
    <mergeCell ref="B8:D8"/>
  </mergeCells>
  <hyperlinks>
    <hyperlink ref="B9" location="'Output growth'!A1" display="1.2 Output growth"/>
    <hyperlink ref="B8:D8" location="'Secondary care'!A1" display="1.1 Secondary care"/>
    <hyperlink ref="B11:D11" location="'Direct intermediates'!A1" display="1.4 Intermediates"/>
    <hyperlink ref="B12:C12" location="'Inputs index'!A1" display="1.5 Total Inputs"/>
    <hyperlink ref="B15:E15" location="'Reference Costs Output'!A1" display="1.1 Reference costs output"/>
    <hyperlink ref="B16:C16" location="'HES output'!A1" display="1.3 HES output"/>
    <hyperlink ref="B18:C18" location="Prescribing!A1" display="1.4 Prescribing"/>
    <hyperlink ref="B19:D19" location="'Primary care'!A1" display="1.5 Primary care output"/>
    <hyperlink ref="B20:E20" location="'QA Primary Care'!A1" display="1.6 Primary care - quality adjusted"/>
    <hyperlink ref="B23" location="Productivity!A1" display="3.1 Productivity"/>
    <hyperlink ref="B26" location="Publications!A1" display="4.1 Publications"/>
    <hyperlink ref="B17" location="'Capital inputs - all'!A1" display="1.3 Capital inputs -all"/>
    <hyperlink ref="B10" location="'Primary care'!A1" display="1.3 Primary care"/>
    <hyperlink ref="B11" location="'QA Primary Care'!A1" display="1.4 QA Primary care"/>
    <hyperlink ref="B12" location="Prescribing!A1" display="1.5 Prescribing"/>
    <hyperlink ref="B15" location="'Direct labour Inputs'!A1" display="1.1 Direct labour inputs"/>
    <hyperlink ref="B16" location="'Indirect labour inputs - recent'!A1" display="1.2 Indirect Labour Inputs"/>
    <hyperlink ref="B18" location="'Capital inputs - recent'!A1" display="1.4 Capital inputs - recent"/>
    <hyperlink ref="B19" location="'Indirect intermediates - all'!A1" display="1.5 Indirect intermediates -all"/>
    <hyperlink ref="B20" location="'Indirect intermediates- recent'!A1" display="1.6 Indirect intermediates - recent"/>
  </hyperlinks>
  <pageMargins left="0.7" right="0.7" top="0.75" bottom="0.75" header="0.3" footer="0.3"/>
  <pageSetup paperSize="9" orientation="portrait" r:id="rId2"/>
  <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theme="4" tint="0.39997558519241921"/>
  </sheetPr>
  <dimension ref="A1:T116"/>
  <sheetViews>
    <sheetView showGridLines="0" showRowColHeaders="0" zoomScale="98" zoomScaleNormal="98" workbookViewId="0">
      <selection activeCell="J37" sqref="J37"/>
    </sheetView>
  </sheetViews>
  <sheetFormatPr defaultRowHeight="12.75" x14ac:dyDescent="0.2"/>
  <cols>
    <col min="1" max="1" width="9.140625" style="276"/>
    <col min="2" max="2" width="8.140625" style="276" customWidth="1"/>
    <col min="3" max="3" width="15" style="276" customWidth="1"/>
    <col min="4" max="4" width="18.7109375" style="276" customWidth="1"/>
    <col min="5" max="5" width="8.140625" style="276" customWidth="1"/>
    <col min="6" max="7" width="10" style="276" customWidth="1"/>
    <col min="8" max="8" width="10.140625" style="276" customWidth="1"/>
    <col min="9" max="9" width="10.140625" style="276" bestFit="1" customWidth="1"/>
    <col min="10" max="10" width="11.28515625" style="276" bestFit="1" customWidth="1"/>
    <col min="11" max="13" width="12.28515625" style="276" bestFit="1" customWidth="1"/>
    <col min="14" max="14" width="8.140625" style="276" bestFit="1" customWidth="1"/>
    <col min="15" max="15" width="12.28515625" style="276" bestFit="1" customWidth="1"/>
    <col min="16" max="16" width="6.85546875" style="276" bestFit="1" customWidth="1"/>
    <col min="17" max="17" width="11.140625" style="276" bestFit="1" customWidth="1"/>
    <col min="18" max="16384" width="9.140625" style="276"/>
  </cols>
  <sheetData>
    <row r="1" spans="1:17" x14ac:dyDescent="0.2">
      <c r="B1" s="279"/>
      <c r="C1" s="279"/>
    </row>
    <row r="2" spans="1:17" x14ac:dyDescent="0.2">
      <c r="B2" s="279"/>
      <c r="C2" s="279"/>
    </row>
    <row r="3" spans="1:17" x14ac:dyDescent="0.2">
      <c r="B3" s="279"/>
      <c r="C3" s="279"/>
    </row>
    <row r="4" spans="1:17" ht="31.5" x14ac:dyDescent="0.5">
      <c r="B4" s="626" t="s">
        <v>555</v>
      </c>
    </row>
    <row r="5" spans="1:17" ht="18" customHeight="1" x14ac:dyDescent="0.2"/>
    <row r="6" spans="1:17" ht="18" customHeight="1" x14ac:dyDescent="0.2">
      <c r="B6" s="627" t="s">
        <v>409</v>
      </c>
    </row>
    <row r="7" spans="1:17" ht="18" customHeight="1" x14ac:dyDescent="0.2">
      <c r="B7" s="723"/>
      <c r="C7" s="279"/>
    </row>
    <row r="8" spans="1:17" ht="18" customHeight="1" x14ac:dyDescent="0.2">
      <c r="B8" s="844"/>
      <c r="C8" s="845"/>
      <c r="D8" s="845"/>
      <c r="E8" s="844"/>
      <c r="F8" s="844"/>
      <c r="G8" s="844"/>
      <c r="H8" s="844"/>
      <c r="I8" s="286"/>
    </row>
    <row r="9" spans="1:17" ht="18" customHeight="1" x14ac:dyDescent="0.2">
      <c r="B9" s="846" t="s">
        <v>410</v>
      </c>
      <c r="C9" s="845"/>
      <c r="D9" s="845"/>
      <c r="E9" s="845"/>
      <c r="F9" s="845"/>
      <c r="G9" s="847"/>
      <c r="H9" s="847"/>
      <c r="I9" s="848"/>
      <c r="J9" s="286"/>
    </row>
    <row r="10" spans="1:17" ht="20.100000000000001" customHeight="1" x14ac:dyDescent="0.2">
      <c r="B10" s="849"/>
      <c r="C10" s="850"/>
      <c r="D10" s="850"/>
      <c r="E10" s="850"/>
      <c r="F10" s="850"/>
      <c r="G10" s="851"/>
      <c r="H10" s="851"/>
      <c r="I10" s="852"/>
      <c r="J10" s="286"/>
    </row>
    <row r="11" spans="1:17" ht="20.100000000000001" customHeight="1" x14ac:dyDescent="0.2">
      <c r="A11" s="279"/>
      <c r="B11" s="796"/>
      <c r="C11" s="796" t="s">
        <v>536</v>
      </c>
      <c r="D11" s="1953" t="s">
        <v>654</v>
      </c>
      <c r="E11" s="1953"/>
      <c r="F11" s="796" t="s">
        <v>526</v>
      </c>
      <c r="G11" s="796" t="s">
        <v>507</v>
      </c>
      <c r="H11" s="764"/>
      <c r="I11" s="1954"/>
      <c r="J11" s="1954"/>
      <c r="K11" s="694"/>
      <c r="L11" s="694"/>
      <c r="M11" s="694"/>
      <c r="N11" s="694"/>
      <c r="O11" s="694"/>
      <c r="P11" s="694"/>
      <c r="Q11" s="853"/>
    </row>
    <row r="12" spans="1:17" ht="20.100000000000001" customHeight="1" x14ac:dyDescent="0.2">
      <c r="A12" s="279"/>
      <c r="B12" s="796" t="s">
        <v>266</v>
      </c>
      <c r="C12" s="915">
        <f>O49</f>
        <v>7363126.411328</v>
      </c>
      <c r="D12" s="1009">
        <f>O49/N49-1</f>
        <v>7.6496522510715703E-2</v>
      </c>
      <c r="E12" s="792">
        <f>D12</f>
        <v>7.6496522510715703E-2</v>
      </c>
      <c r="F12" s="915">
        <f>MIN(B49:O49)</f>
        <v>2010021.848</v>
      </c>
      <c r="G12" s="915">
        <f>MAX(B49:P49)</f>
        <v>7363126.411328</v>
      </c>
      <c r="H12" s="793"/>
      <c r="I12" s="1948"/>
      <c r="J12" s="1949"/>
      <c r="K12" s="1948"/>
      <c r="L12" s="1949"/>
      <c r="M12" s="766"/>
      <c r="N12" s="766"/>
      <c r="O12" s="766"/>
      <c r="P12" s="766"/>
      <c r="Q12" s="853"/>
    </row>
    <row r="13" spans="1:17" ht="20.100000000000001" customHeight="1" x14ac:dyDescent="0.2">
      <c r="A13" s="279"/>
      <c r="B13" s="965"/>
      <c r="C13" s="915"/>
      <c r="D13" s="1009"/>
      <c r="E13" s="792"/>
      <c r="F13" s="915"/>
      <c r="G13" s="915"/>
      <c r="H13" s="793"/>
      <c r="I13" s="1948"/>
      <c r="J13" s="1948"/>
      <c r="K13" s="1948"/>
      <c r="L13" s="1949"/>
      <c r="M13" s="766"/>
      <c r="N13" s="766"/>
      <c r="O13" s="766"/>
      <c r="P13" s="766"/>
      <c r="Q13" s="853"/>
    </row>
    <row r="14" spans="1:17" ht="20.100000000000001" customHeight="1" x14ac:dyDescent="0.2">
      <c r="A14" s="279"/>
      <c r="B14" s="966" t="s">
        <v>48</v>
      </c>
      <c r="C14" s="967">
        <f>O54</f>
        <v>8265079.0023079999</v>
      </c>
      <c r="D14" s="1010">
        <f>O54/N54-1</f>
        <v>2.9870058469394722E-2</v>
      </c>
      <c r="E14" s="825">
        <f>D14</f>
        <v>2.9870058469394722E-2</v>
      </c>
      <c r="F14" s="915">
        <f>MIN(B54:O54)</f>
        <v>3395021.8480000002</v>
      </c>
      <c r="G14" s="915">
        <f>MAX(B54:O54)</f>
        <v>8265079.0023079999</v>
      </c>
      <c r="H14" s="793"/>
      <c r="I14" s="1948"/>
      <c r="J14" s="1949"/>
      <c r="K14" s="1948"/>
      <c r="L14" s="1949"/>
      <c r="M14" s="766"/>
      <c r="N14" s="766"/>
      <c r="O14" s="766"/>
      <c r="P14" s="766"/>
      <c r="Q14" s="853"/>
    </row>
    <row r="15" spans="1:17" ht="20.100000000000001" customHeight="1" x14ac:dyDescent="0.2">
      <c r="A15" s="279"/>
      <c r="B15" s="966"/>
      <c r="C15" s="967"/>
      <c r="D15" s="824"/>
      <c r="E15" s="824"/>
      <c r="F15" s="915"/>
      <c r="G15" s="915"/>
      <c r="H15" s="793"/>
      <c r="I15" s="1015"/>
      <c r="J15" s="961" t="s">
        <v>652</v>
      </c>
      <c r="K15" s="841"/>
      <c r="L15" s="794"/>
      <c r="M15" s="766"/>
      <c r="N15" s="766"/>
      <c r="O15" s="766"/>
      <c r="P15" s="766"/>
      <c r="Q15" s="853"/>
    </row>
    <row r="16" spans="1:17" ht="20.100000000000001" customHeight="1" x14ac:dyDescent="0.2">
      <c r="A16" s="279"/>
      <c r="B16" s="966"/>
      <c r="C16" s="967"/>
      <c r="D16" s="824"/>
      <c r="E16" s="824"/>
      <c r="F16" s="915"/>
      <c r="G16" s="915"/>
      <c r="H16" s="793"/>
      <c r="I16" s="841"/>
      <c r="J16" s="794"/>
      <c r="K16" s="841"/>
      <c r="L16" s="794"/>
      <c r="M16" s="766"/>
      <c r="N16" s="766"/>
      <c r="O16" s="766"/>
      <c r="P16" s="766"/>
      <c r="Q16" s="853"/>
    </row>
    <row r="17" spans="1:17" ht="20.100000000000001" customHeight="1" x14ac:dyDescent="0.2">
      <c r="A17" s="279"/>
      <c r="B17" s="966"/>
      <c r="C17" s="967"/>
      <c r="D17" s="824"/>
      <c r="E17" s="824"/>
      <c r="F17" s="915"/>
      <c r="G17" s="915"/>
      <c r="H17" s="793"/>
      <c r="I17" s="841"/>
      <c r="J17" s="794"/>
      <c r="K17" s="841"/>
      <c r="L17" s="794"/>
      <c r="M17" s="766"/>
      <c r="N17" s="766"/>
      <c r="O17" s="766"/>
      <c r="P17" s="766"/>
      <c r="Q17" s="853"/>
    </row>
    <row r="18" spans="1:17" ht="20.100000000000001" customHeight="1" x14ac:dyDescent="0.2">
      <c r="A18" s="279"/>
      <c r="B18" s="966"/>
      <c r="C18" s="967"/>
      <c r="D18" s="824"/>
      <c r="E18" s="824"/>
      <c r="F18" s="915"/>
      <c r="G18" s="915"/>
      <c r="H18" s="793"/>
      <c r="I18" s="841"/>
      <c r="J18" s="794"/>
      <c r="K18" s="841"/>
      <c r="L18" s="794"/>
      <c r="M18" s="766"/>
      <c r="N18" s="766"/>
      <c r="O18" s="766"/>
      <c r="P18" s="766"/>
      <c r="Q18" s="853"/>
    </row>
    <row r="19" spans="1:17" ht="18" customHeight="1" x14ac:dyDescent="0.2">
      <c r="A19" s="279"/>
      <c r="B19" s="966"/>
      <c r="C19" s="967"/>
      <c r="D19" s="824"/>
      <c r="E19" s="824"/>
      <c r="F19" s="915"/>
      <c r="G19" s="915"/>
      <c r="H19" s="793"/>
      <c r="I19" s="841"/>
      <c r="J19" s="794"/>
      <c r="K19" s="841"/>
      <c r="L19" s="794"/>
      <c r="M19" s="766"/>
      <c r="N19" s="766"/>
      <c r="O19" s="766"/>
      <c r="P19" s="766"/>
      <c r="Q19" s="853"/>
    </row>
    <row r="20" spans="1:17" ht="18" customHeight="1" x14ac:dyDescent="0.2">
      <c r="A20" s="279"/>
      <c r="B20" s="966"/>
      <c r="C20" s="967"/>
      <c r="D20" s="824"/>
      <c r="E20" s="824"/>
      <c r="F20" s="915"/>
      <c r="G20" s="915"/>
      <c r="H20" s="793"/>
      <c r="I20" s="841"/>
      <c r="J20" s="794"/>
      <c r="K20" s="841"/>
      <c r="L20" s="794"/>
      <c r="M20" s="766"/>
      <c r="N20" s="766"/>
      <c r="O20" s="766"/>
      <c r="P20" s="766"/>
      <c r="Q20" s="853"/>
    </row>
    <row r="21" spans="1:17" ht="18" customHeight="1" x14ac:dyDescent="0.2">
      <c r="A21" s="279"/>
      <c r="B21" s="966"/>
      <c r="C21" s="967"/>
      <c r="D21" s="824"/>
      <c r="E21" s="824"/>
      <c r="F21" s="915"/>
      <c r="G21" s="915"/>
      <c r="H21" s="793"/>
      <c r="I21" s="841"/>
      <c r="J21" s="794"/>
      <c r="K21" s="841"/>
      <c r="L21" s="794"/>
      <c r="M21" s="766"/>
      <c r="N21" s="766"/>
      <c r="O21" s="766"/>
      <c r="P21" s="766"/>
      <c r="Q21" s="853"/>
    </row>
    <row r="22" spans="1:17" ht="18" customHeight="1" x14ac:dyDescent="0.2">
      <c r="A22" s="279"/>
      <c r="B22" s="966"/>
      <c r="C22" s="967"/>
      <c r="D22" s="824"/>
      <c r="E22" s="824"/>
      <c r="F22" s="915"/>
      <c r="G22" s="915"/>
      <c r="H22" s="793"/>
      <c r="I22" s="841"/>
      <c r="J22" s="794"/>
      <c r="K22" s="841"/>
      <c r="L22" s="794"/>
      <c r="M22" s="766"/>
      <c r="N22" s="766"/>
      <c r="O22" s="766"/>
      <c r="P22" s="766"/>
      <c r="Q22" s="853"/>
    </row>
    <row r="23" spans="1:17" ht="18" customHeight="1" x14ac:dyDescent="0.2">
      <c r="A23" s="279"/>
      <c r="B23" s="966"/>
      <c r="C23" s="967"/>
      <c r="D23" s="824"/>
      <c r="E23" s="824"/>
      <c r="F23" s="915"/>
      <c r="G23" s="915"/>
      <c r="H23" s="793"/>
      <c r="I23" s="841"/>
      <c r="J23" s="794"/>
      <c r="K23" s="841"/>
      <c r="L23" s="794"/>
      <c r="M23" s="766"/>
      <c r="N23" s="766"/>
      <c r="O23" s="766"/>
      <c r="P23" s="766"/>
      <c r="Q23" s="853"/>
    </row>
    <row r="24" spans="1:17" ht="18" customHeight="1" x14ac:dyDescent="0.2">
      <c r="A24" s="279"/>
      <c r="B24" s="966"/>
      <c r="C24" s="967"/>
      <c r="D24" s="824"/>
      <c r="E24" s="824"/>
      <c r="F24" s="915"/>
      <c r="G24" s="915"/>
      <c r="H24" s="793"/>
      <c r="I24" s="841"/>
      <c r="J24" s="794"/>
      <c r="K24" s="841"/>
      <c r="L24" s="794"/>
      <c r="M24" s="766"/>
      <c r="N24" s="766"/>
      <c r="O24" s="766"/>
      <c r="P24" s="766"/>
      <c r="Q24" s="853"/>
    </row>
    <row r="25" spans="1:17" ht="18" customHeight="1" x14ac:dyDescent="0.2">
      <c r="A25" s="279"/>
      <c r="B25" s="966"/>
      <c r="C25" s="967"/>
      <c r="D25" s="824"/>
      <c r="E25" s="824"/>
      <c r="F25" s="915"/>
      <c r="G25" s="915"/>
      <c r="H25" s="793"/>
      <c r="I25" s="841"/>
      <c r="J25" s="794"/>
      <c r="K25" s="841"/>
      <c r="L25" s="794"/>
      <c r="M25" s="766"/>
      <c r="N25" s="766"/>
      <c r="O25" s="766"/>
      <c r="P25" s="766"/>
      <c r="Q25" s="853"/>
    </row>
    <row r="26" spans="1:17" ht="18" customHeight="1" x14ac:dyDescent="0.2">
      <c r="A26" s="279"/>
      <c r="B26" s="966"/>
      <c r="C26" s="967"/>
      <c r="D26" s="824"/>
      <c r="E26" s="824"/>
      <c r="F26" s="915"/>
      <c r="G26" s="915"/>
      <c r="H26" s="793"/>
      <c r="I26" s="841"/>
      <c r="J26" s="794"/>
      <c r="K26" s="841"/>
      <c r="L26" s="794"/>
      <c r="M26" s="766"/>
      <c r="N26" s="766"/>
      <c r="O26" s="766"/>
      <c r="P26" s="766"/>
      <c r="Q26" s="853"/>
    </row>
    <row r="27" spans="1:17" ht="18" customHeight="1" x14ac:dyDescent="0.2">
      <c r="A27" s="279"/>
      <c r="B27" s="966"/>
      <c r="C27" s="967"/>
      <c r="D27" s="824"/>
      <c r="E27" s="824"/>
      <c r="F27" s="915"/>
      <c r="G27" s="915"/>
      <c r="H27" s="793"/>
      <c r="I27" s="841"/>
      <c r="J27" s="794"/>
      <c r="K27" s="841"/>
      <c r="L27" s="794"/>
      <c r="M27" s="766"/>
      <c r="N27" s="766"/>
      <c r="O27" s="766"/>
      <c r="P27" s="766"/>
      <c r="Q27" s="853"/>
    </row>
    <row r="28" spans="1:17" ht="18" customHeight="1" x14ac:dyDescent="0.2">
      <c r="A28" s="279"/>
      <c r="B28" s="966"/>
      <c r="C28" s="967"/>
      <c r="D28" s="824"/>
      <c r="E28" s="824"/>
      <c r="F28" s="915"/>
      <c r="G28" s="915"/>
      <c r="H28" s="793"/>
      <c r="I28" s="841"/>
      <c r="J28" s="794"/>
      <c r="K28" s="841"/>
      <c r="L28" s="794"/>
      <c r="M28" s="766"/>
      <c r="N28" s="766"/>
      <c r="O28" s="766"/>
      <c r="P28" s="766"/>
      <c r="Q28" s="853"/>
    </row>
    <row r="29" spans="1:17" ht="18" customHeight="1" x14ac:dyDescent="0.2">
      <c r="A29" s="567"/>
      <c r="B29" s="966"/>
      <c r="C29" s="967"/>
      <c r="D29" s="824"/>
      <c r="E29" s="824"/>
      <c r="F29" s="915"/>
      <c r="G29" s="915"/>
      <c r="H29" s="793"/>
      <c r="I29" s="841"/>
      <c r="J29" s="794"/>
      <c r="K29" s="841"/>
      <c r="L29" s="794"/>
      <c r="M29" s="766"/>
      <c r="N29" s="766"/>
      <c r="O29" s="766"/>
      <c r="P29" s="766"/>
      <c r="Q29" s="853"/>
    </row>
    <row r="30" spans="1:17" ht="18" customHeight="1" x14ac:dyDescent="0.2">
      <c r="A30" s="567" t="b">
        <v>1</v>
      </c>
      <c r="B30" s="966"/>
      <c r="C30" s="968"/>
      <c r="D30" s="824"/>
      <c r="E30" s="824"/>
      <c r="G30" s="1466"/>
      <c r="H30" s="793"/>
      <c r="J30" s="794"/>
      <c r="K30" s="841"/>
      <c r="L30" s="794"/>
      <c r="M30" s="766"/>
      <c r="N30" s="766"/>
      <c r="O30" s="766"/>
      <c r="P30" s="766"/>
      <c r="Q30" s="853"/>
    </row>
    <row r="31" spans="1:17" ht="18" customHeight="1" x14ac:dyDescent="0.2">
      <c r="A31" s="567"/>
      <c r="B31" s="966" t="str">
        <f t="shared" ref="B31:D42" si="0">IF($A$30=TRUE,B56,"")</f>
        <v>Year</v>
      </c>
      <c r="C31" s="969" t="str">
        <f t="shared" si="0"/>
        <v>All trusts</v>
      </c>
      <c r="D31" s="966" t="str">
        <f t="shared" si="0"/>
        <v>Total</v>
      </c>
      <c r="E31" s="824"/>
      <c r="F31" s="915"/>
      <c r="G31" s="1465"/>
      <c r="H31" s="793"/>
      <c r="J31" s="794"/>
      <c r="K31" s="841"/>
      <c r="L31" s="794"/>
      <c r="M31" s="766"/>
      <c r="N31" s="766"/>
      <c r="O31" s="766"/>
      <c r="P31" s="766"/>
      <c r="Q31" s="853"/>
    </row>
    <row r="32" spans="1:17" ht="18" customHeight="1" x14ac:dyDescent="0.2">
      <c r="A32" s="279"/>
      <c r="B32" s="822" t="str">
        <f t="shared" si="0"/>
        <v>1998/99</v>
      </c>
      <c r="C32" s="968">
        <f t="shared" si="0"/>
        <v>2010021.848</v>
      </c>
      <c r="D32" s="967">
        <f t="shared" si="0"/>
        <v>3395021.8480000002</v>
      </c>
      <c r="E32" s="824"/>
      <c r="F32" s="915"/>
      <c r="G32" s="1466"/>
      <c r="H32" s="793"/>
      <c r="I32" s="841"/>
      <c r="J32" s="794"/>
      <c r="K32" s="841"/>
      <c r="L32" s="794"/>
      <c r="M32" s="766"/>
      <c r="N32" s="766"/>
      <c r="O32" s="766"/>
      <c r="P32" s="766"/>
      <c r="Q32" s="853"/>
    </row>
    <row r="33" spans="1:20" ht="18" customHeight="1" x14ac:dyDescent="0.2">
      <c r="A33" s="279"/>
      <c r="B33" s="822" t="str">
        <f t="shared" si="0"/>
        <v>1999/00</v>
      </c>
      <c r="C33" s="968">
        <f t="shared" si="0"/>
        <v>2089618.3663333301</v>
      </c>
      <c r="D33" s="967">
        <f t="shared" si="0"/>
        <v>3544618.3663333301</v>
      </c>
      <c r="E33" s="824"/>
      <c r="F33" s="915"/>
      <c r="G33" s="915"/>
      <c r="H33" s="793"/>
      <c r="I33" s="841"/>
      <c r="J33" s="794"/>
      <c r="K33" s="841"/>
      <c r="L33" s="794"/>
      <c r="M33" s="766"/>
      <c r="N33" s="766"/>
      <c r="O33" s="766"/>
      <c r="P33" s="766"/>
    </row>
    <row r="34" spans="1:20" ht="18" customHeight="1" x14ac:dyDescent="0.2">
      <c r="A34" s="279"/>
      <c r="B34" s="822" t="str">
        <f t="shared" si="0"/>
        <v>2000/01</v>
      </c>
      <c r="C34" s="968">
        <f t="shared" si="0"/>
        <v>2197552.8220000002</v>
      </c>
      <c r="D34" s="967">
        <f t="shared" si="0"/>
        <v>3815552.8220000002</v>
      </c>
      <c r="E34" s="824"/>
      <c r="F34" s="915"/>
      <c r="G34" s="915"/>
      <c r="H34" s="793"/>
      <c r="I34" s="841"/>
      <c r="J34" s="794"/>
      <c r="K34" s="841"/>
      <c r="L34" s="794"/>
      <c r="M34" s="766"/>
      <c r="N34" s="766"/>
      <c r="O34" s="766"/>
      <c r="P34" s="766"/>
    </row>
    <row r="35" spans="1:20" ht="18" customHeight="1" x14ac:dyDescent="0.2">
      <c r="A35" s="279"/>
      <c r="B35" s="822">
        <f>IF($A$30=TRUE,B60,"")</f>
        <v>1000.5</v>
      </c>
      <c r="C35" s="968">
        <f t="shared" si="0"/>
        <v>2231590.15366667</v>
      </c>
      <c r="D35" s="967">
        <f t="shared" si="0"/>
        <v>3626590.15366667</v>
      </c>
      <c r="E35" s="824"/>
      <c r="F35" s="915"/>
      <c r="G35" s="915"/>
      <c r="H35" s="793"/>
      <c r="I35" s="841"/>
      <c r="J35" s="794"/>
      <c r="K35" s="841"/>
      <c r="L35" s="794"/>
      <c r="M35" s="766"/>
      <c r="N35" s="766"/>
      <c r="O35" s="766"/>
      <c r="P35" s="766"/>
    </row>
    <row r="36" spans="1:20" ht="18" customHeight="1" x14ac:dyDescent="0.2">
      <c r="A36" s="676"/>
      <c r="B36" s="822">
        <f t="shared" si="0"/>
        <v>667.33333333333337</v>
      </c>
      <c r="C36" s="968">
        <f t="shared" si="0"/>
        <v>2327972.3616666701</v>
      </c>
      <c r="D36" s="967">
        <f t="shared" si="0"/>
        <v>3895972.3616666701</v>
      </c>
      <c r="E36" s="824"/>
      <c r="F36" s="915"/>
      <c r="G36" s="915"/>
      <c r="H36" s="793"/>
      <c r="I36" s="841"/>
      <c r="J36" s="794"/>
      <c r="K36" s="841"/>
      <c r="L36" s="794"/>
      <c r="M36" s="766"/>
      <c r="N36" s="766"/>
      <c r="O36" s="766"/>
      <c r="P36" s="766"/>
    </row>
    <row r="37" spans="1:20" ht="18" customHeight="1" x14ac:dyDescent="0.2">
      <c r="A37" s="676"/>
      <c r="B37" s="822" t="str">
        <f t="shared" si="0"/>
        <v>2003/04</v>
      </c>
      <c r="C37" s="968">
        <f t="shared" si="0"/>
        <v>2504506.085</v>
      </c>
      <c r="D37" s="967">
        <f t="shared" si="0"/>
        <v>4134506.085</v>
      </c>
      <c r="E37" s="824"/>
      <c r="F37" s="915"/>
      <c r="G37" s="915"/>
      <c r="H37" s="793"/>
      <c r="I37" s="841"/>
      <c r="J37" s="794"/>
      <c r="K37" s="841"/>
      <c r="L37" s="794"/>
      <c r="M37" s="766"/>
      <c r="N37" s="766"/>
      <c r="O37" s="766"/>
      <c r="P37" s="766"/>
    </row>
    <row r="38" spans="1:20" ht="18" customHeight="1" x14ac:dyDescent="0.2">
      <c r="A38" s="676"/>
      <c r="B38" s="822" t="str">
        <f t="shared" si="0"/>
        <v>2004/05</v>
      </c>
      <c r="C38" s="968">
        <f t="shared" si="0"/>
        <v>4421465.1339764148</v>
      </c>
      <c r="D38" s="967">
        <f t="shared" si="0"/>
        <v>5115514.2809764491</v>
      </c>
      <c r="E38" s="825"/>
      <c r="F38" s="771"/>
      <c r="G38" s="771"/>
      <c r="H38" s="793"/>
      <c r="I38" s="841"/>
      <c r="J38" s="794"/>
      <c r="K38" s="841"/>
      <c r="L38" s="794"/>
      <c r="M38" s="766"/>
      <c r="N38" s="766"/>
      <c r="O38" s="766"/>
      <c r="P38" s="766"/>
    </row>
    <row r="39" spans="1:20" ht="18" customHeight="1" x14ac:dyDescent="0.2">
      <c r="A39" s="676"/>
      <c r="B39" s="822" t="str">
        <f t="shared" si="0"/>
        <v>2005/06</v>
      </c>
      <c r="C39" s="968">
        <f t="shared" si="0"/>
        <v>5047095.5</v>
      </c>
      <c r="D39" s="967">
        <f t="shared" si="0"/>
        <v>5839664.3710000003</v>
      </c>
      <c r="E39" s="825"/>
      <c r="F39" s="771"/>
      <c r="G39" s="771"/>
      <c r="H39" s="793"/>
      <c r="I39" s="841"/>
      <c r="J39" s="794"/>
      <c r="K39" s="841"/>
      <c r="L39" s="794"/>
      <c r="M39" s="766"/>
      <c r="N39" s="766"/>
      <c r="O39" s="766"/>
      <c r="P39" s="766"/>
    </row>
    <row r="40" spans="1:20" ht="18" customHeight="1" x14ac:dyDescent="0.2">
      <c r="A40" s="676"/>
      <c r="B40" s="822" t="str">
        <f t="shared" si="0"/>
        <v>2006/07</v>
      </c>
      <c r="C40" s="968">
        <f t="shared" si="0"/>
        <v>5692813.6799999997</v>
      </c>
      <c r="D40" s="967">
        <f t="shared" si="0"/>
        <v>6568362.6799999997</v>
      </c>
      <c r="E40" s="825"/>
      <c r="F40" s="771"/>
      <c r="G40" s="771"/>
      <c r="H40" s="793"/>
      <c r="I40" s="841"/>
      <c r="J40" s="794"/>
      <c r="K40" s="841"/>
      <c r="L40" s="794"/>
      <c r="M40" s="766"/>
      <c r="N40" s="766"/>
      <c r="O40" s="766"/>
      <c r="P40" s="766"/>
    </row>
    <row r="41" spans="1:20" ht="18" customHeight="1" x14ac:dyDescent="0.2">
      <c r="A41" s="279"/>
      <c r="B41" s="822" t="str">
        <f t="shared" si="0"/>
        <v>2007/08</v>
      </c>
      <c r="C41" s="968">
        <f t="shared" si="0"/>
        <v>6597634.0729</v>
      </c>
      <c r="D41" s="967">
        <f t="shared" si="0"/>
        <v>7784592.0729</v>
      </c>
      <c r="E41" s="825"/>
      <c r="F41" s="771"/>
      <c r="G41" s="771"/>
      <c r="H41" s="793"/>
      <c r="I41" s="841"/>
      <c r="J41" s="794"/>
      <c r="K41" s="841"/>
      <c r="L41" s="794"/>
      <c r="M41" s="766"/>
      <c r="N41" s="766"/>
      <c r="O41" s="766"/>
      <c r="P41" s="766"/>
    </row>
    <row r="42" spans="1:20" ht="18" customHeight="1" x14ac:dyDescent="0.2">
      <c r="A42" s="279"/>
      <c r="B42" s="822" t="str">
        <f t="shared" si="0"/>
        <v>2008/09</v>
      </c>
      <c r="C42" s="968">
        <f t="shared" si="0"/>
        <v>6302210.0633199997</v>
      </c>
      <c r="D42" s="967">
        <f t="shared" si="0"/>
        <v>7426030.9178999998</v>
      </c>
      <c r="E42" s="825"/>
      <c r="F42" s="771"/>
      <c r="G42" s="771"/>
      <c r="H42" s="793"/>
      <c r="I42" s="841"/>
      <c r="J42" s="794"/>
      <c r="K42" s="841"/>
      <c r="L42" s="794"/>
      <c r="M42" s="766"/>
      <c r="N42" s="766"/>
      <c r="O42" s="766"/>
      <c r="P42" s="766"/>
    </row>
    <row r="43" spans="1:20" ht="18" customHeight="1" x14ac:dyDescent="0.2">
      <c r="A43" s="279"/>
      <c r="B43" s="822" t="str">
        <f t="shared" ref="B43:D45" si="1">IF($A$30=TRUE,B68,"")</f>
        <v>2009/10</v>
      </c>
      <c r="C43" s="968">
        <f t="shared" si="1"/>
        <v>6516513.7579399999</v>
      </c>
      <c r="D43" s="967">
        <f t="shared" si="1"/>
        <v>7635390.1285600001</v>
      </c>
      <c r="E43" s="825"/>
      <c r="F43" s="771"/>
      <c r="G43" s="771"/>
      <c r="H43" s="793"/>
      <c r="I43" s="841"/>
      <c r="J43" s="794"/>
      <c r="K43" s="841"/>
      <c r="L43" s="794"/>
      <c r="M43" s="766"/>
      <c r="N43" s="766"/>
      <c r="O43" s="766"/>
      <c r="P43" s="766"/>
    </row>
    <row r="44" spans="1:20" ht="18" customHeight="1" x14ac:dyDescent="0.2">
      <c r="A44" s="279"/>
      <c r="B44" s="822" t="str">
        <f t="shared" si="1"/>
        <v>2010/11</v>
      </c>
      <c r="C44" s="968">
        <f t="shared" si="1"/>
        <v>6839898</v>
      </c>
      <c r="D44" s="967">
        <f t="shared" si="1"/>
        <v>8025361</v>
      </c>
      <c r="E44" s="903"/>
      <c r="F44" s="902"/>
      <c r="G44" s="900"/>
      <c r="H44" s="900"/>
      <c r="I44" s="901"/>
      <c r="J44" s="676"/>
      <c r="K44" s="279"/>
      <c r="L44" s="279"/>
      <c r="M44" s="279"/>
    </row>
    <row r="45" spans="1:20" ht="18" customHeight="1" x14ac:dyDescent="0.2">
      <c r="A45" s="279"/>
      <c r="B45" s="822" t="str">
        <f t="shared" si="1"/>
        <v>2011/12</v>
      </c>
      <c r="C45" s="968">
        <f t="shared" si="1"/>
        <v>7363126.411328</v>
      </c>
      <c r="D45" s="967">
        <f t="shared" si="1"/>
        <v>8265079.0023079999</v>
      </c>
      <c r="E45" s="903"/>
      <c r="F45" s="904"/>
      <c r="G45" s="854"/>
      <c r="H45" s="854"/>
      <c r="I45" s="854"/>
      <c r="J45" s="676"/>
      <c r="K45" s="279"/>
      <c r="L45" s="279"/>
      <c r="M45" s="279"/>
    </row>
    <row r="46" spans="1:20" x14ac:dyDescent="0.2">
      <c r="A46" s="567"/>
      <c r="B46" s="970"/>
      <c r="C46" s="976"/>
      <c r="D46" s="971"/>
      <c r="E46" s="972"/>
      <c r="F46" s="976"/>
      <c r="G46" s="970"/>
      <c r="H46" s="970"/>
      <c r="I46" s="974"/>
      <c r="J46" s="809"/>
      <c r="K46" s="567"/>
      <c r="L46" s="567"/>
      <c r="M46" s="567"/>
      <c r="N46" s="567"/>
      <c r="O46" s="567"/>
      <c r="P46" s="567"/>
      <c r="Q46" s="567"/>
      <c r="R46" s="567"/>
      <c r="S46" s="567"/>
      <c r="T46" s="567"/>
    </row>
    <row r="47" spans="1:20" x14ac:dyDescent="0.2">
      <c r="A47" s="567"/>
      <c r="B47" s="970"/>
      <c r="C47" s="971"/>
      <c r="D47" s="971"/>
      <c r="E47" s="972"/>
      <c r="F47" s="971"/>
      <c r="G47" s="973"/>
      <c r="H47" s="973"/>
      <c r="I47" s="974"/>
      <c r="J47" s="809"/>
      <c r="K47" s="567"/>
      <c r="L47" s="567"/>
      <c r="M47" s="567"/>
      <c r="N47" s="567"/>
      <c r="O47" s="567"/>
      <c r="P47" s="567"/>
      <c r="Q47" s="567"/>
      <c r="R47" s="567"/>
      <c r="S47" s="567"/>
      <c r="T47" s="567"/>
    </row>
    <row r="48" spans="1:20" x14ac:dyDescent="0.2">
      <c r="A48" s="567"/>
      <c r="B48" s="970" t="s">
        <v>68</v>
      </c>
      <c r="C48" s="971" t="s">
        <v>69</v>
      </c>
      <c r="D48" s="971" t="s">
        <v>70</v>
      </c>
      <c r="E48" s="971" t="s">
        <v>663</v>
      </c>
      <c r="F48" s="971" t="s">
        <v>664</v>
      </c>
      <c r="G48" s="971" t="s">
        <v>665</v>
      </c>
      <c r="H48" s="971" t="s">
        <v>666</v>
      </c>
      <c r="I48" s="971" t="s">
        <v>667</v>
      </c>
      <c r="J48" s="971" t="s">
        <v>668</v>
      </c>
      <c r="K48" s="971" t="s">
        <v>669</v>
      </c>
      <c r="L48" s="971" t="s">
        <v>670</v>
      </c>
      <c r="M48" s="971" t="s">
        <v>671</v>
      </c>
      <c r="N48" s="971" t="s">
        <v>672</v>
      </c>
      <c r="O48" s="971" t="s">
        <v>673</v>
      </c>
      <c r="P48" s="567"/>
      <c r="Q48" s="1447"/>
      <c r="R48" s="567"/>
      <c r="S48" s="567"/>
      <c r="T48" s="567"/>
    </row>
    <row r="49" spans="1:20" x14ac:dyDescent="0.2">
      <c r="A49" s="567"/>
      <c r="B49" s="970">
        <v>2010021.848</v>
      </c>
      <c r="C49" s="971">
        <v>2089618.3663333301</v>
      </c>
      <c r="D49" s="971">
        <v>2197552.8220000002</v>
      </c>
      <c r="E49" s="972">
        <v>2231590.15366667</v>
      </c>
      <c r="F49" s="971">
        <v>2327972.3616666701</v>
      </c>
      <c r="G49" s="973">
        <v>2504506.085</v>
      </c>
      <c r="H49" s="973">
        <v>4421465.1339764148</v>
      </c>
      <c r="I49" s="974">
        <v>5047095.5</v>
      </c>
      <c r="J49" s="809">
        <v>5692813.6799999997</v>
      </c>
      <c r="K49" s="567">
        <v>6597634.0729</v>
      </c>
      <c r="L49" s="567">
        <v>6302210.0633199997</v>
      </c>
      <c r="M49" s="567">
        <v>6516513.7579399999</v>
      </c>
      <c r="N49" s="567">
        <v>6839898</v>
      </c>
      <c r="O49" s="567">
        <v>7363126.411328</v>
      </c>
      <c r="P49" s="567"/>
      <c r="Q49" s="567"/>
      <c r="R49" s="1447"/>
      <c r="S49" s="567"/>
      <c r="T49" s="567"/>
    </row>
    <row r="50" spans="1:20" x14ac:dyDescent="0.2">
      <c r="A50" s="567"/>
      <c r="B50" s="970"/>
      <c r="C50" s="971"/>
      <c r="D50" s="971"/>
      <c r="E50" s="972"/>
      <c r="F50" s="971"/>
      <c r="G50" s="973"/>
      <c r="H50" s="973"/>
      <c r="I50" s="974"/>
      <c r="J50" s="809"/>
      <c r="K50" s="567"/>
      <c r="L50" s="567"/>
      <c r="M50" s="567"/>
      <c r="N50" s="567"/>
      <c r="O50" s="567"/>
      <c r="P50" s="567"/>
      <c r="Q50" s="567"/>
      <c r="R50" s="1447"/>
      <c r="S50" s="567"/>
      <c r="T50" s="567"/>
    </row>
    <row r="51" spans="1:20" x14ac:dyDescent="0.2">
      <c r="A51" s="567"/>
      <c r="B51" s="970"/>
      <c r="C51" s="976"/>
      <c r="D51" s="976"/>
      <c r="E51" s="972"/>
      <c r="F51" s="976"/>
      <c r="G51" s="977"/>
      <c r="H51" s="977"/>
      <c r="I51" s="977"/>
      <c r="J51" s="809"/>
      <c r="K51" s="567"/>
      <c r="L51" s="567"/>
      <c r="M51" s="567"/>
      <c r="N51" s="567"/>
      <c r="O51" s="567"/>
      <c r="P51" s="567"/>
      <c r="Q51" s="567"/>
      <c r="R51" s="1447"/>
      <c r="S51" s="567"/>
      <c r="T51" s="567"/>
    </row>
    <row r="52" spans="1:20" ht="15" x14ac:dyDescent="0.25">
      <c r="A52" s="567"/>
      <c r="B52" s="396">
        <v>1385000</v>
      </c>
      <c r="C52" s="396">
        <v>1455000</v>
      </c>
      <c r="D52" s="396">
        <v>1618000</v>
      </c>
      <c r="E52" s="396">
        <v>1395000</v>
      </c>
      <c r="F52" s="396">
        <v>1568000</v>
      </c>
      <c r="G52" s="396">
        <v>1630000</v>
      </c>
      <c r="H52" s="970"/>
      <c r="I52" s="974"/>
      <c r="J52" s="809"/>
      <c r="K52" s="567"/>
      <c r="L52" s="567"/>
      <c r="M52" s="567"/>
      <c r="N52" s="567"/>
      <c r="O52" s="567"/>
      <c r="P52" s="567"/>
      <c r="Q52" s="567"/>
      <c r="R52" s="809"/>
      <c r="S52" s="567"/>
      <c r="T52" s="567"/>
    </row>
    <row r="53" spans="1:20" x14ac:dyDescent="0.2">
      <c r="A53" s="978"/>
      <c r="B53" s="970"/>
      <c r="C53" s="979"/>
      <c r="D53" s="979"/>
      <c r="E53" s="979"/>
      <c r="F53" s="980"/>
      <c r="G53" s="973"/>
      <c r="H53" s="973"/>
      <c r="I53" s="974"/>
      <c r="J53" s="809"/>
      <c r="K53" s="567"/>
      <c r="L53" s="567"/>
      <c r="M53" s="567"/>
      <c r="N53" s="567"/>
      <c r="O53" s="567"/>
      <c r="P53" s="567"/>
      <c r="Q53" s="567"/>
      <c r="R53" s="809"/>
      <c r="S53" s="567"/>
      <c r="T53" s="567"/>
    </row>
    <row r="54" spans="1:20" x14ac:dyDescent="0.2">
      <c r="A54" s="978"/>
      <c r="B54" s="970">
        <f t="shared" ref="B54:G54" si="2">SUM(B49:B52)</f>
        <v>3395021.8480000002</v>
      </c>
      <c r="C54" s="970">
        <f t="shared" si="2"/>
        <v>3544618.3663333301</v>
      </c>
      <c r="D54" s="970">
        <f t="shared" si="2"/>
        <v>3815552.8220000002</v>
      </c>
      <c r="E54" s="970">
        <f t="shared" si="2"/>
        <v>3626590.15366667</v>
      </c>
      <c r="F54" s="970">
        <f t="shared" si="2"/>
        <v>3895972.3616666701</v>
      </c>
      <c r="G54" s="970">
        <f t="shared" si="2"/>
        <v>4134506.085</v>
      </c>
      <c r="H54" s="973">
        <v>5115514.2809764491</v>
      </c>
      <c r="I54" s="974">
        <v>5839664.3710000003</v>
      </c>
      <c r="J54" s="809">
        <v>6568362.6799999997</v>
      </c>
      <c r="K54" s="567">
        <v>7784592.0729</v>
      </c>
      <c r="L54" s="567">
        <v>7426030.9178999998</v>
      </c>
      <c r="M54" s="567">
        <v>7635390.1285600001</v>
      </c>
      <c r="N54" s="567">
        <v>8025361</v>
      </c>
      <c r="O54" s="567">
        <v>8265079.0023079999</v>
      </c>
      <c r="P54" s="567"/>
      <c r="Q54" s="567"/>
      <c r="R54" s="567"/>
      <c r="S54" s="567"/>
      <c r="T54" s="567"/>
    </row>
    <row r="55" spans="1:20" x14ac:dyDescent="0.2">
      <c r="A55" s="978"/>
      <c r="B55" s="981"/>
      <c r="C55" s="977"/>
      <c r="D55" s="977"/>
      <c r="E55" s="977"/>
      <c r="F55" s="977"/>
      <c r="G55" s="973"/>
      <c r="H55" s="973"/>
      <c r="I55" s="974"/>
      <c r="J55" s="809"/>
      <c r="K55" s="567"/>
      <c r="L55" s="567"/>
      <c r="M55" s="567"/>
      <c r="N55" s="567"/>
      <c r="O55" s="567"/>
      <c r="P55" s="567"/>
      <c r="Q55" s="567"/>
      <c r="R55" s="567"/>
      <c r="S55" s="567"/>
      <c r="T55" s="567"/>
    </row>
    <row r="56" spans="1:20" x14ac:dyDescent="0.2">
      <c r="A56" s="567"/>
      <c r="B56" s="970" t="s">
        <v>1</v>
      </c>
      <c r="C56" s="977" t="s">
        <v>266</v>
      </c>
      <c r="D56" s="977" t="s">
        <v>48</v>
      </c>
      <c r="E56" s="977"/>
      <c r="F56" s="977"/>
      <c r="G56" s="970"/>
      <c r="H56" s="970"/>
      <c r="I56" s="974"/>
      <c r="J56" s="809"/>
      <c r="K56" s="567"/>
      <c r="L56" s="567"/>
      <c r="M56" s="567"/>
      <c r="N56" s="567"/>
      <c r="O56" s="567"/>
      <c r="P56" s="567"/>
      <c r="Q56" s="567"/>
      <c r="R56" s="567"/>
      <c r="S56" s="567"/>
      <c r="T56" s="567"/>
    </row>
    <row r="57" spans="1:20" x14ac:dyDescent="0.2">
      <c r="A57" s="567"/>
      <c r="B57" s="975" t="s">
        <v>68</v>
      </c>
      <c r="C57" s="977">
        <v>2010021.848</v>
      </c>
      <c r="D57" s="977">
        <v>3395021.8480000002</v>
      </c>
      <c r="E57" s="982"/>
      <c r="F57" s="973"/>
      <c r="G57" s="974">
        <f t="shared" ref="G57:H62" si="3">C57</f>
        <v>2010021.848</v>
      </c>
      <c r="H57" s="974">
        <f t="shared" si="3"/>
        <v>3395021.8480000002</v>
      </c>
      <c r="I57" s="567"/>
      <c r="J57" s="567"/>
      <c r="K57" s="567"/>
      <c r="L57" s="567">
        <f t="shared" ref="L57:L70" si="4">C57/C$57</f>
        <v>1</v>
      </c>
      <c r="M57" s="567">
        <f t="shared" ref="M57:M70" si="5">D57/D$57</f>
        <v>1</v>
      </c>
      <c r="N57" s="567"/>
      <c r="O57" s="567"/>
      <c r="P57" s="567"/>
      <c r="Q57" s="567"/>
      <c r="R57" s="567"/>
      <c r="S57" s="567"/>
      <c r="T57" s="567"/>
    </row>
    <row r="58" spans="1:20" x14ac:dyDescent="0.2">
      <c r="A58" s="567"/>
      <c r="B58" s="975" t="s">
        <v>69</v>
      </c>
      <c r="C58" s="977">
        <v>2089618.3663333301</v>
      </c>
      <c r="D58" s="977">
        <v>3544618.3663333301</v>
      </c>
      <c r="E58" s="983"/>
      <c r="F58" s="970"/>
      <c r="G58" s="974">
        <f t="shared" si="3"/>
        <v>2089618.3663333301</v>
      </c>
      <c r="H58" s="974">
        <f t="shared" si="3"/>
        <v>3544618.3663333301</v>
      </c>
      <c r="I58" s="567"/>
      <c r="J58" s="567"/>
      <c r="K58" s="567"/>
      <c r="L58" s="567">
        <f t="shared" si="4"/>
        <v>1.0395998274409453</v>
      </c>
      <c r="M58" s="567">
        <f t="shared" si="5"/>
        <v>1.0440634920866434</v>
      </c>
      <c r="N58" s="567"/>
      <c r="O58" s="567"/>
      <c r="P58" s="567"/>
      <c r="Q58" s="567"/>
      <c r="R58" s="567"/>
      <c r="S58" s="567"/>
      <c r="T58" s="567"/>
    </row>
    <row r="59" spans="1:20" x14ac:dyDescent="0.2">
      <c r="A59" s="978"/>
      <c r="B59" s="984" t="s">
        <v>70</v>
      </c>
      <c r="C59" s="985">
        <v>2197552.8220000002</v>
      </c>
      <c r="D59" s="985">
        <v>3815552.8220000002</v>
      </c>
      <c r="E59" s="985"/>
      <c r="F59" s="985"/>
      <c r="G59" s="974">
        <f t="shared" si="3"/>
        <v>2197552.8220000002</v>
      </c>
      <c r="H59" s="974">
        <f t="shared" si="3"/>
        <v>3815552.8220000002</v>
      </c>
      <c r="I59" s="986"/>
      <c r="J59" s="987"/>
      <c r="K59" s="988"/>
      <c r="L59" s="567">
        <f t="shared" si="4"/>
        <v>1.093297977923273</v>
      </c>
      <c r="M59" s="567">
        <f t="shared" si="5"/>
        <v>1.1238669419013412</v>
      </c>
      <c r="N59" s="567"/>
      <c r="O59" s="567"/>
      <c r="P59" s="567"/>
      <c r="Q59" s="567"/>
      <c r="R59" s="567"/>
      <c r="S59" s="567"/>
      <c r="T59" s="567"/>
    </row>
    <row r="60" spans="1:20" x14ac:dyDescent="0.2">
      <c r="A60" s="978"/>
      <c r="B60" s="984">
        <v>1000.5</v>
      </c>
      <c r="C60" s="989">
        <v>2231590.15366667</v>
      </c>
      <c r="D60" s="989">
        <v>3626590.15366667</v>
      </c>
      <c r="E60" s="989"/>
      <c r="F60" s="989"/>
      <c r="G60" s="974">
        <f t="shared" si="3"/>
        <v>2231590.15366667</v>
      </c>
      <c r="H60" s="974">
        <f t="shared" si="3"/>
        <v>3626590.15366667</v>
      </c>
      <c r="I60" s="990"/>
      <c r="J60" s="991"/>
      <c r="K60" s="988"/>
      <c r="L60" s="567">
        <f t="shared" si="4"/>
        <v>1.1102317897127008</v>
      </c>
      <c r="M60" s="567">
        <f t="shared" si="5"/>
        <v>1.0682081930645266</v>
      </c>
      <c r="N60" s="567"/>
      <c r="O60" s="567"/>
      <c r="P60" s="567"/>
      <c r="Q60" s="567"/>
      <c r="R60" s="567"/>
      <c r="S60" s="567"/>
      <c r="T60" s="567"/>
    </row>
    <row r="61" spans="1:20" x14ac:dyDescent="0.2">
      <c r="A61" s="978"/>
      <c r="B61" s="992">
        <v>667.33333333333337</v>
      </c>
      <c r="C61" s="985">
        <v>2327972.3616666701</v>
      </c>
      <c r="D61" s="985">
        <v>3895972.3616666701</v>
      </c>
      <c r="E61" s="985"/>
      <c r="F61" s="985"/>
      <c r="G61" s="974">
        <f t="shared" si="3"/>
        <v>2327972.3616666701</v>
      </c>
      <c r="H61" s="974">
        <f t="shared" si="3"/>
        <v>3895972.3616666701</v>
      </c>
      <c r="I61" s="988"/>
      <c r="J61" s="567"/>
      <c r="K61" s="567"/>
      <c r="L61" s="567">
        <f t="shared" si="4"/>
        <v>1.1581826157676023</v>
      </c>
      <c r="M61" s="567">
        <f t="shared" si="5"/>
        <v>1.1475544300139862</v>
      </c>
      <c r="N61" s="567"/>
      <c r="O61" s="567"/>
      <c r="P61" s="567"/>
      <c r="Q61" s="567"/>
      <c r="R61" s="567"/>
      <c r="S61" s="567"/>
      <c r="T61" s="567"/>
    </row>
    <row r="62" spans="1:20" x14ac:dyDescent="0.2">
      <c r="A62" s="978"/>
      <c r="B62" s="993" t="s">
        <v>73</v>
      </c>
      <c r="C62" s="985">
        <v>2504506.085</v>
      </c>
      <c r="D62" s="985">
        <v>4134506.085</v>
      </c>
      <c r="E62" s="985"/>
      <c r="F62" s="985"/>
      <c r="G62" s="974">
        <f t="shared" si="3"/>
        <v>2504506.085</v>
      </c>
      <c r="H62" s="974">
        <f t="shared" si="3"/>
        <v>4134506.085</v>
      </c>
      <c r="I62" s="994"/>
      <c r="J62" s="988"/>
      <c r="K62" s="567"/>
      <c r="L62" s="567">
        <f t="shared" si="4"/>
        <v>1.2460093841726241</v>
      </c>
      <c r="M62" s="567">
        <f t="shared" si="5"/>
        <v>1.2178142792912006</v>
      </c>
      <c r="N62" s="567"/>
      <c r="O62" s="567"/>
      <c r="P62" s="567"/>
      <c r="Q62" s="567"/>
      <c r="R62" s="567"/>
      <c r="S62" s="567"/>
      <c r="T62" s="567"/>
    </row>
    <row r="63" spans="1:20" x14ac:dyDescent="0.2">
      <c r="A63" s="978"/>
      <c r="B63" s="993" t="s">
        <v>74</v>
      </c>
      <c r="C63" s="985">
        <v>4421465.1339764148</v>
      </c>
      <c r="D63" s="985">
        <v>5115514.2809764491</v>
      </c>
      <c r="E63" s="985"/>
      <c r="F63" s="985"/>
      <c r="G63" s="990"/>
      <c r="H63" s="995"/>
      <c r="I63" s="994">
        <f>C63</f>
        <v>4421465.1339764148</v>
      </c>
      <c r="J63" s="994">
        <f>D63</f>
        <v>5115514.2809764491</v>
      </c>
      <c r="K63" s="567"/>
      <c r="L63" s="567">
        <f t="shared" si="4"/>
        <v>2.199709987419209</v>
      </c>
      <c r="M63" s="567">
        <f t="shared" si="5"/>
        <v>1.5067691785223671</v>
      </c>
      <c r="N63" s="567"/>
      <c r="O63" s="567"/>
      <c r="P63" s="567"/>
      <c r="Q63" s="567"/>
      <c r="R63" s="567"/>
      <c r="S63" s="567"/>
      <c r="T63" s="567"/>
    </row>
    <row r="64" spans="1:20" x14ac:dyDescent="0.2">
      <c r="A64" s="978"/>
      <c r="B64" s="993" t="s">
        <v>75</v>
      </c>
      <c r="C64" s="985">
        <v>5047095.5</v>
      </c>
      <c r="D64" s="985">
        <v>5839664.3710000003</v>
      </c>
      <c r="E64" s="985"/>
      <c r="F64" s="985"/>
      <c r="G64" s="990"/>
      <c r="H64" s="995"/>
      <c r="I64" s="994">
        <f t="shared" ref="I64:I70" si="6">C64</f>
        <v>5047095.5</v>
      </c>
      <c r="J64" s="994">
        <f t="shared" ref="J64:J70" si="7">D64</f>
        <v>5839664.3710000003</v>
      </c>
      <c r="K64" s="567"/>
      <c r="L64" s="567">
        <f t="shared" si="4"/>
        <v>2.5109654927492113</v>
      </c>
      <c r="M64" s="567">
        <f t="shared" si="5"/>
        <v>1.7200668014670166</v>
      </c>
      <c r="N64" s="567"/>
      <c r="O64" s="567"/>
      <c r="P64" s="567"/>
      <c r="Q64" s="567"/>
      <c r="R64" s="567"/>
      <c r="S64" s="567"/>
      <c r="T64" s="567"/>
    </row>
    <row r="65" spans="1:20" x14ac:dyDescent="0.2">
      <c r="A65" s="567"/>
      <c r="B65" s="993" t="s">
        <v>76</v>
      </c>
      <c r="C65" s="985">
        <v>5692813.6799999997</v>
      </c>
      <c r="D65" s="985">
        <v>6568362.6799999997</v>
      </c>
      <c r="E65" s="985"/>
      <c r="F65" s="985"/>
      <c r="G65" s="990"/>
      <c r="H65" s="995"/>
      <c r="I65" s="994">
        <f t="shared" si="6"/>
        <v>5692813.6799999997</v>
      </c>
      <c r="J65" s="994">
        <f t="shared" si="7"/>
        <v>6568362.6799999997</v>
      </c>
      <c r="K65" s="567"/>
      <c r="L65" s="567">
        <f t="shared" si="4"/>
        <v>2.8322148267514748</v>
      </c>
      <c r="M65" s="567">
        <f t="shared" si="5"/>
        <v>1.9347040973740441</v>
      </c>
      <c r="N65" s="567"/>
      <c r="O65" s="567"/>
      <c r="P65" s="567"/>
      <c r="Q65" s="567"/>
      <c r="R65" s="567"/>
      <c r="S65" s="567"/>
      <c r="T65" s="567"/>
    </row>
    <row r="66" spans="1:20" x14ac:dyDescent="0.2">
      <c r="A66" s="567"/>
      <c r="B66" s="993" t="s">
        <v>4</v>
      </c>
      <c r="C66" s="985">
        <v>6597634.0729</v>
      </c>
      <c r="D66" s="985">
        <v>7784592.0729</v>
      </c>
      <c r="E66" s="985"/>
      <c r="F66" s="985"/>
      <c r="G66" s="990"/>
      <c r="H66" s="995"/>
      <c r="I66" s="994">
        <f t="shared" si="6"/>
        <v>6597634.0729</v>
      </c>
      <c r="J66" s="994">
        <f t="shared" si="7"/>
        <v>7784592.0729</v>
      </c>
      <c r="K66" s="567"/>
      <c r="L66" s="567">
        <f t="shared" si="4"/>
        <v>3.2823693331814967</v>
      </c>
      <c r="M66" s="567">
        <f t="shared" si="5"/>
        <v>2.2929431448242035</v>
      </c>
      <c r="N66" s="567"/>
      <c r="O66" s="567"/>
      <c r="P66" s="567"/>
      <c r="Q66" s="567"/>
      <c r="R66" s="567"/>
      <c r="S66" s="567"/>
      <c r="T66" s="567"/>
    </row>
    <row r="67" spans="1:20" x14ac:dyDescent="0.2">
      <c r="A67" s="567"/>
      <c r="B67" s="993" t="s">
        <v>5</v>
      </c>
      <c r="C67" s="985">
        <v>6302210.0633199997</v>
      </c>
      <c r="D67" s="985">
        <v>7426030.9178999998</v>
      </c>
      <c r="E67" s="985"/>
      <c r="F67" s="985"/>
      <c r="G67" s="990"/>
      <c r="H67" s="996"/>
      <c r="I67" s="994">
        <f t="shared" si="6"/>
        <v>6302210.0633199997</v>
      </c>
      <c r="J67" s="994">
        <f t="shared" si="7"/>
        <v>7426030.9178999998</v>
      </c>
      <c r="K67" s="567"/>
      <c r="L67" s="567">
        <f t="shared" si="4"/>
        <v>3.1353938115602014</v>
      </c>
      <c r="M67" s="567">
        <f t="shared" si="5"/>
        <v>2.1873293458404865</v>
      </c>
      <c r="N67" s="567"/>
      <c r="O67" s="567"/>
      <c r="P67" s="567"/>
      <c r="Q67" s="1446"/>
      <c r="R67" s="1447"/>
      <c r="S67" s="567"/>
      <c r="T67" s="567"/>
    </row>
    <row r="68" spans="1:20" x14ac:dyDescent="0.2">
      <c r="A68" s="567"/>
      <c r="B68" s="993" t="s">
        <v>6</v>
      </c>
      <c r="C68" s="985">
        <v>6516513.7579399999</v>
      </c>
      <c r="D68" s="985">
        <v>7635390.1285600001</v>
      </c>
      <c r="E68" s="985"/>
      <c r="F68" s="985"/>
      <c r="G68" s="990"/>
      <c r="H68" s="997"/>
      <c r="I68" s="994">
        <f t="shared" si="6"/>
        <v>6516513.7579399999</v>
      </c>
      <c r="J68" s="994">
        <f t="shared" si="7"/>
        <v>7635390.1285600001</v>
      </c>
      <c r="K68" s="567"/>
      <c r="L68" s="567">
        <f t="shared" si="4"/>
        <v>3.2420114062063665</v>
      </c>
      <c r="M68" s="567">
        <f t="shared" si="5"/>
        <v>2.2489958740789815</v>
      </c>
      <c r="N68" s="567"/>
      <c r="O68" s="567"/>
      <c r="P68" s="567"/>
      <c r="Q68" s="1446"/>
      <c r="R68" s="1447"/>
      <c r="S68" s="567"/>
      <c r="T68" s="567"/>
    </row>
    <row r="69" spans="1:20" x14ac:dyDescent="0.2">
      <c r="A69" s="567"/>
      <c r="B69" s="993" t="s">
        <v>7</v>
      </c>
      <c r="C69" s="985">
        <v>6839898</v>
      </c>
      <c r="D69" s="985">
        <v>8025361</v>
      </c>
      <c r="E69" s="985"/>
      <c r="F69" s="985"/>
      <c r="G69" s="990"/>
      <c r="H69" s="996"/>
      <c r="I69" s="994">
        <f t="shared" si="6"/>
        <v>6839898</v>
      </c>
      <c r="J69" s="994">
        <f t="shared" si="7"/>
        <v>8025361</v>
      </c>
      <c r="K69" s="567"/>
      <c r="L69" s="567">
        <f t="shared" si="4"/>
        <v>3.4028973400492113</v>
      </c>
      <c r="M69" s="567">
        <f t="shared" si="5"/>
        <v>2.363861370944556</v>
      </c>
      <c r="N69" s="567"/>
      <c r="O69" s="567"/>
      <c r="P69" s="567"/>
      <c r="Q69" s="998"/>
      <c r="R69" s="1447"/>
      <c r="S69" s="567"/>
      <c r="T69" s="567"/>
    </row>
    <row r="70" spans="1:20" x14ac:dyDescent="0.2">
      <c r="A70" s="567"/>
      <c r="B70" s="996" t="s">
        <v>489</v>
      </c>
      <c r="C70" s="999">
        <v>7363126.411328</v>
      </c>
      <c r="D70" s="1000">
        <v>8265079.0023079999</v>
      </c>
      <c r="E70" s="1001"/>
      <c r="F70" s="1001"/>
      <c r="G70" s="1002"/>
      <c r="H70" s="1001"/>
      <c r="I70" s="994">
        <f t="shared" si="6"/>
        <v>7363126.411328</v>
      </c>
      <c r="J70" s="994">
        <f t="shared" si="7"/>
        <v>8265079.0023079999</v>
      </c>
      <c r="K70" s="567"/>
      <c r="L70" s="567">
        <f t="shared" si="4"/>
        <v>3.6632071530239405</v>
      </c>
      <c r="M70" s="567">
        <f t="shared" si="5"/>
        <v>2.4344700483082131</v>
      </c>
      <c r="N70" s="567"/>
      <c r="O70" s="567"/>
      <c r="P70" s="567"/>
      <c r="Q70" s="1446"/>
      <c r="R70" s="1447"/>
      <c r="S70" s="567"/>
      <c r="T70" s="567"/>
    </row>
    <row r="71" spans="1:20" x14ac:dyDescent="0.2">
      <c r="A71" s="567"/>
      <c r="B71" s="1007"/>
      <c r="C71" s="999"/>
      <c r="D71" s="1000"/>
      <c r="E71" s="1001"/>
      <c r="F71" s="1001"/>
      <c r="G71" s="996"/>
      <c r="H71" s="996"/>
      <c r="I71" s="809"/>
      <c r="J71" s="809"/>
      <c r="K71" s="567"/>
      <c r="L71" s="567"/>
      <c r="M71" s="567"/>
      <c r="N71" s="567"/>
      <c r="O71" s="567"/>
      <c r="P71" s="567"/>
      <c r="Q71" s="994"/>
      <c r="R71" s="809"/>
      <c r="S71" s="567"/>
      <c r="T71" s="567"/>
    </row>
    <row r="72" spans="1:20" x14ac:dyDescent="0.2">
      <c r="A72" s="567"/>
      <c r="B72" s="996"/>
      <c r="C72" s="999"/>
      <c r="D72" s="1000"/>
      <c r="E72" s="1001"/>
      <c r="F72" s="1001"/>
      <c r="G72" s="997"/>
      <c r="H72" s="997"/>
      <c r="I72" s="1008"/>
      <c r="J72" s="809"/>
      <c r="K72" s="567"/>
      <c r="L72" s="567"/>
      <c r="M72" s="567"/>
      <c r="N72" s="567"/>
      <c r="O72" s="567"/>
      <c r="P72" s="567"/>
      <c r="Q72" s="994"/>
      <c r="R72" s="809"/>
      <c r="S72" s="567"/>
      <c r="T72" s="567"/>
    </row>
    <row r="73" spans="1:20" x14ac:dyDescent="0.2">
      <c r="A73" s="567"/>
      <c r="B73" s="1007"/>
      <c r="C73" s="999"/>
      <c r="D73" s="1001"/>
      <c r="E73" s="809"/>
      <c r="F73" s="809"/>
      <c r="G73" s="809"/>
      <c r="H73" s="809"/>
      <c r="I73" s="809"/>
      <c r="J73" s="809"/>
      <c r="K73" s="567"/>
      <c r="L73" s="567"/>
      <c r="M73" s="567"/>
      <c r="N73" s="567"/>
      <c r="O73" s="567"/>
      <c r="P73" s="567"/>
      <c r="Q73" s="988"/>
      <c r="R73" s="567"/>
      <c r="S73" s="567"/>
      <c r="T73" s="567"/>
    </row>
    <row r="74" spans="1:20" x14ac:dyDescent="0.2">
      <c r="A74" s="567"/>
      <c r="B74" s="1007"/>
      <c r="C74" s="999"/>
      <c r="D74" s="1001"/>
      <c r="E74" s="809"/>
      <c r="F74" s="809"/>
      <c r="G74" s="809"/>
      <c r="H74" s="809"/>
      <c r="I74" s="809"/>
      <c r="J74" s="809"/>
      <c r="K74" s="567"/>
      <c r="L74" s="567"/>
      <c r="M74" s="567"/>
      <c r="N74" s="567"/>
      <c r="O74" s="567"/>
      <c r="P74" s="567"/>
      <c r="Q74" s="988"/>
      <c r="R74" s="567"/>
      <c r="S74" s="567"/>
      <c r="T74" s="567"/>
    </row>
    <row r="75" spans="1:20" x14ac:dyDescent="0.2">
      <c r="A75" s="567"/>
      <c r="B75" s="1007"/>
      <c r="C75" s="999"/>
      <c r="D75" s="1001"/>
      <c r="E75" s="809"/>
      <c r="F75" s="809"/>
      <c r="G75" s="809"/>
      <c r="H75" s="809"/>
      <c r="I75" s="809"/>
      <c r="J75" s="809"/>
      <c r="K75" s="567"/>
      <c r="L75" s="567"/>
      <c r="M75" s="567"/>
      <c r="N75" s="567"/>
      <c r="O75" s="567"/>
      <c r="P75" s="567"/>
      <c r="Q75" s="988"/>
      <c r="R75" s="567"/>
      <c r="S75" s="567"/>
      <c r="T75" s="567"/>
    </row>
    <row r="76" spans="1:20" x14ac:dyDescent="0.2">
      <c r="A76" s="567"/>
      <c r="B76" s="1007"/>
      <c r="C76" s="999"/>
      <c r="D76" s="1001"/>
      <c r="E76" s="809"/>
      <c r="F76" s="809"/>
      <c r="G76" s="809"/>
      <c r="H76" s="809"/>
      <c r="I76" s="809"/>
      <c r="J76" s="809"/>
      <c r="K76" s="567"/>
      <c r="L76" s="567"/>
      <c r="M76" s="567"/>
      <c r="N76" s="567"/>
      <c r="O76" s="567"/>
      <c r="P76" s="567"/>
      <c r="Q76" s="988"/>
      <c r="R76" s="567"/>
      <c r="S76" s="567"/>
      <c r="T76" s="567"/>
    </row>
    <row r="77" spans="1:20" x14ac:dyDescent="0.2">
      <c r="A77" s="567"/>
      <c r="B77" s="1007"/>
      <c r="C77" s="999"/>
      <c r="D77" s="1001"/>
      <c r="E77" s="809"/>
      <c r="F77" s="809"/>
      <c r="G77" s="809"/>
      <c r="H77" s="809"/>
      <c r="I77" s="809"/>
      <c r="J77" s="809"/>
      <c r="K77" s="567"/>
      <c r="L77" s="567"/>
      <c r="M77" s="567"/>
      <c r="N77" s="567"/>
      <c r="O77" s="567"/>
      <c r="P77" s="567"/>
      <c r="Q77" s="567"/>
      <c r="R77" s="567"/>
      <c r="S77" s="567"/>
      <c r="T77" s="567"/>
    </row>
    <row r="78" spans="1:20" x14ac:dyDescent="0.2">
      <c r="A78" s="567"/>
      <c r="B78" s="970"/>
      <c r="C78" s="977"/>
      <c r="D78" s="977"/>
      <c r="E78" s="970"/>
      <c r="F78" s="970"/>
      <c r="G78" s="970"/>
      <c r="H78" s="970"/>
      <c r="I78" s="974"/>
      <c r="J78" s="809"/>
      <c r="K78" s="1950"/>
      <c r="L78" s="1950"/>
      <c r="M78" s="1950"/>
      <c r="N78" s="567"/>
      <c r="O78" s="567"/>
      <c r="P78" s="567"/>
      <c r="Q78" s="567"/>
      <c r="R78" s="567"/>
      <c r="S78" s="567"/>
      <c r="T78" s="567"/>
    </row>
    <row r="79" spans="1:20" x14ac:dyDescent="0.2">
      <c r="A79" s="567"/>
      <c r="B79" s="970"/>
      <c r="C79" s="977"/>
      <c r="D79" s="977"/>
      <c r="E79" s="970"/>
      <c r="F79" s="970"/>
      <c r="G79" s="970"/>
      <c r="H79" s="970"/>
      <c r="I79" s="974"/>
      <c r="J79" s="809"/>
      <c r="K79" s="1951"/>
      <c r="L79" s="1952"/>
      <c r="M79" s="1952"/>
      <c r="N79" s="567"/>
      <c r="O79" s="567"/>
      <c r="P79" s="567"/>
      <c r="Q79" s="567"/>
      <c r="R79" s="567"/>
      <c r="S79" s="567"/>
      <c r="T79" s="567"/>
    </row>
    <row r="80" spans="1:20" x14ac:dyDescent="0.2">
      <c r="A80" s="567"/>
      <c r="B80" s="984"/>
      <c r="C80" s="1004"/>
      <c r="D80" s="1004"/>
      <c r="E80" s="1004"/>
      <c r="F80" s="1004"/>
      <c r="G80" s="1004"/>
      <c r="H80" s="1004"/>
      <c r="I80" s="1005"/>
      <c r="J80" s="1005"/>
      <c r="K80" s="1005"/>
      <c r="L80" s="1005"/>
      <c r="M80" s="1005"/>
      <c r="N80" s="1005"/>
      <c r="O80" s="1005"/>
      <c r="P80" s="1004"/>
      <c r="Q80" s="567"/>
      <c r="R80" s="567"/>
      <c r="S80" s="567"/>
      <c r="T80" s="567"/>
    </row>
    <row r="81" spans="1:20" x14ac:dyDescent="0.2">
      <c r="A81" s="567"/>
      <c r="B81" s="1006"/>
      <c r="C81" s="1006"/>
      <c r="D81" s="1006"/>
      <c r="E81" s="1006"/>
      <c r="F81" s="1006"/>
      <c r="G81" s="1006"/>
      <c r="H81" s="1006"/>
      <c r="I81" s="1006"/>
      <c r="J81" s="1006"/>
      <c r="K81" s="1006"/>
      <c r="L81" s="1006"/>
      <c r="M81" s="1006"/>
      <c r="N81" s="1006"/>
      <c r="O81" s="1006"/>
      <c r="P81" s="1006"/>
      <c r="Q81" s="567"/>
      <c r="R81" s="567"/>
      <c r="S81" s="567"/>
      <c r="T81" s="567"/>
    </row>
    <row r="82" spans="1:20" x14ac:dyDescent="0.2">
      <c r="A82" s="567"/>
      <c r="B82" s="1006"/>
      <c r="C82" s="1006"/>
      <c r="D82" s="1006"/>
      <c r="E82" s="1006"/>
      <c r="F82" s="1006"/>
      <c r="G82" s="1006"/>
      <c r="H82" s="1006"/>
      <c r="I82" s="1006"/>
      <c r="J82" s="1006"/>
      <c r="K82" s="1006"/>
      <c r="L82" s="1006"/>
      <c r="M82" s="1006"/>
      <c r="N82" s="1006"/>
      <c r="O82" s="1006"/>
      <c r="P82" s="1006"/>
      <c r="Q82" s="567"/>
      <c r="R82" s="567"/>
      <c r="S82" s="567"/>
      <c r="T82" s="567"/>
    </row>
    <row r="83" spans="1:20" x14ac:dyDescent="0.2">
      <c r="A83" s="567"/>
      <c r="B83" s="1006"/>
      <c r="C83" s="1006"/>
      <c r="D83" s="1006"/>
      <c r="E83" s="1006"/>
      <c r="F83" s="1006"/>
      <c r="G83" s="1006"/>
      <c r="H83" s="1006"/>
      <c r="I83" s="1006"/>
      <c r="J83" s="1006"/>
      <c r="K83" s="1006"/>
      <c r="L83" s="1006"/>
      <c r="M83" s="1006"/>
      <c r="N83" s="1006"/>
      <c r="O83" s="1006"/>
      <c r="P83" s="1006"/>
      <c r="Q83" s="567"/>
      <c r="R83" s="567"/>
      <c r="S83" s="567"/>
      <c r="T83" s="567"/>
    </row>
    <row r="84" spans="1:20" x14ac:dyDescent="0.2">
      <c r="A84" s="978"/>
      <c r="B84" s="1006"/>
      <c r="C84" s="1006"/>
      <c r="D84" s="1006"/>
      <c r="E84" s="1006"/>
      <c r="F84" s="1006"/>
      <c r="G84" s="1006"/>
      <c r="H84" s="1006"/>
      <c r="I84" s="1006"/>
      <c r="J84" s="1006"/>
      <c r="K84" s="1006"/>
      <c r="L84" s="1006"/>
      <c r="M84" s="1006"/>
      <c r="N84" s="1006"/>
      <c r="O84" s="1006"/>
      <c r="P84" s="1006"/>
      <c r="Q84" s="567"/>
      <c r="R84" s="567"/>
      <c r="S84" s="567"/>
      <c r="T84" s="567"/>
    </row>
    <row r="85" spans="1:20" x14ac:dyDescent="0.2">
      <c r="A85" s="978"/>
      <c r="B85" s="1006"/>
      <c r="C85" s="1006"/>
      <c r="D85" s="1006"/>
      <c r="E85" s="1006"/>
      <c r="F85" s="1006"/>
      <c r="G85" s="1006"/>
      <c r="H85" s="1006"/>
      <c r="I85" s="1006"/>
      <c r="J85" s="1006"/>
      <c r="K85" s="1006"/>
      <c r="L85" s="1006"/>
      <c r="M85" s="1006"/>
      <c r="N85" s="1006"/>
      <c r="O85" s="1006"/>
      <c r="P85" s="1006"/>
      <c r="Q85" s="567"/>
      <c r="R85" s="567"/>
      <c r="S85" s="567"/>
      <c r="T85" s="567"/>
    </row>
    <row r="86" spans="1:20" x14ac:dyDescent="0.2">
      <c r="A86" s="978"/>
      <c r="B86" s="1006"/>
      <c r="C86" s="1006"/>
      <c r="D86" s="1006"/>
      <c r="E86" s="1006"/>
      <c r="F86" s="1006"/>
      <c r="G86" s="1006"/>
      <c r="H86" s="1006"/>
      <c r="I86" s="1006"/>
      <c r="J86" s="1006"/>
      <c r="K86" s="1006"/>
      <c r="L86" s="1006"/>
      <c r="M86" s="1006"/>
      <c r="N86" s="1006"/>
      <c r="O86" s="1006"/>
      <c r="P86" s="1006"/>
      <c r="Q86" s="567"/>
      <c r="R86" s="567"/>
      <c r="S86" s="567"/>
      <c r="T86" s="567"/>
    </row>
    <row r="87" spans="1:20" x14ac:dyDescent="0.2">
      <c r="A87" s="567"/>
      <c r="B87" s="1006"/>
      <c r="C87" s="1006"/>
      <c r="D87" s="1006"/>
      <c r="E87" s="1006"/>
      <c r="F87" s="1006"/>
      <c r="G87" s="1006"/>
      <c r="H87" s="1006"/>
      <c r="I87" s="1006"/>
      <c r="J87" s="1006"/>
      <c r="K87" s="1006"/>
      <c r="L87" s="1006"/>
      <c r="M87" s="1006"/>
      <c r="N87" s="1006"/>
      <c r="O87" s="1006"/>
      <c r="P87" s="1006"/>
      <c r="Q87" s="567"/>
      <c r="R87" s="567"/>
      <c r="S87" s="567"/>
      <c r="T87" s="567"/>
    </row>
    <row r="88" spans="1:20" x14ac:dyDescent="0.2">
      <c r="A88" s="567"/>
      <c r="B88" s="1006"/>
      <c r="C88" s="1006"/>
      <c r="D88" s="1006"/>
      <c r="E88" s="1006"/>
      <c r="F88" s="1006"/>
      <c r="G88" s="1006"/>
      <c r="H88" s="1006"/>
      <c r="I88" s="1006"/>
      <c r="J88" s="1006"/>
      <c r="K88" s="1006"/>
      <c r="L88" s="1006"/>
      <c r="M88" s="1006"/>
      <c r="N88" s="1006"/>
      <c r="O88" s="1006"/>
      <c r="P88" s="1006"/>
      <c r="Q88" s="567"/>
      <c r="R88" s="567"/>
      <c r="S88" s="567"/>
      <c r="T88" s="567"/>
    </row>
    <row r="89" spans="1:20" x14ac:dyDescent="0.2">
      <c r="A89" s="567"/>
      <c r="B89" s="1006"/>
      <c r="C89" s="1006"/>
      <c r="D89" s="1006"/>
      <c r="E89" s="1006"/>
      <c r="F89" s="1006"/>
      <c r="G89" s="1006"/>
      <c r="H89" s="1006"/>
      <c r="I89" s="1006"/>
      <c r="J89" s="1006"/>
      <c r="K89" s="1006"/>
      <c r="L89" s="1006"/>
      <c r="M89" s="1006"/>
      <c r="N89" s="1006"/>
      <c r="O89" s="1006"/>
      <c r="P89" s="1006"/>
      <c r="Q89" s="567"/>
      <c r="R89" s="567"/>
      <c r="S89" s="567"/>
      <c r="T89" s="567"/>
    </row>
    <row r="90" spans="1:20" x14ac:dyDescent="0.2">
      <c r="A90" s="978"/>
      <c r="B90" s="984"/>
      <c r="C90" s="985"/>
      <c r="D90" s="985"/>
      <c r="E90" s="985"/>
      <c r="F90" s="985"/>
      <c r="G90" s="992"/>
      <c r="H90" s="992"/>
      <c r="I90" s="986"/>
      <c r="J90" s="987"/>
      <c r="K90" s="988"/>
      <c r="L90" s="567"/>
      <c r="M90" s="567"/>
      <c r="N90" s="567"/>
      <c r="O90" s="567"/>
      <c r="P90" s="567"/>
      <c r="Q90" s="567"/>
      <c r="R90" s="567"/>
      <c r="S90" s="567"/>
      <c r="T90" s="567"/>
    </row>
    <row r="91" spans="1:20" x14ac:dyDescent="0.2">
      <c r="A91" s="978"/>
      <c r="B91" s="1072"/>
      <c r="C91" s="989"/>
      <c r="D91" s="989"/>
      <c r="E91" s="989"/>
      <c r="F91" s="989"/>
      <c r="G91" s="1073"/>
      <c r="H91" s="1002"/>
      <c r="I91" s="990"/>
      <c r="J91" s="991"/>
      <c r="K91" s="988"/>
      <c r="L91" s="567"/>
      <c r="M91" s="567"/>
      <c r="N91" s="567"/>
      <c r="O91" s="567"/>
      <c r="P91" s="567"/>
      <c r="Q91" s="567"/>
      <c r="R91" s="567"/>
      <c r="S91" s="567"/>
      <c r="T91" s="567"/>
    </row>
    <row r="92" spans="1:20" x14ac:dyDescent="0.2">
      <c r="A92" s="978"/>
      <c r="B92" s="1002"/>
      <c r="C92" s="999"/>
      <c r="D92" s="999"/>
      <c r="E92" s="999"/>
      <c r="F92" s="999"/>
      <c r="G92" s="1002"/>
      <c r="H92" s="1002"/>
      <c r="I92" s="990"/>
      <c r="J92" s="994"/>
      <c r="K92" s="988"/>
      <c r="L92" s="567"/>
      <c r="M92" s="567"/>
      <c r="N92" s="567"/>
      <c r="O92" s="567"/>
      <c r="P92" s="567"/>
      <c r="Q92" s="567"/>
      <c r="R92" s="567"/>
      <c r="S92" s="567"/>
      <c r="T92" s="567"/>
    </row>
    <row r="93" spans="1:20" x14ac:dyDescent="0.2">
      <c r="A93" s="978"/>
      <c r="B93" s="996"/>
      <c r="C93" s="999"/>
      <c r="D93" s="999"/>
      <c r="E93" s="999"/>
      <c r="F93" s="999"/>
      <c r="G93" s="1002"/>
      <c r="H93" s="996"/>
      <c r="I93" s="995"/>
      <c r="J93" s="994"/>
      <c r="K93" s="988"/>
      <c r="L93" s="567"/>
      <c r="M93" s="567"/>
      <c r="N93" s="567"/>
      <c r="O93" s="567"/>
      <c r="P93" s="567"/>
      <c r="Q93" s="567"/>
      <c r="R93" s="567"/>
      <c r="S93" s="567"/>
      <c r="T93" s="567"/>
    </row>
    <row r="94" spans="1:20" x14ac:dyDescent="0.2">
      <c r="A94" s="978"/>
      <c r="B94" s="996"/>
      <c r="C94" s="999"/>
      <c r="D94" s="999"/>
      <c r="E94" s="999"/>
      <c r="F94" s="999"/>
      <c r="G94" s="1002"/>
      <c r="H94" s="1074"/>
      <c r="I94" s="995"/>
      <c r="J94" s="809"/>
      <c r="K94" s="567"/>
      <c r="L94" s="567"/>
      <c r="M94" s="567"/>
      <c r="N94" s="567"/>
      <c r="O94" s="567"/>
      <c r="P94" s="567"/>
      <c r="Q94" s="567"/>
      <c r="R94" s="567"/>
      <c r="S94" s="567"/>
      <c r="T94" s="567"/>
    </row>
    <row r="95" spans="1:20" x14ac:dyDescent="0.2">
      <c r="A95" s="978"/>
      <c r="B95" s="996"/>
      <c r="C95" s="999"/>
      <c r="D95" s="999"/>
      <c r="E95" s="999"/>
      <c r="F95" s="999"/>
      <c r="G95" s="1002"/>
      <c r="H95" s="1074"/>
      <c r="I95" s="995"/>
      <c r="J95" s="809"/>
      <c r="K95" s="567"/>
      <c r="L95" s="567"/>
      <c r="M95" s="567"/>
      <c r="N95" s="567"/>
      <c r="O95" s="567"/>
      <c r="P95" s="567"/>
      <c r="Q95" s="567"/>
      <c r="R95" s="567"/>
      <c r="S95" s="567"/>
      <c r="T95" s="567"/>
    </row>
    <row r="96" spans="1:20" x14ac:dyDescent="0.2">
      <c r="A96" s="567"/>
      <c r="B96" s="996"/>
      <c r="C96" s="999"/>
      <c r="D96" s="999"/>
      <c r="E96" s="999"/>
      <c r="F96" s="999"/>
      <c r="G96" s="1002"/>
      <c r="H96" s="1074"/>
      <c r="I96" s="995"/>
      <c r="J96" s="809"/>
      <c r="K96" s="567"/>
      <c r="L96" s="567"/>
      <c r="M96" s="567"/>
      <c r="N96" s="567"/>
      <c r="O96" s="567"/>
      <c r="P96" s="567"/>
      <c r="Q96" s="567"/>
      <c r="R96" s="567"/>
      <c r="S96" s="567"/>
      <c r="T96" s="567"/>
    </row>
    <row r="97" spans="1:20" x14ac:dyDescent="0.2">
      <c r="A97" s="567"/>
      <c r="B97" s="996"/>
      <c r="C97" s="999"/>
      <c r="D97" s="999"/>
      <c r="E97" s="999"/>
      <c r="F97" s="999"/>
      <c r="G97" s="1002"/>
      <c r="H97" s="1074"/>
      <c r="I97" s="995"/>
      <c r="J97" s="809"/>
      <c r="K97" s="567"/>
      <c r="L97" s="567"/>
      <c r="M97" s="567"/>
      <c r="N97" s="567"/>
      <c r="O97" s="567"/>
      <c r="P97" s="567"/>
      <c r="Q97" s="567"/>
      <c r="R97" s="567"/>
      <c r="S97" s="567"/>
      <c r="T97" s="567"/>
    </row>
    <row r="98" spans="1:20" x14ac:dyDescent="0.2">
      <c r="A98" s="567"/>
      <c r="B98" s="1007"/>
      <c r="C98" s="999"/>
      <c r="D98" s="1000"/>
      <c r="E98" s="999"/>
      <c r="F98" s="999"/>
      <c r="G98" s="1002"/>
      <c r="H98" s="996"/>
      <c r="I98" s="809"/>
      <c r="J98" s="809"/>
      <c r="K98" s="567"/>
      <c r="L98" s="567"/>
      <c r="M98" s="567"/>
      <c r="N98" s="567"/>
      <c r="O98" s="567"/>
      <c r="P98" s="567"/>
      <c r="Q98" s="567"/>
      <c r="R98" s="567"/>
      <c r="S98" s="567"/>
      <c r="T98" s="567"/>
    </row>
    <row r="99" spans="1:20" x14ac:dyDescent="0.2">
      <c r="A99" s="567"/>
      <c r="B99" s="996"/>
      <c r="C99" s="999"/>
      <c r="D99" s="1000"/>
      <c r="E99" s="999"/>
      <c r="F99" s="999"/>
      <c r="G99" s="1002"/>
      <c r="H99" s="997"/>
      <c r="I99" s="1071"/>
      <c r="J99" s="809"/>
      <c r="K99" s="567"/>
      <c r="L99" s="567"/>
      <c r="M99" s="567"/>
      <c r="N99" s="567"/>
      <c r="O99" s="567"/>
      <c r="P99" s="567"/>
      <c r="Q99" s="567"/>
      <c r="R99" s="567"/>
      <c r="S99" s="567"/>
      <c r="T99" s="567"/>
    </row>
    <row r="100" spans="1:20" x14ac:dyDescent="0.2">
      <c r="A100" s="567"/>
      <c r="B100" s="996"/>
      <c r="C100" s="999"/>
      <c r="D100" s="1000"/>
      <c r="E100" s="999"/>
      <c r="F100" s="999"/>
      <c r="G100" s="1002"/>
      <c r="H100" s="996"/>
      <c r="I100" s="809"/>
      <c r="J100" s="809"/>
      <c r="K100" s="567"/>
      <c r="L100" s="567"/>
      <c r="M100" s="567"/>
      <c r="N100" s="567"/>
      <c r="O100" s="567"/>
      <c r="P100" s="567"/>
      <c r="Q100" s="567"/>
      <c r="R100" s="567"/>
      <c r="S100" s="567"/>
      <c r="T100" s="567"/>
    </row>
    <row r="101" spans="1:20" x14ac:dyDescent="0.2">
      <c r="A101" s="567"/>
      <c r="B101" s="996"/>
      <c r="C101" s="999"/>
      <c r="D101" s="1000"/>
      <c r="E101" s="1001"/>
      <c r="F101" s="1001"/>
      <c r="G101" s="1002"/>
      <c r="H101" s="1001"/>
      <c r="I101" s="1071"/>
      <c r="J101" s="809"/>
      <c r="K101" s="567"/>
      <c r="L101" s="567"/>
      <c r="M101" s="567"/>
      <c r="N101" s="567"/>
      <c r="O101" s="567"/>
      <c r="P101" s="567"/>
      <c r="Q101" s="567"/>
      <c r="R101" s="567"/>
      <c r="S101" s="567"/>
      <c r="T101" s="567"/>
    </row>
    <row r="102" spans="1:20" x14ac:dyDescent="0.2">
      <c r="A102" s="567"/>
      <c r="B102" s="1007"/>
      <c r="C102" s="999"/>
      <c r="D102" s="1000"/>
      <c r="E102" s="1001"/>
      <c r="F102" s="1001"/>
      <c r="G102" s="996"/>
      <c r="H102" s="996"/>
      <c r="I102" s="809"/>
      <c r="J102" s="809"/>
      <c r="K102" s="567"/>
      <c r="L102" s="567"/>
      <c r="M102" s="567"/>
      <c r="N102" s="567"/>
      <c r="O102" s="567"/>
      <c r="P102" s="567"/>
      <c r="Q102" s="567"/>
      <c r="R102" s="567"/>
      <c r="S102" s="567"/>
      <c r="T102" s="567"/>
    </row>
    <row r="103" spans="1:20" x14ac:dyDescent="0.2">
      <c r="A103" s="567"/>
      <c r="B103" s="996"/>
      <c r="C103" s="999"/>
      <c r="D103" s="1000"/>
      <c r="E103" s="1001"/>
      <c r="F103" s="1001"/>
      <c r="G103" s="997"/>
      <c r="H103" s="997"/>
      <c r="I103" s="1008"/>
      <c r="J103" s="809"/>
      <c r="K103" s="567"/>
      <c r="L103" s="567"/>
      <c r="M103" s="567"/>
      <c r="N103" s="567"/>
      <c r="O103" s="567"/>
      <c r="P103" s="567"/>
      <c r="Q103" s="567"/>
      <c r="R103" s="567"/>
      <c r="S103" s="567"/>
      <c r="T103" s="567"/>
    </row>
    <row r="104" spans="1:20" x14ac:dyDescent="0.2">
      <c r="A104" s="567"/>
      <c r="B104" s="1007"/>
      <c r="C104" s="999"/>
      <c r="D104" s="1001"/>
      <c r="E104" s="809"/>
      <c r="F104" s="809"/>
      <c r="G104" s="809"/>
      <c r="H104" s="809"/>
      <c r="I104" s="809"/>
      <c r="J104" s="809"/>
      <c r="K104" s="567"/>
      <c r="L104" s="567"/>
      <c r="M104" s="567"/>
      <c r="N104" s="567"/>
      <c r="O104" s="567"/>
      <c r="P104" s="567"/>
      <c r="Q104" s="567"/>
      <c r="R104" s="567"/>
      <c r="S104" s="567"/>
      <c r="T104" s="567"/>
    </row>
    <row r="105" spans="1:20" x14ac:dyDescent="0.2">
      <c r="A105" s="567"/>
      <c r="B105" s="1007"/>
      <c r="C105" s="999"/>
      <c r="D105" s="1001"/>
      <c r="E105" s="809"/>
      <c r="F105" s="809"/>
      <c r="G105" s="809"/>
      <c r="H105" s="809"/>
      <c r="I105" s="809"/>
      <c r="J105" s="809"/>
      <c r="K105" s="567"/>
      <c r="L105" s="567"/>
      <c r="M105" s="567"/>
      <c r="N105" s="567"/>
      <c r="O105" s="567"/>
      <c r="P105" s="567"/>
      <c r="Q105" s="567"/>
      <c r="R105" s="567"/>
      <c r="S105" s="567"/>
      <c r="T105" s="567"/>
    </row>
    <row r="106" spans="1:20" x14ac:dyDescent="0.2">
      <c r="A106" s="567"/>
      <c r="B106" s="1007"/>
      <c r="C106" s="999"/>
      <c r="D106" s="1001"/>
      <c r="E106" s="809"/>
      <c r="F106" s="809"/>
      <c r="G106" s="809"/>
      <c r="H106" s="809"/>
      <c r="I106" s="809"/>
      <c r="J106" s="809"/>
      <c r="K106" s="567"/>
      <c r="L106" s="567"/>
      <c r="M106" s="567"/>
      <c r="N106" s="567"/>
      <c r="O106" s="567"/>
      <c r="P106" s="567"/>
      <c r="Q106" s="567"/>
      <c r="R106" s="567"/>
      <c r="S106" s="567"/>
      <c r="T106" s="567"/>
    </row>
    <row r="107" spans="1:20" x14ac:dyDescent="0.2">
      <c r="A107" s="567"/>
      <c r="B107" s="1007"/>
      <c r="C107" s="999"/>
      <c r="D107" s="1001"/>
      <c r="E107" s="809"/>
      <c r="F107" s="809"/>
      <c r="G107" s="809"/>
      <c r="H107" s="809"/>
      <c r="I107" s="809"/>
      <c r="J107" s="809"/>
      <c r="K107" s="567"/>
      <c r="L107" s="567"/>
      <c r="M107" s="567"/>
      <c r="N107" s="567"/>
      <c r="O107" s="567"/>
      <c r="P107" s="567"/>
      <c r="Q107" s="567"/>
      <c r="R107" s="567"/>
      <c r="S107" s="567"/>
      <c r="T107" s="567"/>
    </row>
    <row r="108" spans="1:20" x14ac:dyDescent="0.2">
      <c r="A108" s="567"/>
      <c r="B108" s="1007"/>
      <c r="C108" s="999"/>
      <c r="D108" s="1001"/>
      <c r="E108" s="809"/>
      <c r="F108" s="809"/>
      <c r="G108" s="809"/>
      <c r="H108" s="809"/>
      <c r="I108" s="809"/>
      <c r="J108" s="809"/>
      <c r="K108" s="567"/>
      <c r="L108" s="567"/>
      <c r="M108" s="567"/>
      <c r="N108" s="567"/>
      <c r="O108" s="567"/>
      <c r="P108" s="567"/>
      <c r="Q108" s="567"/>
      <c r="R108" s="567"/>
      <c r="S108" s="567"/>
      <c r="T108" s="567"/>
    </row>
    <row r="109" spans="1:20" x14ac:dyDescent="0.2">
      <c r="A109" s="567"/>
      <c r="B109" s="567"/>
      <c r="C109" s="999"/>
      <c r="D109" s="567"/>
      <c r="E109" s="809"/>
      <c r="F109" s="809"/>
      <c r="G109" s="809"/>
      <c r="H109" s="809"/>
      <c r="I109" s="809"/>
      <c r="J109" s="809"/>
      <c r="K109" s="567"/>
      <c r="L109" s="567"/>
      <c r="M109" s="567"/>
      <c r="N109" s="567"/>
      <c r="O109" s="567"/>
      <c r="P109" s="567"/>
      <c r="Q109" s="567"/>
      <c r="R109" s="567"/>
      <c r="S109" s="567"/>
      <c r="T109" s="567"/>
    </row>
    <row r="110" spans="1:20" x14ac:dyDescent="0.2">
      <c r="A110" s="567"/>
      <c r="B110" s="567"/>
      <c r="C110" s="567"/>
      <c r="D110" s="567"/>
      <c r="E110" s="567"/>
      <c r="F110" s="567"/>
      <c r="G110" s="567"/>
      <c r="H110" s="567"/>
      <c r="I110" s="567"/>
      <c r="J110" s="809"/>
      <c r="K110" s="567"/>
      <c r="L110" s="567"/>
      <c r="M110" s="567"/>
      <c r="N110" s="567"/>
      <c r="O110" s="567"/>
      <c r="P110" s="567"/>
      <c r="Q110" s="567"/>
      <c r="R110" s="567"/>
      <c r="S110" s="567"/>
      <c r="T110" s="567"/>
    </row>
    <row r="111" spans="1:20" x14ac:dyDescent="0.2">
      <c r="A111" s="567"/>
      <c r="B111" s="978"/>
      <c r="C111" s="567"/>
      <c r="D111" s="567"/>
      <c r="E111" s="567"/>
      <c r="F111" s="567"/>
      <c r="G111" s="567"/>
      <c r="H111" s="567"/>
      <c r="I111" s="567"/>
      <c r="J111" s="567"/>
      <c r="K111" s="567"/>
      <c r="L111" s="567"/>
      <c r="M111" s="567"/>
      <c r="N111" s="567"/>
      <c r="O111" s="567"/>
      <c r="P111" s="567"/>
      <c r="Q111" s="567"/>
      <c r="R111" s="567"/>
      <c r="S111" s="567"/>
      <c r="T111" s="567"/>
    </row>
    <row r="112" spans="1:20" x14ac:dyDescent="0.2">
      <c r="B112" s="754"/>
    </row>
    <row r="113" spans="2:2" x14ac:dyDescent="0.2">
      <c r="B113" s="754"/>
    </row>
    <row r="114" spans="2:2" x14ac:dyDescent="0.2">
      <c r="B114" s="754"/>
    </row>
    <row r="115" spans="2:2" x14ac:dyDescent="0.2">
      <c r="B115" s="754"/>
    </row>
    <row r="116" spans="2:2" x14ac:dyDescent="0.2">
      <c r="B116" s="754"/>
    </row>
  </sheetData>
  <mergeCells count="10">
    <mergeCell ref="D11:E11"/>
    <mergeCell ref="K78:M78"/>
    <mergeCell ref="K79:M79"/>
    <mergeCell ref="I11:J11"/>
    <mergeCell ref="I12:J12"/>
    <mergeCell ref="K12:L12"/>
    <mergeCell ref="I13:J13"/>
    <mergeCell ref="K13:L13"/>
    <mergeCell ref="I14:J14"/>
    <mergeCell ref="K14:L14"/>
  </mergeCells>
  <conditionalFormatting sqref="E12:E43">
    <cfRule type="iconSet" priority="6">
      <iconSet iconSet="3Arrows" showValue="0">
        <cfvo type="percent" val="0"/>
        <cfvo type="num" val="0"/>
        <cfvo type="num" val="0"/>
      </iconSet>
    </cfRule>
  </conditionalFormatting>
  <dataValidations count="2">
    <dataValidation type="list" allowBlank="1" showInputMessage="1" showErrorMessage="1" sqref="E58">
      <formula1>Capitalcosts</formula1>
    </dataValidation>
    <dataValidation type="list" allowBlank="1" showInputMessage="1" showErrorMessage="1" sqref="B58">
      <formula1>pcts</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1138" r:id="rId4" name="Check Box 2">
              <controlPr defaultSize="0" autoFill="0" autoLine="0" autoPict="0">
                <anchor moveWithCells="1">
                  <from>
                    <xdr:col>0</xdr:col>
                    <xdr:colOff>600075</xdr:colOff>
                    <xdr:row>28</xdr:row>
                    <xdr:rowOff>28575</xdr:rowOff>
                  </from>
                  <to>
                    <xdr:col>2</xdr:col>
                    <xdr:colOff>962025</xdr:colOff>
                    <xdr:row>29</xdr:row>
                    <xdr:rowOff>66675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I51"/>
  <sheetViews>
    <sheetView topLeftCell="A27" workbookViewId="0">
      <selection activeCell="A47" sqref="A47"/>
    </sheetView>
  </sheetViews>
  <sheetFormatPr defaultRowHeight="15" x14ac:dyDescent="0.25"/>
  <cols>
    <col min="1" max="1" width="57.5703125" bestFit="1" customWidth="1"/>
  </cols>
  <sheetData>
    <row r="1" spans="1:9" x14ac:dyDescent="0.25">
      <c r="B1" s="233"/>
      <c r="C1" s="233"/>
      <c r="D1" s="233"/>
      <c r="E1" s="233"/>
      <c r="F1" s="233"/>
      <c r="G1" s="233"/>
      <c r="H1" s="233"/>
      <c r="I1" s="233"/>
    </row>
    <row r="2" spans="1:9" x14ac:dyDescent="0.25">
      <c r="A2" s="1032" t="s">
        <v>190</v>
      </c>
      <c r="B2" s="1033"/>
      <c r="C2" s="1033"/>
      <c r="D2" s="1033"/>
      <c r="E2" s="1033"/>
      <c r="F2" s="1961"/>
      <c r="G2" s="1961"/>
      <c r="H2" s="233"/>
      <c r="I2" s="233"/>
    </row>
    <row r="3" spans="1:9" x14ac:dyDescent="0.25">
      <c r="A3" s="1034" t="s">
        <v>191</v>
      </c>
      <c r="B3" s="1035" t="s">
        <v>192</v>
      </c>
      <c r="C3" s="1035" t="s">
        <v>193</v>
      </c>
      <c r="D3" s="1035" t="s">
        <v>194</v>
      </c>
      <c r="E3" s="1035" t="s">
        <v>195</v>
      </c>
      <c r="F3" s="1036" t="s">
        <v>196</v>
      </c>
      <c r="G3" s="1036" t="s">
        <v>6</v>
      </c>
      <c r="H3" s="1036" t="s">
        <v>7</v>
      </c>
      <c r="I3" s="1037" t="s">
        <v>489</v>
      </c>
    </row>
    <row r="4" spans="1:9" x14ac:dyDescent="0.25">
      <c r="A4" s="1038"/>
      <c r="B4" s="1039"/>
      <c r="C4" s="1039"/>
      <c r="D4" s="1039"/>
      <c r="E4" s="1039"/>
      <c r="F4" s="1039"/>
      <c r="G4" s="1039"/>
      <c r="H4" s="267"/>
      <c r="I4" s="1040"/>
    </row>
    <row r="5" spans="1:9" x14ac:dyDescent="0.25">
      <c r="A5" s="1041" t="s">
        <v>197</v>
      </c>
      <c r="B5" s="1042"/>
      <c r="C5" s="1042"/>
      <c r="D5" s="1042"/>
      <c r="E5" s="1042"/>
      <c r="F5" s="1039"/>
      <c r="G5" s="1039"/>
      <c r="H5" s="267"/>
      <c r="I5" s="1040"/>
    </row>
    <row r="6" spans="1:9" x14ac:dyDescent="0.25">
      <c r="A6" s="1038" t="s">
        <v>198</v>
      </c>
      <c r="B6" s="1043">
        <v>1111880.65277</v>
      </c>
      <c r="C6" s="1043">
        <v>1362224</v>
      </c>
      <c r="D6" s="1043">
        <v>1339694</v>
      </c>
      <c r="E6" s="1043">
        <v>1355021</v>
      </c>
      <c r="F6" s="1044">
        <v>1245422.2917300002</v>
      </c>
      <c r="G6" s="1044">
        <v>1167040.66325</v>
      </c>
      <c r="H6" s="1045">
        <v>1197825</v>
      </c>
      <c r="I6" s="1046">
        <v>1280420.3132</v>
      </c>
    </row>
    <row r="7" spans="1:9" x14ac:dyDescent="0.25">
      <c r="A7" s="1038" t="s">
        <v>199</v>
      </c>
      <c r="B7" s="1043">
        <v>96787.019680000012</v>
      </c>
      <c r="C7" s="1043">
        <v>106021</v>
      </c>
      <c r="D7" s="1043">
        <v>112531</v>
      </c>
      <c r="E7" s="1043">
        <v>114218</v>
      </c>
      <c r="F7" s="1044">
        <v>107029.53605</v>
      </c>
      <c r="G7" s="1044">
        <v>107579.06499</v>
      </c>
      <c r="H7" s="1045">
        <v>111575</v>
      </c>
      <c r="I7" s="1046">
        <v>128416.43861</v>
      </c>
    </row>
    <row r="8" spans="1:9" x14ac:dyDescent="0.25">
      <c r="A8" s="1038" t="s">
        <v>200</v>
      </c>
      <c r="B8" s="1043">
        <v>26297.739249999999</v>
      </c>
      <c r="C8" s="1043">
        <v>27600</v>
      </c>
      <c r="D8" s="1043">
        <v>29187</v>
      </c>
      <c r="E8" s="1043">
        <v>33498</v>
      </c>
      <c r="F8" s="1044">
        <v>29704</v>
      </c>
      <c r="G8" s="1044">
        <v>24939.441080000001</v>
      </c>
      <c r="H8" s="1045">
        <v>22819</v>
      </c>
      <c r="I8" s="1046">
        <v>19702.048640000001</v>
      </c>
    </row>
    <row r="9" spans="1:9" x14ac:dyDescent="0.25">
      <c r="A9" s="1038" t="s">
        <v>201</v>
      </c>
      <c r="B9" s="1043">
        <v>57223.132310000001</v>
      </c>
      <c r="C9" s="1043">
        <v>55030</v>
      </c>
      <c r="D9" s="1043">
        <v>56133</v>
      </c>
      <c r="E9" s="1043">
        <v>51721</v>
      </c>
      <c r="F9" s="1044">
        <v>47581</v>
      </c>
      <c r="G9" s="1044">
        <v>42277</v>
      </c>
      <c r="H9" s="1045">
        <v>42858</v>
      </c>
      <c r="I9" s="1046">
        <v>41116.248149999999</v>
      </c>
    </row>
    <row r="10" spans="1:9" x14ac:dyDescent="0.25">
      <c r="A10" s="1038" t="s">
        <v>202</v>
      </c>
      <c r="B10" s="1043">
        <v>263890.23437999998</v>
      </c>
      <c r="C10" s="1043">
        <v>285000</v>
      </c>
      <c r="D10" s="1043">
        <v>281882</v>
      </c>
      <c r="E10" s="1043">
        <v>292970</v>
      </c>
      <c r="F10" s="1044">
        <v>285790.01525</v>
      </c>
      <c r="G10" s="1044">
        <v>249935.55568000002</v>
      </c>
      <c r="H10" s="1045">
        <v>296065</v>
      </c>
      <c r="I10" s="1046">
        <v>290496.9754</v>
      </c>
    </row>
    <row r="11" spans="1:9" x14ac:dyDescent="0.25">
      <c r="A11" s="1038" t="s">
        <v>203</v>
      </c>
      <c r="B11" s="1043">
        <v>270875.56216999999</v>
      </c>
      <c r="C11" s="1043">
        <v>288360</v>
      </c>
      <c r="D11" s="1043">
        <v>282818</v>
      </c>
      <c r="E11" s="1043">
        <v>268995</v>
      </c>
      <c r="F11" s="1044">
        <v>257483.76642</v>
      </c>
      <c r="G11" s="1044">
        <v>252223.40057</v>
      </c>
      <c r="H11" s="1045">
        <v>253170</v>
      </c>
      <c r="I11" s="1046">
        <v>260896.01750000002</v>
      </c>
    </row>
    <row r="12" spans="1:9" x14ac:dyDescent="0.25">
      <c r="A12" s="1038" t="s">
        <v>204</v>
      </c>
      <c r="B12" s="1043">
        <v>25023.175449999999</v>
      </c>
      <c r="C12" s="1043">
        <v>27197</v>
      </c>
      <c r="D12" s="1043">
        <v>29163</v>
      </c>
      <c r="E12" s="1043">
        <v>27917</v>
      </c>
      <c r="F12" s="1044">
        <v>22215</v>
      </c>
      <c r="G12" s="1044">
        <v>23367</v>
      </c>
      <c r="H12" s="1045">
        <v>20895</v>
      </c>
      <c r="I12" s="1046">
        <v>22742.926899999999</v>
      </c>
    </row>
    <row r="13" spans="1:9" x14ac:dyDescent="0.25">
      <c r="A13" s="1038" t="s">
        <v>205</v>
      </c>
      <c r="B13" s="1043">
        <v>152181.89692473135</v>
      </c>
      <c r="C13" s="1043">
        <v>141995</v>
      </c>
      <c r="D13" s="1043">
        <v>134995</v>
      </c>
      <c r="E13" s="1043">
        <v>165375</v>
      </c>
      <c r="F13" s="1044">
        <v>130867.21212</v>
      </c>
      <c r="G13" s="1044">
        <v>110642.5266</v>
      </c>
      <c r="H13" s="1045">
        <v>105856</v>
      </c>
      <c r="I13" s="1047">
        <v>119436.2423</v>
      </c>
    </row>
    <row r="14" spans="1:9" x14ac:dyDescent="0.25">
      <c r="A14" s="1038" t="s">
        <v>206</v>
      </c>
      <c r="B14" s="1043">
        <v>153909.17956000002</v>
      </c>
      <c r="C14" s="1043">
        <v>153539</v>
      </c>
      <c r="D14" s="1043">
        <v>144839</v>
      </c>
      <c r="E14" s="1043">
        <v>135976</v>
      </c>
      <c r="F14" s="1044">
        <v>122961.24986</v>
      </c>
      <c r="G14" s="1044">
        <v>118482.63475</v>
      </c>
      <c r="H14" s="1045">
        <v>126216</v>
      </c>
      <c r="I14" s="1047">
        <v>139534.50134000002</v>
      </c>
    </row>
    <row r="15" spans="1:9" x14ac:dyDescent="0.25">
      <c r="A15" s="1038" t="s">
        <v>207</v>
      </c>
      <c r="B15" s="1043">
        <v>222471</v>
      </c>
      <c r="C15" s="1043">
        <v>348042</v>
      </c>
      <c r="D15" s="1043">
        <v>525339.93000000005</v>
      </c>
      <c r="E15" s="1043">
        <v>819274.11</v>
      </c>
      <c r="F15" s="1044">
        <v>1040249.9999999999</v>
      </c>
      <c r="G15" s="1044">
        <v>1289966.9999999998</v>
      </c>
      <c r="H15" s="1045">
        <v>1470957</v>
      </c>
      <c r="I15" s="1047">
        <v>1683631.082256</v>
      </c>
    </row>
    <row r="16" spans="1:9" x14ac:dyDescent="0.25">
      <c r="A16" s="1038" t="s">
        <v>208</v>
      </c>
      <c r="B16" s="1043">
        <v>20300</v>
      </c>
      <c r="C16" s="1043">
        <v>51000</v>
      </c>
      <c r="D16" s="1043">
        <v>112515</v>
      </c>
      <c r="E16" s="1043">
        <v>159029</v>
      </c>
      <c r="F16" s="1044">
        <v>250500</v>
      </c>
      <c r="G16" s="1044">
        <v>213100</v>
      </c>
      <c r="H16" s="1045">
        <v>197545</v>
      </c>
      <c r="I16" s="1047">
        <v>296000</v>
      </c>
    </row>
    <row r="17" spans="1:9" x14ac:dyDescent="0.25">
      <c r="A17" s="1038"/>
      <c r="B17" s="1043"/>
      <c r="C17" s="1043"/>
      <c r="D17" s="1043"/>
      <c r="E17" s="1043"/>
      <c r="F17" s="1044"/>
      <c r="G17" s="1044"/>
      <c r="H17" s="1045"/>
      <c r="I17" s="1047"/>
    </row>
    <row r="18" spans="1:9" x14ac:dyDescent="0.25">
      <c r="A18" s="1038"/>
      <c r="B18" s="1043"/>
      <c r="C18" s="1043"/>
      <c r="D18" s="1043"/>
      <c r="E18" s="1043"/>
      <c r="F18" s="1043"/>
      <c r="G18" s="1043"/>
      <c r="H18" s="1043"/>
      <c r="I18" s="1046"/>
    </row>
    <row r="19" spans="1:9" x14ac:dyDescent="0.25">
      <c r="A19" s="1041" t="s">
        <v>209</v>
      </c>
      <c r="B19" s="1043"/>
      <c r="C19" s="1043"/>
      <c r="D19" s="1043"/>
      <c r="E19" s="1044"/>
      <c r="F19" s="1044"/>
      <c r="G19" s="1044"/>
      <c r="H19" s="1045"/>
      <c r="I19" s="1046"/>
    </row>
    <row r="20" spans="1:9" x14ac:dyDescent="0.25">
      <c r="A20" s="1038" t="s">
        <v>210</v>
      </c>
      <c r="B20" s="1043">
        <v>88141.321819006378</v>
      </c>
      <c r="C20" s="1043">
        <v>85151</v>
      </c>
      <c r="D20" s="1043">
        <v>86569</v>
      </c>
      <c r="E20" s="1043">
        <v>95776</v>
      </c>
      <c r="F20" s="1044">
        <v>79577.07346</v>
      </c>
      <c r="G20" s="1044">
        <v>75321.988870000001</v>
      </c>
      <c r="H20" s="1045">
        <v>66904</v>
      </c>
      <c r="I20" s="1046">
        <v>67219.840049999999</v>
      </c>
    </row>
    <row r="21" spans="1:9" x14ac:dyDescent="0.25">
      <c r="A21" s="1038" t="s">
        <v>211</v>
      </c>
      <c r="B21" s="1043">
        <v>186380.30639977392</v>
      </c>
      <c r="C21" s="1043">
        <v>197368</v>
      </c>
      <c r="D21" s="1043">
        <v>210435</v>
      </c>
      <c r="E21" s="1043">
        <v>243097</v>
      </c>
      <c r="F21" s="1044">
        <v>196779.12672999999</v>
      </c>
      <c r="G21" s="1044">
        <v>122817.26641</v>
      </c>
      <c r="H21" s="1045">
        <v>138915</v>
      </c>
      <c r="I21" s="1046">
        <v>173024.32233</v>
      </c>
    </row>
    <row r="22" spans="1:9" x14ac:dyDescent="0.25">
      <c r="A22" s="1038" t="s">
        <v>212</v>
      </c>
      <c r="B22" s="1043">
        <v>91973</v>
      </c>
      <c r="C22" s="1043">
        <v>170520</v>
      </c>
      <c r="D22" s="1043">
        <v>264195.75</v>
      </c>
      <c r="E22" s="1043">
        <v>420979.58</v>
      </c>
      <c r="F22" s="1044">
        <v>603072</v>
      </c>
      <c r="G22" s="1044">
        <v>607632.00000000012</v>
      </c>
      <c r="H22" s="1045">
        <v>685504</v>
      </c>
      <c r="I22" s="1047">
        <v>848097.86635200004</v>
      </c>
    </row>
    <row r="23" spans="1:9" x14ac:dyDescent="0.25">
      <c r="A23" s="1038"/>
      <c r="B23" s="1043"/>
      <c r="C23" s="1043"/>
      <c r="D23" s="1043"/>
      <c r="E23" s="1043"/>
      <c r="F23" s="1044"/>
      <c r="G23" s="1044"/>
      <c r="H23" s="1045"/>
      <c r="I23" s="1046"/>
    </row>
    <row r="24" spans="1:9" x14ac:dyDescent="0.25">
      <c r="A24" s="1038" t="s">
        <v>213</v>
      </c>
      <c r="B24" s="1044">
        <v>157516.4129629033</v>
      </c>
      <c r="C24" s="1044">
        <v>163147</v>
      </c>
      <c r="D24" s="1044">
        <v>183930</v>
      </c>
      <c r="E24" s="1044">
        <v>157402</v>
      </c>
      <c r="F24" s="1044">
        <v>125162.7917</v>
      </c>
      <c r="G24" s="1044">
        <v>125657.21574</v>
      </c>
      <c r="H24" s="1045">
        <v>135102</v>
      </c>
      <c r="I24" s="1046">
        <v>151861.5883</v>
      </c>
    </row>
    <row r="25" spans="1:9" x14ac:dyDescent="0.25">
      <c r="A25" s="1038"/>
      <c r="B25" s="1043"/>
      <c r="C25" s="1043"/>
      <c r="D25" s="1043"/>
      <c r="E25" s="1044"/>
      <c r="F25" s="1044"/>
      <c r="G25" s="1044"/>
      <c r="H25" s="1045"/>
      <c r="I25" s="1046"/>
    </row>
    <row r="26" spans="1:9" x14ac:dyDescent="0.25">
      <c r="A26" s="1038" t="s">
        <v>562</v>
      </c>
      <c r="B26" s="1043">
        <v>1496614.5003</v>
      </c>
      <c r="C26" s="1043">
        <v>1584901.5</v>
      </c>
      <c r="D26" s="1043">
        <v>1898587</v>
      </c>
      <c r="E26" s="1043">
        <v>2256385</v>
      </c>
      <c r="F26" s="1044">
        <v>1757815</v>
      </c>
      <c r="G26" s="1044">
        <v>1985531</v>
      </c>
      <c r="H26" s="1045">
        <v>1967692</v>
      </c>
      <c r="I26" s="1046">
        <v>1840530</v>
      </c>
    </row>
    <row r="27" spans="1:9" x14ac:dyDescent="0.25">
      <c r="A27" s="1038"/>
      <c r="B27" s="1044"/>
      <c r="C27" s="1044"/>
      <c r="D27" s="1044"/>
      <c r="E27" s="1044"/>
      <c r="F27" s="1044"/>
      <c r="G27" s="1044"/>
      <c r="H27" s="1045"/>
      <c r="I27" s="1046"/>
    </row>
    <row r="28" spans="1:9" x14ac:dyDescent="0.25">
      <c r="A28" s="1048" t="s">
        <v>563</v>
      </c>
      <c r="B28" s="1049">
        <v>4421465.1339764148</v>
      </c>
      <c r="C28" s="1049">
        <v>5047095.5</v>
      </c>
      <c r="D28" s="1049">
        <v>5692813.6799999997</v>
      </c>
      <c r="E28" s="1049">
        <v>6597634.0729</v>
      </c>
      <c r="F28" s="1049">
        <v>6302210.0633199997</v>
      </c>
      <c r="G28" s="1049">
        <v>6516513.7579399999</v>
      </c>
      <c r="H28" s="1050">
        <v>6839898</v>
      </c>
      <c r="I28" s="571">
        <f>SUM(I6:I26)</f>
        <v>7363126.411328</v>
      </c>
    </row>
    <row r="29" spans="1:9" x14ac:dyDescent="0.25">
      <c r="A29" s="233"/>
      <c r="B29" s="233"/>
      <c r="C29" s="233"/>
      <c r="D29" s="233"/>
      <c r="E29" s="233"/>
      <c r="F29" s="233"/>
      <c r="G29" s="233"/>
      <c r="H29" s="233"/>
      <c r="I29" s="267"/>
    </row>
    <row r="30" spans="1:9" x14ac:dyDescent="0.25">
      <c r="A30" s="1051" t="s">
        <v>56</v>
      </c>
      <c r="B30" s="1052" t="s">
        <v>192</v>
      </c>
      <c r="C30" s="1052" t="s">
        <v>193</v>
      </c>
      <c r="D30" s="1052" t="s">
        <v>194</v>
      </c>
      <c r="E30" s="1052" t="s">
        <v>195</v>
      </c>
      <c r="F30" s="1053" t="s">
        <v>196</v>
      </c>
      <c r="G30" s="1053" t="s">
        <v>6</v>
      </c>
      <c r="H30" s="1054" t="s">
        <v>7</v>
      </c>
      <c r="I30" s="1055" t="s">
        <v>489</v>
      </c>
    </row>
    <row r="31" spans="1:9" x14ac:dyDescent="0.25">
      <c r="A31" s="1056" t="s">
        <v>197</v>
      </c>
      <c r="B31" s="1057"/>
      <c r="C31" s="1057"/>
      <c r="D31" s="1057"/>
      <c r="E31" s="1057"/>
      <c r="F31" s="1057"/>
      <c r="G31" s="1057"/>
      <c r="H31" s="267"/>
      <c r="I31" s="1040"/>
    </row>
    <row r="32" spans="1:9" x14ac:dyDescent="0.25">
      <c r="A32" s="1058" t="s">
        <v>198</v>
      </c>
      <c r="B32" s="1043">
        <v>114262.49781235761</v>
      </c>
      <c r="C32" s="1043">
        <v>141134</v>
      </c>
      <c r="D32" s="1043">
        <v>149264</v>
      </c>
      <c r="E32" s="1043">
        <v>184400</v>
      </c>
      <c r="F32" s="1059">
        <v>202453.16357</v>
      </c>
      <c r="G32" s="1059">
        <v>213339.22725</v>
      </c>
      <c r="H32" s="1045">
        <v>180571</v>
      </c>
      <c r="I32" s="1046">
        <v>49904.159010000003</v>
      </c>
    </row>
    <row r="33" spans="1:9" x14ac:dyDescent="0.25">
      <c r="A33" s="1058" t="s">
        <v>199</v>
      </c>
      <c r="B33" s="1043">
        <v>9179.274861276419</v>
      </c>
      <c r="C33" s="1043">
        <v>10449</v>
      </c>
      <c r="D33" s="1043">
        <v>13611</v>
      </c>
      <c r="E33" s="1043">
        <v>15587</v>
      </c>
      <c r="F33" s="1059">
        <v>14084.790489999999</v>
      </c>
      <c r="G33" s="1059">
        <v>16784.58149</v>
      </c>
      <c r="H33" s="1045">
        <v>15630</v>
      </c>
      <c r="I33" s="1046">
        <v>4462.8645500000002</v>
      </c>
    </row>
    <row r="34" spans="1:9" x14ac:dyDescent="0.25">
      <c r="A34" s="1058" t="s">
        <v>200</v>
      </c>
      <c r="B34" s="1043">
        <v>604.74700000000007</v>
      </c>
      <c r="C34" s="1043">
        <v>483</v>
      </c>
      <c r="D34" s="1043">
        <v>310</v>
      </c>
      <c r="E34" s="1043">
        <v>2061</v>
      </c>
      <c r="F34" s="1059">
        <v>331.98156</v>
      </c>
      <c r="G34" s="1059">
        <v>281</v>
      </c>
      <c r="H34" s="1045">
        <v>290</v>
      </c>
      <c r="I34" s="1046">
        <v>160</v>
      </c>
    </row>
    <row r="35" spans="1:9" x14ac:dyDescent="0.25">
      <c r="A35" s="1058" t="s">
        <v>201</v>
      </c>
      <c r="B35" s="1043">
        <v>874.93698000000006</v>
      </c>
      <c r="C35" s="1043">
        <v>971</v>
      </c>
      <c r="D35" s="1043">
        <v>1931</v>
      </c>
      <c r="E35" s="1043">
        <v>1476</v>
      </c>
      <c r="F35" s="1059">
        <v>1601.3243</v>
      </c>
      <c r="G35" s="1059">
        <v>2405.6756999999998</v>
      </c>
      <c r="H35" s="1045">
        <v>1714</v>
      </c>
      <c r="I35" s="1046">
        <v>947</v>
      </c>
    </row>
    <row r="36" spans="1:9" x14ac:dyDescent="0.25">
      <c r="A36" s="1058" t="s">
        <v>202</v>
      </c>
      <c r="B36" s="1043">
        <v>76627.523696752309</v>
      </c>
      <c r="C36" s="1043">
        <v>92845</v>
      </c>
      <c r="D36" s="1043">
        <v>93524</v>
      </c>
      <c r="E36" s="1043">
        <v>119113</v>
      </c>
      <c r="F36" s="1059">
        <v>127137.67480000001</v>
      </c>
      <c r="G36" s="1059">
        <v>117030.64044</v>
      </c>
      <c r="H36" s="1045">
        <v>95473</v>
      </c>
      <c r="I36" s="1046">
        <v>25331.26</v>
      </c>
    </row>
    <row r="37" spans="1:9" x14ac:dyDescent="0.25">
      <c r="A37" s="1058" t="s">
        <v>203</v>
      </c>
      <c r="B37" s="1043">
        <v>1816.6011899286998</v>
      </c>
      <c r="C37" s="1043">
        <v>2566</v>
      </c>
      <c r="D37" s="1043">
        <v>3878</v>
      </c>
      <c r="E37" s="1043">
        <v>5345</v>
      </c>
      <c r="F37" s="1059">
        <v>6256.9666900000002</v>
      </c>
      <c r="G37" s="1059">
        <v>13700.26208</v>
      </c>
      <c r="H37" s="1045">
        <v>8999</v>
      </c>
      <c r="I37" s="1046">
        <v>3032.2939999999999</v>
      </c>
    </row>
    <row r="38" spans="1:9" x14ac:dyDescent="0.25">
      <c r="A38" s="1058" t="s">
        <v>204</v>
      </c>
      <c r="B38" s="1043">
        <v>44.609000000000002</v>
      </c>
      <c r="C38" s="1043">
        <v>352</v>
      </c>
      <c r="D38" s="1043">
        <v>240</v>
      </c>
      <c r="E38" s="1043">
        <v>774</v>
      </c>
      <c r="F38" s="1059">
        <v>558</v>
      </c>
      <c r="G38" s="1059">
        <v>935</v>
      </c>
      <c r="H38" s="1045">
        <v>3269</v>
      </c>
      <c r="I38" s="1046">
        <v>303</v>
      </c>
    </row>
    <row r="39" spans="1:9" x14ac:dyDescent="0.25">
      <c r="A39" s="1058" t="s">
        <v>205</v>
      </c>
      <c r="B39" s="1043">
        <v>70653.556702317059</v>
      </c>
      <c r="C39" s="1043">
        <v>80094</v>
      </c>
      <c r="D39" s="1043">
        <v>71944</v>
      </c>
      <c r="E39" s="1043">
        <v>125367</v>
      </c>
      <c r="F39" s="1059">
        <v>149388.90723000001</v>
      </c>
      <c r="G39" s="1059">
        <v>118276.44117000001</v>
      </c>
      <c r="H39" s="1045">
        <v>92741</v>
      </c>
      <c r="I39" s="1046">
        <v>65930.515879999992</v>
      </c>
    </row>
    <row r="40" spans="1:9" x14ac:dyDescent="0.25">
      <c r="A40" s="1058" t="s">
        <v>206</v>
      </c>
      <c r="B40" s="1043">
        <v>36222.579674861947</v>
      </c>
      <c r="C40" s="1043">
        <v>43287</v>
      </c>
      <c r="D40" s="1043">
        <v>46088</v>
      </c>
      <c r="E40" s="1043">
        <v>68799</v>
      </c>
      <c r="F40" s="1059">
        <v>63725.508190000008</v>
      </c>
      <c r="G40" s="1059">
        <v>63620.912429999997</v>
      </c>
      <c r="H40" s="1045">
        <v>62564</v>
      </c>
      <c r="I40" s="1046">
        <v>53101.221630000007</v>
      </c>
    </row>
    <row r="41" spans="1:9" x14ac:dyDescent="0.25">
      <c r="A41" s="1056" t="s">
        <v>209</v>
      </c>
      <c r="B41" s="1043"/>
      <c r="C41" s="1043"/>
      <c r="D41" s="1043"/>
      <c r="E41" s="1043"/>
      <c r="F41" s="1059"/>
      <c r="G41" s="1059"/>
      <c r="H41" s="1045"/>
      <c r="I41" s="1046"/>
    </row>
    <row r="42" spans="1:9" x14ac:dyDescent="0.25">
      <c r="A42" s="1058" t="s">
        <v>210</v>
      </c>
      <c r="B42" s="1043">
        <v>29255.178524143554</v>
      </c>
      <c r="C42" s="1043">
        <v>24040</v>
      </c>
      <c r="D42" s="1043">
        <v>26888</v>
      </c>
      <c r="E42" s="1043">
        <v>48240</v>
      </c>
      <c r="F42" s="1059">
        <v>48938.500140000004</v>
      </c>
      <c r="G42" s="1059">
        <v>49960.752560000001</v>
      </c>
      <c r="H42" s="1045">
        <v>38229</v>
      </c>
      <c r="I42" s="1046">
        <v>30236.727279999999</v>
      </c>
    </row>
    <row r="43" spans="1:9" x14ac:dyDescent="0.25">
      <c r="A43" s="1058" t="s">
        <v>211</v>
      </c>
      <c r="B43" s="1043">
        <v>39315.464525442978</v>
      </c>
      <c r="C43" s="1043">
        <v>46127.870999999999</v>
      </c>
      <c r="D43" s="1043">
        <v>37675</v>
      </c>
      <c r="E43" s="1043">
        <v>77803</v>
      </c>
      <c r="F43" s="1059">
        <v>102407.84476000001</v>
      </c>
      <c r="G43" s="1059">
        <v>77040.943350000001</v>
      </c>
      <c r="H43" s="1045">
        <v>57286</v>
      </c>
      <c r="I43" s="1046">
        <v>58174.928890000003</v>
      </c>
    </row>
    <row r="44" spans="1:9" x14ac:dyDescent="0.25">
      <c r="A44" s="1058" t="s">
        <v>213</v>
      </c>
      <c r="B44" s="1043">
        <v>41415.925672953861</v>
      </c>
      <c r="C44" s="1043">
        <v>49829</v>
      </c>
      <c r="D44" s="1043">
        <v>62083</v>
      </c>
      <c r="E44" s="1043">
        <v>65901</v>
      </c>
      <c r="F44" s="1059">
        <v>71700.192850000007</v>
      </c>
      <c r="G44" s="1059">
        <v>81759.934150000001</v>
      </c>
      <c r="H44" s="1045">
        <v>80420</v>
      </c>
      <c r="I44" s="1046">
        <v>69512.550740000006</v>
      </c>
    </row>
    <row r="45" spans="1:9" x14ac:dyDescent="0.25">
      <c r="A45" s="1056" t="s">
        <v>564</v>
      </c>
      <c r="B45" s="1043">
        <v>255030.25136000002</v>
      </c>
      <c r="C45" s="1043">
        <v>286343</v>
      </c>
      <c r="D45" s="1043">
        <v>352475</v>
      </c>
      <c r="E45" s="1043">
        <v>459975</v>
      </c>
      <c r="F45" s="1060">
        <v>320981</v>
      </c>
      <c r="G45" s="1059">
        <v>344647</v>
      </c>
      <c r="H45" s="1045">
        <v>348578</v>
      </c>
      <c r="I45" s="1046">
        <v>531507.06900000002</v>
      </c>
    </row>
    <row r="46" spans="1:9" x14ac:dyDescent="0.25">
      <c r="A46" s="1058"/>
      <c r="B46" s="1043"/>
      <c r="C46" s="1043"/>
      <c r="D46" s="1043"/>
      <c r="E46" s="1043"/>
      <c r="F46" s="1059"/>
      <c r="G46" s="1059"/>
      <c r="H46" s="1061"/>
      <c r="I46" s="1046"/>
    </row>
    <row r="47" spans="1:9" x14ac:dyDescent="0.25">
      <c r="A47" s="1056" t="s">
        <v>565</v>
      </c>
      <c r="B47" s="1062">
        <v>675303.14700003446</v>
      </c>
      <c r="C47" s="1062">
        <v>778520.87100000004</v>
      </c>
      <c r="D47" s="1062">
        <v>859911</v>
      </c>
      <c r="E47" s="1062">
        <v>1174841</v>
      </c>
      <c r="F47" s="1063">
        <v>1109565.85458</v>
      </c>
      <c r="G47" s="1063">
        <v>1099782.3706200002</v>
      </c>
      <c r="H47" s="1064">
        <v>1171813</v>
      </c>
      <c r="I47" s="1065">
        <v>892603.59097999998</v>
      </c>
    </row>
    <row r="48" spans="1:9" x14ac:dyDescent="0.25">
      <c r="A48" s="1056"/>
      <c r="B48" s="1062"/>
      <c r="C48" s="1062"/>
      <c r="D48" s="1062"/>
      <c r="E48" s="1062"/>
      <c r="F48" s="1059"/>
      <c r="G48" s="1059"/>
      <c r="H48" s="1061"/>
      <c r="I48" s="1046"/>
    </row>
    <row r="49" spans="1:9" x14ac:dyDescent="0.25">
      <c r="A49" s="1056" t="s">
        <v>566</v>
      </c>
      <c r="B49" s="1062">
        <v>18746</v>
      </c>
      <c r="C49" s="1062">
        <v>14048</v>
      </c>
      <c r="D49" s="1062">
        <v>15638</v>
      </c>
      <c r="E49" s="1062">
        <v>12117</v>
      </c>
      <c r="F49" s="1066">
        <v>14255</v>
      </c>
      <c r="G49" s="1062">
        <v>19094</v>
      </c>
      <c r="H49" s="1064">
        <v>13092</v>
      </c>
      <c r="I49" s="1067">
        <v>9349</v>
      </c>
    </row>
    <row r="50" spans="1:9" x14ac:dyDescent="0.25">
      <c r="A50" s="1056"/>
      <c r="B50" s="1062"/>
      <c r="C50" s="1062"/>
      <c r="D50" s="1062"/>
      <c r="E50" s="1062"/>
      <c r="F50" s="1059"/>
      <c r="G50" s="1059"/>
      <c r="H50" s="1061"/>
      <c r="I50" s="1046"/>
    </row>
    <row r="51" spans="1:9" x14ac:dyDescent="0.25">
      <c r="A51" s="1068" t="s">
        <v>567</v>
      </c>
      <c r="B51" s="1069">
        <v>5115514.2809764491</v>
      </c>
      <c r="C51" s="1069">
        <v>5839664.3710000003</v>
      </c>
      <c r="D51" s="1069">
        <v>6568362.6799999997</v>
      </c>
      <c r="E51" s="1069">
        <v>7784592.0729</v>
      </c>
      <c r="F51" s="1070">
        <v>7426030.9178999998</v>
      </c>
      <c r="G51" s="1070">
        <v>7635390.1285600001</v>
      </c>
      <c r="H51" s="395">
        <v>8025361</v>
      </c>
      <c r="I51" s="571">
        <f>SUM(I49+I47+I28)</f>
        <v>8265079.0023079999</v>
      </c>
    </row>
  </sheetData>
  <mergeCells count="1">
    <mergeCell ref="F2:G2"/>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B1:H90"/>
  <sheetViews>
    <sheetView showGridLines="0" showRowColHeaders="0" topLeftCell="A4" zoomScaleNormal="100" workbookViewId="0">
      <selection activeCell="F17" sqref="C17:F17"/>
    </sheetView>
  </sheetViews>
  <sheetFormatPr defaultRowHeight="15" x14ac:dyDescent="0.25"/>
  <cols>
    <col min="2" max="2" width="56.85546875" customWidth="1"/>
    <col min="3" max="6" width="16.42578125" customWidth="1"/>
    <col min="7" max="7" width="14.7109375" customWidth="1"/>
    <col min="8" max="8" width="23.7109375" bestFit="1" customWidth="1"/>
  </cols>
  <sheetData>
    <row r="1" spans="2:7" x14ac:dyDescent="0.25">
      <c r="B1" s="381" t="s">
        <v>406</v>
      </c>
    </row>
    <row r="4" spans="2:7" ht="30" x14ac:dyDescent="0.4">
      <c r="B4" s="2" t="s">
        <v>372</v>
      </c>
    </row>
    <row r="5" spans="2:7" ht="18.600000000000001" customHeight="1" x14ac:dyDescent="0.25">
      <c r="B5" s="275" t="s">
        <v>383</v>
      </c>
    </row>
    <row r="6" spans="2:7" ht="18.600000000000001" customHeight="1" x14ac:dyDescent="0.3">
      <c r="B6" s="274"/>
      <c r="C6" s="11"/>
    </row>
    <row r="7" spans="2:7" ht="18.600000000000001" customHeight="1" x14ac:dyDescent="0.3">
      <c r="B7" s="275" t="s">
        <v>386</v>
      </c>
      <c r="C7" s="11"/>
    </row>
    <row r="8" spans="2:7" ht="18.600000000000001" customHeight="1" x14ac:dyDescent="0.3">
      <c r="B8" s="274" t="s">
        <v>384</v>
      </c>
      <c r="C8" s="11"/>
    </row>
    <row r="9" spans="2:7" ht="18.600000000000001" customHeight="1" x14ac:dyDescent="0.3">
      <c r="B9" s="278" t="s">
        <v>2</v>
      </c>
      <c r="C9" s="11"/>
    </row>
    <row r="10" spans="2:7" ht="18.600000000000001" customHeight="1" x14ac:dyDescent="0.25">
      <c r="B10" s="276"/>
    </row>
    <row r="11" spans="2:7" ht="18.600000000000001" customHeight="1" x14ac:dyDescent="0.25">
      <c r="B11" s="276"/>
    </row>
    <row r="12" spans="2:7" ht="18.600000000000001" customHeight="1" x14ac:dyDescent="0.3">
      <c r="B12" s="269"/>
      <c r="C12" s="270" t="s">
        <v>4</v>
      </c>
      <c r="D12" s="270" t="s">
        <v>5</v>
      </c>
      <c r="E12" s="270" t="s">
        <v>6</v>
      </c>
      <c r="F12" s="270" t="s">
        <v>7</v>
      </c>
      <c r="G12" s="120"/>
    </row>
    <row r="13" spans="2:7" ht="18.600000000000001" customHeight="1" x14ac:dyDescent="0.3">
      <c r="B13" s="277" t="s">
        <v>305</v>
      </c>
      <c r="C13" s="271">
        <f>IF($B$9="Total FTEs",'Inputs direct labour'!F37,'Inputs direct labour'!G37)</f>
        <v>83123</v>
      </c>
      <c r="D13" s="271">
        <f>IF($B$9="Total FTEs",'Inputs direct labour'!$F52,'Inputs direct labour'!$G52)</f>
        <v>88849</v>
      </c>
      <c r="E13" s="271">
        <f>IF($B$9="Total FTEs",'Inputs direct labour'!$F67,'Inputs direct labour'!$G67)</f>
        <v>91449</v>
      </c>
      <c r="F13" s="271">
        <f>IF($B$9="Total FTEs",'Inputs direct labour'!$F82,'Inputs direct labour'!$G82)</f>
        <v>95106</v>
      </c>
      <c r="G13" s="120"/>
    </row>
    <row r="14" spans="2:7" ht="18.600000000000001" customHeight="1" x14ac:dyDescent="0.3">
      <c r="B14" s="277" t="s">
        <v>306</v>
      </c>
      <c r="C14" s="271">
        <f>IF($B$9="Total FTEs",'Inputs direct labour'!F38,'Inputs direct labour'!G38)</f>
        <v>709</v>
      </c>
      <c r="D14" s="271">
        <f>IF($B$9="Total FTEs",'Inputs direct labour'!$F53,'Inputs direct labour'!$G53)</f>
        <v>588</v>
      </c>
      <c r="E14" s="271">
        <f>IF($B$9="Total FTEs",'Inputs direct labour'!$F68,'Inputs direct labour'!$G68)</f>
        <v>514</v>
      </c>
      <c r="F14" s="271">
        <f>IF($B$9="Total FTEs",'Inputs direct labour'!$F83,'Inputs direct labour'!$G83)</f>
        <v>1001</v>
      </c>
      <c r="G14" s="120"/>
    </row>
    <row r="15" spans="2:7" ht="18.600000000000001" customHeight="1" x14ac:dyDescent="0.3">
      <c r="B15" s="277" t="s">
        <v>307</v>
      </c>
      <c r="C15" s="271">
        <f>IF($B$9="Total FTEs",'Inputs direct labour'!F39,'Inputs direct labour'!G39)</f>
        <v>44</v>
      </c>
      <c r="D15" s="271">
        <f>IF($B$9="Total FTEs",'Inputs direct labour'!$F54,'Inputs direct labour'!$G54)</f>
        <v>45</v>
      </c>
      <c r="E15" s="271">
        <f>IF($B$9="Total FTEs",'Inputs direct labour'!$F69,'Inputs direct labour'!$G69)</f>
        <v>30</v>
      </c>
      <c r="F15" s="271">
        <f>IF($B$9="Total FTEs",'Inputs direct labour'!$F84,'Inputs direct labour'!$G84)</f>
        <v>25</v>
      </c>
      <c r="G15" s="120"/>
    </row>
    <row r="16" spans="2:7" ht="18.600000000000001" customHeight="1" x14ac:dyDescent="0.3">
      <c r="B16" s="277" t="s">
        <v>308</v>
      </c>
      <c r="C16" s="271">
        <f>IF($B$9="Total FTEs",'Inputs direct labour'!F40,'Inputs direct labour'!G40)</f>
        <v>350</v>
      </c>
      <c r="D16" s="271">
        <f>IF($B$9="Total FTEs",'Inputs direct labour'!$F55,'Inputs direct labour'!$G55)</f>
        <v>647</v>
      </c>
      <c r="E16" s="271">
        <f>IF($B$9="Total FTEs",'Inputs direct labour'!$F70,'Inputs direct labour'!$G70)</f>
        <v>998</v>
      </c>
      <c r="F16" s="271">
        <f>IF($B$9="Total FTEs",'Inputs direct labour'!$F85,'Inputs direct labour'!$G85)</f>
        <v>1245</v>
      </c>
      <c r="G16" s="120"/>
    </row>
    <row r="17" spans="2:7" ht="18.600000000000001" customHeight="1" x14ac:dyDescent="0.3">
      <c r="B17" s="277" t="s">
        <v>314</v>
      </c>
      <c r="C17" s="271">
        <f>IF($B$9="Total FTEs",'Inputs direct labour'!F41,'Inputs direct labour'!G41)</f>
        <v>3744</v>
      </c>
      <c r="D17" s="271">
        <f>IF($B$9="Total FTEs",'Inputs direct labour'!$F56,'Inputs direct labour'!$G56)</f>
        <v>3791</v>
      </c>
      <c r="E17" s="271">
        <f>IF($B$9="Total FTEs",'Inputs direct labour'!$F71,'Inputs direct labour'!$G71)</f>
        <v>3682</v>
      </c>
      <c r="F17" s="271">
        <f>IF($B$9="Total FTEs",'Inputs direct labour'!$F86,'Inputs direct labour'!$G86)</f>
        <v>2377</v>
      </c>
      <c r="G17" s="120"/>
    </row>
    <row r="18" spans="2:7" ht="18.600000000000001" customHeight="1" x14ac:dyDescent="0.3">
      <c r="B18" s="272" t="s">
        <v>229</v>
      </c>
      <c r="C18" s="273">
        <f>SUM(C13:C17)</f>
        <v>87970</v>
      </c>
      <c r="D18" s="273">
        <f>SUM(D13:D17)</f>
        <v>93920</v>
      </c>
      <c r="E18" s="273">
        <f>SUM(E13:E17)</f>
        <v>96673</v>
      </c>
      <c r="F18" s="273">
        <f>SUM(F13:F17)</f>
        <v>99754</v>
      </c>
      <c r="G18" s="120"/>
    </row>
    <row r="19" spans="2:7" ht="18.600000000000001" customHeight="1" x14ac:dyDescent="0.3">
      <c r="B19" s="276"/>
      <c r="G19" s="120"/>
    </row>
    <row r="20" spans="2:7" ht="18.600000000000001" customHeight="1" x14ac:dyDescent="0.3">
      <c r="B20" s="272" t="s">
        <v>319</v>
      </c>
      <c r="G20" s="120"/>
    </row>
    <row r="83" spans="2:8" ht="22.5" x14ac:dyDescent="0.3">
      <c r="B83" s="11"/>
      <c r="D83" s="11"/>
      <c r="E83" s="11"/>
      <c r="F83" s="68"/>
    </row>
    <row r="84" spans="2:8" ht="23.25" x14ac:dyDescent="0.35">
      <c r="C84" s="11"/>
      <c r="F84" s="20"/>
    </row>
    <row r="89" spans="2:8" ht="22.5" x14ac:dyDescent="0.3">
      <c r="G89" s="11"/>
      <c r="H89" s="11"/>
    </row>
    <row r="90" spans="2:8" ht="23.25" x14ac:dyDescent="0.35">
      <c r="G90" s="10"/>
      <c r="H90" s="10"/>
    </row>
  </sheetData>
  <customSheetViews>
    <customSheetView guid="{9EA95E61-FCA5-4867-AEB4-B8C24058ACDD}" showGridLines="0" showRowCol="0" topLeftCell="A7">
      <selection activeCell="B9" sqref="B9"/>
      <pageMargins left="0.7" right="0.7" top="0.75" bottom="0.75" header="0.3" footer="0.3"/>
      <pageSetup paperSize="9" orientation="portrait" r:id="rId1"/>
    </customSheetView>
  </customSheetViews>
  <dataValidations xWindow="476" yWindow="403" count="5">
    <dataValidation type="list" allowBlank="1" showInputMessage="1" showErrorMessage="1" sqref="B9">
      <formula1>view</formula1>
    </dataValidation>
    <dataValidation allowBlank="1" showInputMessage="1" showErrorMessage="1" promptTitle="M9" prompt="Includes only General Practitioners or General Dental Practitioners who are not engaged via the usual contractual arrangements (where they would be self employed). " sqref="B17"/>
    <dataValidation allowBlank="1" showInputMessage="1" showErrorMessage="1" promptTitle="Electronic Staff Record" prompt="Service provided by IC NHS; iView can be found on the following link: http://www.ic.nhs.uk/iview" sqref="B5"/>
    <dataValidation allowBlank="1" showInputMessage="1" showErrorMessage="1" promptTitle="Medical staff groups" prompt="More on the profile of medical staff in each category can be obtained from the webpage: http://www.ic.nhs.uk/article/2268/NHS-Occupation-Codes" sqref="B7"/>
    <dataValidation allowBlank="1" showInputMessage="1" showErrorMessage="1" promptTitle="Full Time Equivalent" prompt="The number of total hours worked divided by the maximum number of compensable hours in a full-time schedule" sqref="B8"/>
  </dataValidations>
  <pageMargins left="0.7" right="0.7" top="0.75" bottom="0.75" header="0.3" footer="0.3"/>
  <pageSetup paperSize="9" orientation="portrait" r:id="rId2"/>
  <ignoredErrors>
    <ignoredError sqref="E13:E17" formula="1"/>
  </ignoredErrors>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4:S70"/>
  <sheetViews>
    <sheetView showGridLines="0" showRowColHeaders="0" topLeftCell="C31" zoomScale="60" zoomScaleNormal="60" workbookViewId="0">
      <selection activeCell="D70" sqref="D70"/>
    </sheetView>
  </sheetViews>
  <sheetFormatPr defaultRowHeight="15" x14ac:dyDescent="0.25"/>
  <cols>
    <col min="4" max="4" width="102.7109375" customWidth="1"/>
    <col min="5" max="10" width="19.42578125" customWidth="1"/>
    <col min="11" max="17" width="19.42578125" bestFit="1" customWidth="1"/>
    <col min="18" max="18" width="14.7109375" bestFit="1" customWidth="1"/>
    <col min="19" max="19" width="12" bestFit="1" customWidth="1"/>
  </cols>
  <sheetData>
    <row r="4" spans="4:18" ht="59.25" x14ac:dyDescent="0.75">
      <c r="D4" s="4" t="s">
        <v>188</v>
      </c>
    </row>
    <row r="5" spans="4:18" ht="59.25" x14ac:dyDescent="0.75">
      <c r="D5" s="4"/>
    </row>
    <row r="6" spans="4:18" x14ac:dyDescent="0.25">
      <c r="D6" t="s">
        <v>189</v>
      </c>
    </row>
    <row r="9" spans="4:18" ht="23.25" x14ac:dyDescent="0.35">
      <c r="D9" s="155" t="s">
        <v>190</v>
      </c>
      <c r="E9" s="156"/>
      <c r="F9" s="156"/>
      <c r="G9" s="156"/>
      <c r="H9" s="156"/>
      <c r="I9" s="1962"/>
      <c r="J9" s="1962"/>
      <c r="K9" s="13"/>
    </row>
    <row r="10" spans="4:18" ht="23.25" x14ac:dyDescent="0.35">
      <c r="D10" s="157" t="s">
        <v>191</v>
      </c>
      <c r="E10" s="158" t="s">
        <v>68</v>
      </c>
      <c r="F10" s="158" t="s">
        <v>69</v>
      </c>
      <c r="G10" s="158" t="s">
        <v>70</v>
      </c>
      <c r="H10" s="158" t="s">
        <v>71</v>
      </c>
      <c r="I10" s="158" t="s">
        <v>72</v>
      </c>
      <c r="J10" s="159" t="s">
        <v>73</v>
      </c>
      <c r="K10" s="158" t="s">
        <v>192</v>
      </c>
      <c r="L10" s="158" t="s">
        <v>193</v>
      </c>
      <c r="M10" s="158" t="s">
        <v>194</v>
      </c>
      <c r="N10" s="158" t="s">
        <v>195</v>
      </c>
      <c r="O10" s="159" t="s">
        <v>196</v>
      </c>
      <c r="P10" s="159" t="s">
        <v>6</v>
      </c>
      <c r="Q10" s="160" t="s">
        <v>7</v>
      </c>
      <c r="R10" s="159" t="s">
        <v>489</v>
      </c>
    </row>
    <row r="11" spans="4:18" ht="23.25" x14ac:dyDescent="0.35">
      <c r="D11" s="161"/>
      <c r="E11" s="162"/>
      <c r="F11" s="162"/>
      <c r="G11" s="162"/>
      <c r="H11" s="162"/>
      <c r="I11" s="162"/>
      <c r="J11" s="162"/>
      <c r="K11" s="162"/>
      <c r="L11" s="162"/>
      <c r="M11" s="162"/>
      <c r="N11" s="162"/>
      <c r="O11" s="162"/>
      <c r="P11" s="162"/>
      <c r="Q11" s="163"/>
    </row>
    <row r="12" spans="4:18" ht="23.25" x14ac:dyDescent="0.35">
      <c r="D12" s="164" t="s">
        <v>197</v>
      </c>
      <c r="E12" s="165"/>
      <c r="F12" s="165"/>
      <c r="G12" s="165"/>
      <c r="H12" s="165"/>
      <c r="I12" s="165"/>
      <c r="J12" s="162"/>
      <c r="K12" s="165"/>
      <c r="L12" s="165"/>
      <c r="M12" s="165"/>
      <c r="N12" s="165"/>
      <c r="O12" s="162"/>
      <c r="P12" s="162"/>
      <c r="Q12" s="163"/>
    </row>
    <row r="13" spans="4:18" ht="24" customHeight="1" x14ac:dyDescent="0.35">
      <c r="D13" s="161" t="s">
        <v>198</v>
      </c>
      <c r="E13">
        <v>1108936.956</v>
      </c>
      <c r="F13">
        <v>1154123.7949999999</v>
      </c>
      <c r="G13">
        <v>1314749.4990000001</v>
      </c>
      <c r="H13">
        <v>1387593.746</v>
      </c>
      <c r="I13">
        <v>1439193.135</v>
      </c>
      <c r="J13">
        <v>1547042.2069999999</v>
      </c>
      <c r="K13" s="165">
        <v>1111880.65277</v>
      </c>
      <c r="L13" s="165">
        <v>1362224</v>
      </c>
      <c r="M13" s="165">
        <v>1339694</v>
      </c>
      <c r="N13" s="165">
        <v>1355021</v>
      </c>
      <c r="O13" s="166">
        <v>1245422.2917300002</v>
      </c>
      <c r="P13" s="166">
        <v>1167040.66325</v>
      </c>
      <c r="Q13" s="167">
        <v>1197825</v>
      </c>
      <c r="R13">
        <v>1280420.3132</v>
      </c>
    </row>
    <row r="14" spans="4:18" ht="23.25" x14ac:dyDescent="0.35">
      <c r="D14" s="161" t="s">
        <v>199</v>
      </c>
      <c r="E14">
        <v>63849.218000000001</v>
      </c>
      <c r="F14">
        <v>72611.789000000004</v>
      </c>
      <c r="G14">
        <v>81039.377999999997</v>
      </c>
      <c r="H14">
        <v>87724.941000000006</v>
      </c>
      <c r="I14">
        <v>97026.16</v>
      </c>
      <c r="J14">
        <v>104759.567</v>
      </c>
      <c r="K14" s="165">
        <v>96787.019680000012</v>
      </c>
      <c r="L14" s="165">
        <v>106021</v>
      </c>
      <c r="M14" s="165">
        <v>112531</v>
      </c>
      <c r="N14" s="165">
        <v>114218</v>
      </c>
      <c r="O14" s="166">
        <v>107029.53605</v>
      </c>
      <c r="P14" s="166">
        <v>107579.06499</v>
      </c>
      <c r="Q14" s="167">
        <v>111575</v>
      </c>
      <c r="R14">
        <v>128416.43861</v>
      </c>
    </row>
    <row r="15" spans="4:18" ht="23.25" x14ac:dyDescent="0.35">
      <c r="D15" s="161" t="s">
        <v>200</v>
      </c>
      <c r="E15">
        <v>27059.571</v>
      </c>
      <c r="F15">
        <v>27416.817999999999</v>
      </c>
      <c r="G15">
        <v>29517.756000000001</v>
      </c>
      <c r="H15">
        <v>31902.647000000001</v>
      </c>
      <c r="I15">
        <v>32572.179</v>
      </c>
      <c r="J15">
        <v>32468.973000000002</v>
      </c>
      <c r="K15" s="165">
        <v>26297.739249999999</v>
      </c>
      <c r="L15" s="165">
        <v>27600</v>
      </c>
      <c r="M15" s="165">
        <v>29187</v>
      </c>
      <c r="N15" s="165">
        <v>33498</v>
      </c>
      <c r="O15" s="166">
        <v>29704</v>
      </c>
      <c r="P15" s="166">
        <v>24939.441080000001</v>
      </c>
      <c r="Q15" s="167">
        <v>22819</v>
      </c>
      <c r="R15">
        <v>19702.048640000001</v>
      </c>
    </row>
    <row r="16" spans="4:18" ht="23.25" x14ac:dyDescent="0.35">
      <c r="D16" s="161" t="s">
        <v>201</v>
      </c>
      <c r="E16">
        <v>46960.665000000001</v>
      </c>
      <c r="F16">
        <v>48305.472999999998</v>
      </c>
      <c r="G16">
        <v>51936.737999999998</v>
      </c>
      <c r="H16">
        <v>52096.368999999999</v>
      </c>
      <c r="I16">
        <v>56571.394</v>
      </c>
      <c r="J16">
        <v>62411.559000000001</v>
      </c>
      <c r="K16" s="165">
        <v>57223.132310000001</v>
      </c>
      <c r="L16" s="165">
        <v>55030</v>
      </c>
      <c r="M16" s="165">
        <v>56133</v>
      </c>
      <c r="N16" s="165">
        <v>51721</v>
      </c>
      <c r="O16" s="166">
        <v>47581</v>
      </c>
      <c r="P16" s="166">
        <v>42277</v>
      </c>
      <c r="Q16" s="167">
        <v>42858</v>
      </c>
      <c r="R16">
        <v>41116.248149999999</v>
      </c>
    </row>
    <row r="17" spans="1:19" ht="23.25" x14ac:dyDescent="0.35">
      <c r="D17" s="161" t="s">
        <v>202</v>
      </c>
      <c r="E17">
        <v>253689.69</v>
      </c>
      <c r="F17">
        <v>267650.087</v>
      </c>
      <c r="G17">
        <v>284929.64399999997</v>
      </c>
      <c r="H17">
        <v>276970.35100000002</v>
      </c>
      <c r="I17">
        <v>260617.32500000001</v>
      </c>
      <c r="J17">
        <v>292639.33</v>
      </c>
      <c r="K17" s="165">
        <v>263890.23437999998</v>
      </c>
      <c r="L17" s="165">
        <v>285000</v>
      </c>
      <c r="M17" s="165">
        <v>281882</v>
      </c>
      <c r="N17" s="165">
        <v>292970</v>
      </c>
      <c r="O17" s="166">
        <v>285790.01525</v>
      </c>
      <c r="P17" s="166">
        <v>249935.55568000002</v>
      </c>
      <c r="Q17" s="167">
        <v>296065</v>
      </c>
      <c r="R17">
        <v>290496.9754</v>
      </c>
      <c r="S17" t="s">
        <v>197</v>
      </c>
    </row>
    <row r="18" spans="1:19" ht="23.25" x14ac:dyDescent="0.35">
      <c r="D18" s="161" t="s">
        <v>203</v>
      </c>
      <c r="E18">
        <v>205030.48699999999</v>
      </c>
      <c r="F18">
        <v>227471.014</v>
      </c>
      <c r="G18">
        <v>240885.799</v>
      </c>
      <c r="H18">
        <v>251528.09299999999</v>
      </c>
      <c r="I18">
        <v>285292.72499999998</v>
      </c>
      <c r="J18">
        <v>298137.36599999998</v>
      </c>
      <c r="K18" s="165">
        <v>270875.56216999999</v>
      </c>
      <c r="L18" s="165">
        <v>288360</v>
      </c>
      <c r="M18" s="165">
        <v>282818</v>
      </c>
      <c r="N18" s="165">
        <v>268995</v>
      </c>
      <c r="O18" s="166">
        <v>257483.76642</v>
      </c>
      <c r="P18" s="166">
        <v>252223.40057</v>
      </c>
      <c r="Q18" s="167">
        <v>253170</v>
      </c>
      <c r="R18">
        <v>260896.01750000002</v>
      </c>
      <c r="S18" t="s">
        <v>209</v>
      </c>
    </row>
    <row r="19" spans="1:19" ht="23.25" x14ac:dyDescent="0.35">
      <c r="D19" s="161" t="s">
        <v>204</v>
      </c>
      <c r="E19">
        <v>24192.992999999999</v>
      </c>
      <c r="F19">
        <v>24827.398000000001</v>
      </c>
      <c r="G19">
        <v>24918.514999999999</v>
      </c>
      <c r="H19">
        <v>25236.432000000001</v>
      </c>
      <c r="I19">
        <v>28181.341</v>
      </c>
      <c r="J19">
        <v>27228.82</v>
      </c>
      <c r="K19" s="165">
        <v>25023.175449999999</v>
      </c>
      <c r="L19" s="165">
        <v>27197</v>
      </c>
      <c r="M19" s="165">
        <v>29163</v>
      </c>
      <c r="N19" s="165">
        <v>27917</v>
      </c>
      <c r="O19" s="166">
        <v>22215</v>
      </c>
      <c r="P19" s="166">
        <v>23367</v>
      </c>
      <c r="Q19" s="167">
        <v>20895</v>
      </c>
      <c r="R19">
        <v>22742.926899999999</v>
      </c>
    </row>
    <row r="20" spans="1:19" ht="23.25" customHeight="1" x14ac:dyDescent="0.35">
      <c r="D20" s="161" t="s">
        <v>205</v>
      </c>
      <c r="E20">
        <v>215831.867</v>
      </c>
      <c r="F20">
        <v>204244.45300000001</v>
      </c>
      <c r="G20">
        <v>267669.34700000001</v>
      </c>
      <c r="H20">
        <v>253200.614</v>
      </c>
      <c r="I20">
        <v>217136.23199999999</v>
      </c>
      <c r="J20">
        <v>186677.38800000001</v>
      </c>
      <c r="K20" s="165">
        <v>152181.89692473135</v>
      </c>
      <c r="L20" s="165">
        <v>141995</v>
      </c>
      <c r="M20" s="165">
        <v>134995</v>
      </c>
      <c r="N20" s="165">
        <v>165375</v>
      </c>
      <c r="O20" s="166">
        <v>130867.21212</v>
      </c>
      <c r="P20" s="166">
        <v>110642.5266</v>
      </c>
      <c r="Q20" s="167">
        <v>105856</v>
      </c>
      <c r="R20">
        <v>119436.2423</v>
      </c>
    </row>
    <row r="21" spans="1:19" ht="23.25" x14ac:dyDescent="0.35">
      <c r="D21" s="161" t="s">
        <v>206</v>
      </c>
      <c r="E21">
        <v>153581.068</v>
      </c>
      <c r="F21">
        <v>161164.25700000001</v>
      </c>
      <c r="G21">
        <v>176200.87899999999</v>
      </c>
      <c r="H21">
        <v>173949.31</v>
      </c>
      <c r="I21">
        <v>169942.87400000001</v>
      </c>
      <c r="J21">
        <v>177309.13800000001</v>
      </c>
      <c r="K21" s="165">
        <v>153909.17956000002</v>
      </c>
      <c r="L21" s="165">
        <v>153539</v>
      </c>
      <c r="M21" s="165">
        <v>144839</v>
      </c>
      <c r="N21" s="165">
        <v>135976</v>
      </c>
      <c r="O21" s="166">
        <v>122961.24986</v>
      </c>
      <c r="P21" s="166">
        <v>118482.63475</v>
      </c>
      <c r="Q21" s="167">
        <v>126216</v>
      </c>
      <c r="R21">
        <v>139534.50134000002</v>
      </c>
    </row>
    <row r="22" spans="1:19" ht="23.25" x14ac:dyDescent="0.35">
      <c r="D22" s="161" t="s">
        <v>207</v>
      </c>
      <c r="E22" s="165"/>
      <c r="F22" s="165"/>
      <c r="G22" s="165"/>
      <c r="H22" s="165"/>
      <c r="I22" s="165"/>
      <c r="J22" s="166"/>
      <c r="K22" s="165">
        <v>222471</v>
      </c>
      <c r="L22" s="165">
        <v>348042</v>
      </c>
      <c r="M22" s="165">
        <v>525339.93000000005</v>
      </c>
      <c r="N22" s="165">
        <v>819274.11</v>
      </c>
      <c r="O22" s="166">
        <v>1040249.9999999999</v>
      </c>
      <c r="P22" s="166">
        <v>1289966.9999999998</v>
      </c>
      <c r="Q22" s="167">
        <v>1470957</v>
      </c>
    </row>
    <row r="23" spans="1:19" ht="23.25" x14ac:dyDescent="0.35">
      <c r="D23" s="161" t="s">
        <v>208</v>
      </c>
      <c r="E23" s="165"/>
      <c r="F23" s="165"/>
      <c r="G23" s="165"/>
      <c r="H23" s="165"/>
      <c r="I23" s="165"/>
      <c r="J23" s="166"/>
      <c r="K23" s="165">
        <v>20300</v>
      </c>
      <c r="L23" s="165">
        <v>51000</v>
      </c>
      <c r="M23" s="165">
        <v>112515</v>
      </c>
      <c r="N23" s="165">
        <v>159029</v>
      </c>
      <c r="O23" s="166">
        <v>250500</v>
      </c>
      <c r="P23" s="166">
        <v>213100</v>
      </c>
      <c r="Q23" s="167">
        <v>197545</v>
      </c>
    </row>
    <row r="24" spans="1:19" ht="23.25" x14ac:dyDescent="0.35">
      <c r="D24" s="161"/>
      <c r="E24" s="165"/>
      <c r="F24" s="165"/>
      <c r="G24" s="165"/>
      <c r="H24" s="165"/>
      <c r="I24" s="165"/>
      <c r="J24" s="166"/>
      <c r="K24" s="165"/>
      <c r="L24" s="165"/>
      <c r="M24" s="165"/>
      <c r="N24" s="165"/>
      <c r="O24" s="166"/>
      <c r="P24" s="166"/>
      <c r="Q24" s="167"/>
    </row>
    <row r="25" spans="1:19" ht="23.25" x14ac:dyDescent="0.35">
      <c r="D25" s="161"/>
      <c r="E25" s="165"/>
      <c r="F25" s="165"/>
      <c r="G25" s="165"/>
      <c r="H25" s="165"/>
      <c r="I25" s="165"/>
      <c r="J25" s="165"/>
      <c r="K25" s="165"/>
      <c r="L25" s="165"/>
      <c r="M25" s="165"/>
      <c r="N25" s="165"/>
      <c r="O25" s="165"/>
      <c r="P25" s="165"/>
      <c r="Q25" s="168"/>
    </row>
    <row r="26" spans="1:19" ht="23.25" x14ac:dyDescent="0.35">
      <c r="A26" s="5"/>
      <c r="B26" s="5"/>
      <c r="C26" s="5"/>
      <c r="D26" s="164" t="s">
        <v>209</v>
      </c>
      <c r="E26" s="165"/>
      <c r="F26" s="165"/>
      <c r="G26" s="165"/>
      <c r="H26" s="165"/>
      <c r="I26" s="162"/>
      <c r="J26" s="162"/>
      <c r="K26" s="165"/>
      <c r="L26" s="165"/>
      <c r="M26" s="165"/>
      <c r="N26" s="162"/>
      <c r="O26" s="162"/>
      <c r="P26" s="162"/>
      <c r="Q26" s="167"/>
    </row>
    <row r="27" spans="1:19" ht="23.25" x14ac:dyDescent="0.35">
      <c r="A27" s="5"/>
      <c r="B27" s="5"/>
      <c r="C27" s="5"/>
      <c r="D27" s="161" t="s">
        <v>210</v>
      </c>
      <c r="E27" s="165">
        <v>135673.49600000001</v>
      </c>
      <c r="F27" s="165">
        <v>125262.709</v>
      </c>
      <c r="G27" s="165">
        <v>140131.04699999999</v>
      </c>
      <c r="H27" s="165">
        <v>129520.95699999999</v>
      </c>
      <c r="I27" s="480">
        <v>114693.48299999999</v>
      </c>
      <c r="J27" s="480">
        <v>104474.38</v>
      </c>
      <c r="K27" s="165">
        <v>88141.321819006378</v>
      </c>
      <c r="L27" s="165">
        <v>85151</v>
      </c>
      <c r="M27" s="165">
        <v>86569</v>
      </c>
      <c r="N27" s="165">
        <v>95776</v>
      </c>
      <c r="O27" s="166">
        <v>79577.07346</v>
      </c>
      <c r="P27" s="166">
        <v>75321.988870000001</v>
      </c>
      <c r="Q27" s="167">
        <v>66904</v>
      </c>
      <c r="R27">
        <v>67219.840049999999</v>
      </c>
    </row>
    <row r="28" spans="1:19" ht="23.25" customHeight="1" x14ac:dyDescent="0.35">
      <c r="C28" s="5"/>
      <c r="D28" s="161" t="s">
        <v>211</v>
      </c>
      <c r="E28" s="165">
        <v>191900.709</v>
      </c>
      <c r="F28" s="165">
        <v>201438.99100000001</v>
      </c>
      <c r="G28" s="165">
        <v>259518.807</v>
      </c>
      <c r="H28" s="165">
        <v>238579.54699999999</v>
      </c>
      <c r="I28" s="480">
        <v>212438.905</v>
      </c>
      <c r="J28" s="480">
        <v>221601.86900000001</v>
      </c>
      <c r="K28" s="165">
        <v>186380.30639977392</v>
      </c>
      <c r="L28" s="165">
        <v>197368</v>
      </c>
      <c r="M28" s="165">
        <v>210435</v>
      </c>
      <c r="N28" s="165">
        <v>243097</v>
      </c>
      <c r="O28" s="166">
        <v>196779.12672999999</v>
      </c>
      <c r="P28" s="166">
        <v>122817.26641</v>
      </c>
      <c r="Q28" s="167">
        <v>138915</v>
      </c>
      <c r="R28">
        <v>173024.32233</v>
      </c>
    </row>
    <row r="29" spans="1:19" ht="23.25" x14ac:dyDescent="0.35">
      <c r="C29" s="5"/>
      <c r="D29" s="161" t="s">
        <v>212</v>
      </c>
      <c r="E29" s="165"/>
      <c r="F29" s="165"/>
      <c r="G29" s="165"/>
      <c r="H29" s="165"/>
      <c r="I29" s="165"/>
      <c r="J29" s="166"/>
      <c r="K29" s="165">
        <v>91973</v>
      </c>
      <c r="L29" s="165">
        <v>170520</v>
      </c>
      <c r="M29" s="165">
        <v>264195.75</v>
      </c>
      <c r="N29" s="165">
        <v>420979.58</v>
      </c>
      <c r="O29" s="166">
        <v>603072</v>
      </c>
      <c r="P29" s="166">
        <v>607632.00000000012</v>
      </c>
      <c r="Q29" s="167">
        <v>685504</v>
      </c>
      <c r="R29">
        <v>151861.5883</v>
      </c>
    </row>
    <row r="30" spans="1:19" ht="23.25" x14ac:dyDescent="0.35">
      <c r="C30" s="5"/>
      <c r="D30" s="161"/>
      <c r="E30" s="165"/>
      <c r="F30" s="165"/>
      <c r="G30" s="165"/>
      <c r="H30" s="165"/>
      <c r="I30" s="165"/>
      <c r="J30" s="162"/>
      <c r="K30" s="165"/>
      <c r="L30" s="165"/>
      <c r="M30" s="165"/>
      <c r="N30" s="165"/>
      <c r="O30" s="162"/>
      <c r="P30" s="162"/>
      <c r="Q30" s="167"/>
    </row>
    <row r="31" spans="1:19" ht="23.25" x14ac:dyDescent="0.35">
      <c r="D31" s="161" t="s">
        <v>213</v>
      </c>
      <c r="E31" s="166">
        <v>202505.674</v>
      </c>
      <c r="F31" s="166">
        <v>199464.29800000001</v>
      </c>
      <c r="G31" s="166">
        <v>194953.15400000001</v>
      </c>
      <c r="H31" s="166">
        <v>205281.91800000001</v>
      </c>
      <c r="I31" s="166">
        <v>196613.424</v>
      </c>
      <c r="J31" s="166">
        <v>176169.696</v>
      </c>
      <c r="K31" s="166">
        <v>157516.4129629033</v>
      </c>
      <c r="L31" s="166">
        <v>163147</v>
      </c>
      <c r="M31" s="166">
        <v>183930</v>
      </c>
      <c r="N31" s="166">
        <v>157402</v>
      </c>
      <c r="O31" s="166">
        <v>125162.7917</v>
      </c>
      <c r="P31" s="166">
        <v>125657.21574</v>
      </c>
      <c r="Q31" s="167">
        <v>135102</v>
      </c>
      <c r="R31">
        <v>771229</v>
      </c>
      <c r="S31" t="s">
        <v>266</v>
      </c>
    </row>
    <row r="32" spans="1:19" ht="23.25" x14ac:dyDescent="0.35">
      <c r="D32" s="161"/>
      <c r="E32" s="165"/>
      <c r="F32" s="165"/>
      <c r="G32" s="165"/>
      <c r="H32" s="165"/>
      <c r="I32" s="162"/>
      <c r="J32" s="162"/>
      <c r="K32" s="165"/>
      <c r="L32" s="165"/>
      <c r="M32" s="165"/>
      <c r="N32" s="162"/>
      <c r="O32" s="162"/>
      <c r="P32" s="162"/>
      <c r="Q32" s="167"/>
      <c r="S32" t="s">
        <v>56</v>
      </c>
    </row>
    <row r="33" spans="1:18" ht="23.25" x14ac:dyDescent="0.35">
      <c r="D33" s="161"/>
      <c r="E33" s="165"/>
      <c r="F33" s="165"/>
      <c r="G33" s="165"/>
      <c r="H33" s="165"/>
      <c r="I33" s="165"/>
      <c r="J33" s="166"/>
      <c r="K33" s="165"/>
      <c r="L33" s="165"/>
      <c r="M33" s="165"/>
      <c r="N33" s="165"/>
      <c r="O33" s="166"/>
      <c r="P33" s="166"/>
      <c r="Q33" s="167"/>
    </row>
    <row r="34" spans="1:18" ht="23.25" x14ac:dyDescent="0.35">
      <c r="A34" s="5"/>
      <c r="B34" s="5"/>
      <c r="D34" s="161"/>
      <c r="E34" s="162"/>
      <c r="F34" s="162"/>
      <c r="G34" s="162"/>
      <c r="H34" s="162"/>
      <c r="I34" s="162"/>
      <c r="J34" s="162"/>
      <c r="K34" s="162"/>
      <c r="L34" s="162"/>
      <c r="M34" s="162"/>
      <c r="N34" s="162"/>
      <c r="O34" s="162"/>
      <c r="P34" s="162"/>
      <c r="Q34" s="167"/>
    </row>
    <row r="35" spans="1:18" ht="23.25" x14ac:dyDescent="0.35">
      <c r="D35" s="169"/>
      <c r="E35" s="170"/>
      <c r="F35" s="170"/>
      <c r="G35" s="170"/>
      <c r="H35" s="170"/>
      <c r="I35" s="170"/>
      <c r="J35" s="170"/>
      <c r="K35" s="170"/>
      <c r="L35" s="170"/>
      <c r="M35" s="170"/>
      <c r="N35" s="170"/>
      <c r="O35" s="170"/>
      <c r="P35" s="170"/>
      <c r="Q35" s="171"/>
    </row>
    <row r="36" spans="1:18" ht="23.25" x14ac:dyDescent="0.35">
      <c r="D36" s="10"/>
      <c r="E36" s="10"/>
      <c r="F36" s="10"/>
      <c r="G36" s="10"/>
      <c r="H36" s="10"/>
      <c r="I36" s="10"/>
      <c r="J36" s="10"/>
      <c r="K36" s="13"/>
    </row>
    <row r="37" spans="1:18" ht="23.25" x14ac:dyDescent="0.35">
      <c r="D37" s="172" t="s">
        <v>56</v>
      </c>
      <c r="E37" s="158" t="s">
        <v>68</v>
      </c>
      <c r="F37" s="158" t="s">
        <v>69</v>
      </c>
      <c r="G37" s="158" t="s">
        <v>70</v>
      </c>
      <c r="H37" s="158" t="s">
        <v>71</v>
      </c>
      <c r="I37" s="158" t="s">
        <v>72</v>
      </c>
      <c r="J37" s="159" t="s">
        <v>73</v>
      </c>
      <c r="K37" s="173" t="s">
        <v>192</v>
      </c>
      <c r="L37" s="173" t="s">
        <v>193</v>
      </c>
      <c r="M37" s="173" t="s">
        <v>194</v>
      </c>
      <c r="N37" s="173" t="s">
        <v>195</v>
      </c>
      <c r="O37" s="174" t="s">
        <v>196</v>
      </c>
      <c r="P37" s="174" t="s">
        <v>6</v>
      </c>
      <c r="Q37" s="175" t="s">
        <v>7</v>
      </c>
      <c r="R37" s="509" t="s">
        <v>489</v>
      </c>
    </row>
    <row r="38" spans="1:18" ht="23.25" x14ac:dyDescent="0.35">
      <c r="D38" s="176" t="s">
        <v>197</v>
      </c>
      <c r="E38" s="162"/>
      <c r="F38" s="162"/>
      <c r="G38" s="162"/>
      <c r="H38" s="162"/>
      <c r="I38" s="162"/>
      <c r="J38" s="162"/>
      <c r="K38" s="177"/>
      <c r="L38" s="177"/>
      <c r="M38" s="177"/>
      <c r="N38" s="177"/>
      <c r="O38" s="177"/>
      <c r="P38" s="177"/>
      <c r="Q38" s="163"/>
    </row>
    <row r="39" spans="1:18" ht="23.25" x14ac:dyDescent="0.35">
      <c r="D39" s="178" t="s">
        <v>198</v>
      </c>
      <c r="E39" s="177"/>
      <c r="F39" s="177"/>
      <c r="G39" s="177"/>
      <c r="H39" s="177"/>
      <c r="I39" s="480">
        <v>105790.68216</v>
      </c>
      <c r="J39" s="480">
        <v>122033.04440999997</v>
      </c>
      <c r="K39" s="165">
        <v>114262.49781235761</v>
      </c>
      <c r="L39" s="165">
        <v>141134</v>
      </c>
      <c r="M39" s="165">
        <v>149264</v>
      </c>
      <c r="N39" s="165">
        <v>184400</v>
      </c>
      <c r="O39" s="179">
        <v>202453.16357</v>
      </c>
      <c r="P39" s="179">
        <v>213339.22725</v>
      </c>
      <c r="Q39" s="167">
        <v>180571</v>
      </c>
      <c r="R39">
        <v>49904.159010000003</v>
      </c>
    </row>
    <row r="40" spans="1:18" ht="23.25" x14ac:dyDescent="0.35">
      <c r="D40" s="178" t="s">
        <v>199</v>
      </c>
      <c r="E40" s="177"/>
      <c r="F40" s="177"/>
      <c r="G40" s="177"/>
      <c r="H40" s="177"/>
      <c r="I40" s="480">
        <v>10145.747789999999</v>
      </c>
      <c r="J40" s="480">
        <v>9320.4454799999985</v>
      </c>
      <c r="K40" s="165">
        <v>9179.274861276419</v>
      </c>
      <c r="L40" s="165">
        <v>10449</v>
      </c>
      <c r="M40" s="165">
        <v>13611</v>
      </c>
      <c r="N40" s="165">
        <v>15587</v>
      </c>
      <c r="O40" s="179">
        <v>14084.790489999999</v>
      </c>
      <c r="P40" s="179">
        <v>16784.58149</v>
      </c>
      <c r="Q40" s="167">
        <v>15630</v>
      </c>
      <c r="R40">
        <v>4462.8645500000002</v>
      </c>
    </row>
    <row r="41" spans="1:18" ht="23.25" x14ac:dyDescent="0.35">
      <c r="D41" s="178" t="s">
        <v>200</v>
      </c>
      <c r="E41" s="177"/>
      <c r="F41" s="177"/>
      <c r="G41" s="177"/>
      <c r="H41" s="177"/>
      <c r="I41" s="480">
        <v>433.24340000000001</v>
      </c>
      <c r="J41" s="480">
        <v>229.74194</v>
      </c>
      <c r="K41" s="165">
        <v>604.74700000000007</v>
      </c>
      <c r="L41" s="165">
        <v>483</v>
      </c>
      <c r="M41" s="165">
        <v>310</v>
      </c>
      <c r="N41" s="165">
        <v>2061</v>
      </c>
      <c r="O41" s="179">
        <v>331.98156</v>
      </c>
      <c r="P41" s="179">
        <v>281</v>
      </c>
      <c r="Q41" s="167">
        <v>290</v>
      </c>
      <c r="R41">
        <v>160</v>
      </c>
    </row>
    <row r="42" spans="1:18" ht="23.25" x14ac:dyDescent="0.35">
      <c r="D42" s="178" t="s">
        <v>201</v>
      </c>
      <c r="E42" s="177"/>
      <c r="F42" s="177"/>
      <c r="G42" s="177"/>
      <c r="H42" s="177"/>
      <c r="I42" s="480">
        <v>675.90200000000004</v>
      </c>
      <c r="J42" s="482">
        <v>705.42633000000001</v>
      </c>
      <c r="K42" s="165">
        <v>874.93698000000006</v>
      </c>
      <c r="L42" s="165">
        <v>971</v>
      </c>
      <c r="M42" s="165">
        <v>1931</v>
      </c>
      <c r="N42" s="165">
        <v>1476</v>
      </c>
      <c r="O42" s="179">
        <v>1601.3243</v>
      </c>
      <c r="P42" s="179">
        <v>2405.6756999999998</v>
      </c>
      <c r="Q42" s="167">
        <v>1714</v>
      </c>
      <c r="R42">
        <v>947</v>
      </c>
    </row>
    <row r="43" spans="1:18" ht="23.25" x14ac:dyDescent="0.35">
      <c r="D43" s="178" t="s">
        <v>202</v>
      </c>
      <c r="E43" s="177"/>
      <c r="F43" s="177"/>
      <c r="G43" s="177"/>
      <c r="H43" s="177"/>
      <c r="I43" s="480">
        <v>68401.668340000004</v>
      </c>
      <c r="J43" s="482">
        <v>75127.220539999995</v>
      </c>
      <c r="K43" s="165">
        <v>76627.523696752309</v>
      </c>
      <c r="L43" s="165">
        <v>92845</v>
      </c>
      <c r="M43" s="165">
        <v>93524</v>
      </c>
      <c r="N43" s="165">
        <v>119113</v>
      </c>
      <c r="O43" s="179">
        <v>127137.67480000001</v>
      </c>
      <c r="P43" s="179">
        <v>117030.64044</v>
      </c>
      <c r="Q43" s="167">
        <v>95473</v>
      </c>
      <c r="R43">
        <v>25331.26</v>
      </c>
    </row>
    <row r="44" spans="1:18" ht="23.25" x14ac:dyDescent="0.35">
      <c r="D44" s="178" t="s">
        <v>203</v>
      </c>
      <c r="E44" s="177"/>
      <c r="F44" s="177"/>
      <c r="G44" s="177"/>
      <c r="H44" s="177"/>
      <c r="I44" s="480">
        <v>2921.9174500000004</v>
      </c>
      <c r="J44" s="482">
        <v>1657.9042199999999</v>
      </c>
      <c r="K44" s="165">
        <v>1816.6011899286998</v>
      </c>
      <c r="L44" s="165">
        <v>2566</v>
      </c>
      <c r="M44" s="165">
        <v>3878</v>
      </c>
      <c r="N44" s="165">
        <v>5345</v>
      </c>
      <c r="O44" s="179">
        <v>6256.9666900000002</v>
      </c>
      <c r="P44" s="179">
        <v>13700.26208</v>
      </c>
      <c r="Q44" s="167">
        <v>8999</v>
      </c>
      <c r="R44">
        <v>3032.2939999999999</v>
      </c>
    </row>
    <row r="45" spans="1:18" ht="23.25" x14ac:dyDescent="0.35">
      <c r="D45" s="178" t="s">
        <v>204</v>
      </c>
      <c r="E45" s="177"/>
      <c r="F45" s="177"/>
      <c r="G45" s="177"/>
      <c r="H45" s="177"/>
      <c r="I45" s="480">
        <v>213.85818</v>
      </c>
      <c r="J45" s="482">
        <v>198.45285000000001</v>
      </c>
      <c r="K45" s="165">
        <v>44.609000000000002</v>
      </c>
      <c r="L45" s="165">
        <v>352</v>
      </c>
      <c r="M45" s="165">
        <v>240</v>
      </c>
      <c r="N45" s="165">
        <v>774</v>
      </c>
      <c r="O45" s="179">
        <v>558</v>
      </c>
      <c r="P45" s="179">
        <v>935</v>
      </c>
      <c r="Q45" s="167">
        <v>3269</v>
      </c>
      <c r="R45">
        <v>303</v>
      </c>
    </row>
    <row r="46" spans="1:18" ht="23.25" x14ac:dyDescent="0.35">
      <c r="D46" s="178" t="s">
        <v>205</v>
      </c>
      <c r="E46" s="177"/>
      <c r="F46" s="177"/>
      <c r="G46" s="177"/>
      <c r="H46" s="177"/>
      <c r="I46" s="480">
        <v>73723.78257000001</v>
      </c>
      <c r="J46" s="480">
        <v>80746.946550000008</v>
      </c>
      <c r="K46" s="165">
        <v>70653.556702317059</v>
      </c>
      <c r="L46" s="165">
        <v>80094</v>
      </c>
      <c r="M46" s="165">
        <v>71944</v>
      </c>
      <c r="N46" s="165">
        <v>125367</v>
      </c>
      <c r="O46" s="179">
        <v>149388.90723000001</v>
      </c>
      <c r="P46" s="179">
        <v>118276.44117000001</v>
      </c>
      <c r="Q46" s="167">
        <v>92741</v>
      </c>
      <c r="R46">
        <v>65930.515879999992</v>
      </c>
    </row>
    <row r="47" spans="1:18" ht="23.25" x14ac:dyDescent="0.35">
      <c r="D47" s="178" t="s">
        <v>206</v>
      </c>
      <c r="E47" s="177"/>
      <c r="F47" s="177"/>
      <c r="G47" s="177"/>
      <c r="H47" s="177"/>
      <c r="I47" s="480">
        <v>35725.033499999998</v>
      </c>
      <c r="J47" s="480">
        <v>39778.084000000003</v>
      </c>
      <c r="K47" s="165">
        <v>36222.579674861947</v>
      </c>
      <c r="L47" s="165">
        <v>43287</v>
      </c>
      <c r="M47" s="165">
        <v>46088</v>
      </c>
      <c r="N47" s="165">
        <v>68799</v>
      </c>
      <c r="O47" s="179">
        <v>63725.508190000008</v>
      </c>
      <c r="P47" s="179">
        <v>63620.912429999997</v>
      </c>
      <c r="Q47" s="167">
        <v>62564</v>
      </c>
      <c r="R47">
        <v>53101.221630000007</v>
      </c>
    </row>
    <row r="48" spans="1:18" ht="23.25" x14ac:dyDescent="0.35">
      <c r="D48" s="178"/>
      <c r="E48" s="177"/>
      <c r="F48" s="177"/>
      <c r="G48" s="177"/>
      <c r="H48" s="177"/>
      <c r="J48" s="482"/>
      <c r="K48" s="165"/>
      <c r="L48" s="165"/>
      <c r="M48" s="165"/>
      <c r="N48" s="165"/>
      <c r="O48" s="179"/>
      <c r="P48" s="179"/>
      <c r="Q48" s="167"/>
    </row>
    <row r="49" spans="3:18" ht="23.25" x14ac:dyDescent="0.35">
      <c r="D49" s="178"/>
      <c r="E49" s="177"/>
      <c r="F49" s="177"/>
      <c r="G49" s="177"/>
      <c r="H49" s="177"/>
      <c r="J49" s="482"/>
      <c r="K49" s="165"/>
      <c r="L49" s="165"/>
      <c r="M49" s="165"/>
      <c r="N49" s="165"/>
      <c r="O49" s="179"/>
      <c r="P49" s="179"/>
      <c r="Q49" s="167"/>
    </row>
    <row r="50" spans="3:18" ht="23.25" x14ac:dyDescent="0.35">
      <c r="D50" s="178"/>
      <c r="E50" s="177"/>
      <c r="F50" s="177"/>
      <c r="G50" s="177"/>
      <c r="H50" s="177"/>
      <c r="I50" s="480"/>
      <c r="J50" s="480"/>
      <c r="K50" s="165"/>
      <c r="L50" s="165"/>
      <c r="M50" s="165"/>
      <c r="N50" s="165"/>
      <c r="O50" s="179"/>
      <c r="P50" s="179"/>
      <c r="Q50" s="167"/>
    </row>
    <row r="51" spans="3:18" ht="23.25" x14ac:dyDescent="0.35">
      <c r="D51" s="178"/>
      <c r="E51" s="177"/>
      <c r="F51" s="177"/>
      <c r="G51" s="177"/>
      <c r="H51" s="177"/>
      <c r="I51" s="480"/>
      <c r="J51" s="480"/>
      <c r="K51" s="165"/>
      <c r="L51" s="165"/>
      <c r="M51" s="165"/>
      <c r="N51" s="165"/>
      <c r="O51" s="179"/>
      <c r="P51" s="179"/>
      <c r="Q51" s="167"/>
    </row>
    <row r="52" spans="3:18" ht="23.25" x14ac:dyDescent="0.35">
      <c r="D52" s="176" t="s">
        <v>209</v>
      </c>
      <c r="E52" s="237"/>
      <c r="F52" s="237"/>
      <c r="G52" s="237"/>
      <c r="H52" s="237"/>
      <c r="I52" s="480"/>
      <c r="J52" s="482"/>
      <c r="K52" s="165"/>
      <c r="L52" s="165"/>
      <c r="M52" s="165"/>
      <c r="N52" s="165"/>
      <c r="O52" s="177"/>
      <c r="P52" s="177"/>
      <c r="Q52" s="167"/>
    </row>
    <row r="53" spans="3:18" ht="23.25" x14ac:dyDescent="0.35">
      <c r="D53" s="178" t="s">
        <v>210</v>
      </c>
      <c r="E53" s="177"/>
      <c r="F53" s="177"/>
      <c r="G53" s="177"/>
      <c r="H53" s="177"/>
      <c r="I53" s="480">
        <v>18070.055010000004</v>
      </c>
      <c r="J53" s="480">
        <v>21944.343330000011</v>
      </c>
      <c r="K53" s="165">
        <v>29255.178524143554</v>
      </c>
      <c r="L53" s="165">
        <v>24040</v>
      </c>
      <c r="M53" s="165">
        <v>26888</v>
      </c>
      <c r="N53" s="165">
        <v>48240</v>
      </c>
      <c r="O53" s="179">
        <v>48938.500140000004</v>
      </c>
      <c r="P53" s="179">
        <v>49960.752560000001</v>
      </c>
      <c r="Q53" s="167">
        <v>38229</v>
      </c>
      <c r="R53">
        <v>30236.727279999999</v>
      </c>
    </row>
    <row r="54" spans="3:18" ht="23.25" x14ac:dyDescent="0.35">
      <c r="D54" s="178" t="s">
        <v>211</v>
      </c>
      <c r="E54" s="177"/>
      <c r="F54" s="177"/>
      <c r="G54" s="177"/>
      <c r="H54" s="177"/>
      <c r="I54" s="480">
        <v>38225.841539999994</v>
      </c>
      <c r="J54" s="480">
        <v>42025.092130000012</v>
      </c>
      <c r="K54" s="165">
        <v>39315.464525442978</v>
      </c>
      <c r="L54" s="165">
        <v>46127.870999999999</v>
      </c>
      <c r="M54" s="165">
        <v>37675</v>
      </c>
      <c r="N54" s="165">
        <v>77803</v>
      </c>
      <c r="O54" s="179">
        <v>102407.84476000001</v>
      </c>
      <c r="P54" s="179">
        <v>77040.943350000001</v>
      </c>
      <c r="Q54" s="167">
        <v>57286</v>
      </c>
      <c r="R54">
        <v>58174.928890000003</v>
      </c>
    </row>
    <row r="55" spans="3:18" ht="23.25" x14ac:dyDescent="0.35">
      <c r="D55" s="178" t="s">
        <v>213</v>
      </c>
      <c r="E55" s="177"/>
      <c r="F55" s="177"/>
      <c r="G55" s="177"/>
      <c r="H55" s="177"/>
      <c r="I55" s="480">
        <v>36967.516210000009</v>
      </c>
      <c r="J55" s="480">
        <v>40897.399270000009</v>
      </c>
      <c r="K55" s="165">
        <v>41415.925672953861</v>
      </c>
      <c r="L55" s="165">
        <v>49829</v>
      </c>
      <c r="M55" s="165">
        <v>62083</v>
      </c>
      <c r="N55" s="165">
        <v>65901</v>
      </c>
      <c r="O55" s="179">
        <v>71700.192850000007</v>
      </c>
      <c r="P55" s="179">
        <v>81759.934150000001</v>
      </c>
      <c r="Q55" s="167">
        <v>80420</v>
      </c>
      <c r="R55">
        <v>69512.550740000006</v>
      </c>
    </row>
    <row r="56" spans="3:18" ht="23.25" x14ac:dyDescent="0.35">
      <c r="D56" s="176"/>
      <c r="E56" s="165"/>
      <c r="F56" s="165"/>
      <c r="G56" s="165"/>
      <c r="H56" s="165"/>
      <c r="I56" s="480"/>
      <c r="J56" s="480"/>
      <c r="K56" s="167"/>
    </row>
    <row r="57" spans="3:18" ht="23.25" x14ac:dyDescent="0.35">
      <c r="D57" s="178"/>
      <c r="E57" s="165"/>
      <c r="F57" s="165"/>
      <c r="G57" s="165"/>
      <c r="H57" s="165"/>
      <c r="I57" s="177"/>
      <c r="J57" s="177"/>
      <c r="K57" s="163"/>
    </row>
    <row r="58" spans="3:18" ht="23.25" x14ac:dyDescent="0.35">
      <c r="D58" s="176"/>
      <c r="E58" s="181"/>
      <c r="F58" s="181"/>
      <c r="G58" s="181"/>
      <c r="H58" s="181"/>
      <c r="I58" s="182"/>
      <c r="J58" s="182"/>
      <c r="K58" s="183"/>
    </row>
    <row r="59" spans="3:18" ht="23.25" x14ac:dyDescent="0.35">
      <c r="C59" s="154"/>
      <c r="D59" s="176"/>
      <c r="E59" s="181"/>
      <c r="F59" s="181"/>
      <c r="G59" s="181"/>
      <c r="H59" s="181"/>
      <c r="I59" s="177"/>
      <c r="J59" s="177"/>
      <c r="K59" s="163"/>
    </row>
    <row r="60" spans="3:18" ht="23.25" x14ac:dyDescent="0.35">
      <c r="C60" s="154"/>
      <c r="D60" s="176"/>
      <c r="E60" s="181"/>
      <c r="F60" s="181"/>
      <c r="G60" s="181"/>
      <c r="H60" s="181"/>
      <c r="I60" s="184"/>
      <c r="J60" s="181"/>
      <c r="K60" s="183"/>
    </row>
    <row r="61" spans="3:18" ht="23.25" x14ac:dyDescent="0.35">
      <c r="C61" s="154"/>
      <c r="D61" s="176"/>
      <c r="E61" s="181"/>
      <c r="F61" s="181"/>
      <c r="G61" s="181"/>
      <c r="H61" s="181"/>
      <c r="I61" s="177"/>
      <c r="J61" s="177"/>
      <c r="K61" s="163"/>
    </row>
    <row r="62" spans="3:18" ht="23.25" x14ac:dyDescent="0.35">
      <c r="D62" s="185"/>
      <c r="E62" s="186"/>
      <c r="F62" s="186"/>
      <c r="G62" s="186"/>
      <c r="H62" s="186"/>
      <c r="I62" s="187"/>
      <c r="J62" s="187"/>
      <c r="K62" s="188"/>
    </row>
    <row r="63" spans="3:18" ht="23.25" x14ac:dyDescent="0.35">
      <c r="D63" s="10"/>
      <c r="E63" s="10"/>
      <c r="F63" s="10"/>
      <c r="G63" s="10"/>
      <c r="H63" s="10"/>
      <c r="I63" s="10"/>
      <c r="J63" s="10"/>
      <c r="K63" s="10"/>
    </row>
    <row r="64" spans="3:18" ht="23.25" x14ac:dyDescent="0.35">
      <c r="D64" s="10"/>
      <c r="E64" s="10"/>
      <c r="F64" s="10"/>
      <c r="G64" s="10"/>
      <c r="H64" s="10"/>
      <c r="I64" s="10"/>
      <c r="J64" s="10"/>
      <c r="K64" s="10"/>
    </row>
    <row r="65" spans="3:11" ht="23.25" x14ac:dyDescent="0.35">
      <c r="C65" s="154"/>
      <c r="D65" s="189"/>
      <c r="E65" s="10"/>
      <c r="F65" s="10"/>
      <c r="G65" s="10"/>
      <c r="H65" s="10"/>
      <c r="I65" s="10"/>
      <c r="J65" s="10"/>
      <c r="K65" s="10"/>
    </row>
    <row r="66" spans="3:11" x14ac:dyDescent="0.25">
      <c r="C66" s="154"/>
      <c r="D66" s="154"/>
    </row>
    <row r="67" spans="3:11" x14ac:dyDescent="0.25">
      <c r="C67" s="154"/>
      <c r="D67" s="154"/>
    </row>
    <row r="68" spans="3:11" x14ac:dyDescent="0.25">
      <c r="C68" s="154"/>
      <c r="D68" s="154"/>
    </row>
    <row r="69" spans="3:11" x14ac:dyDescent="0.25">
      <c r="C69" s="154"/>
      <c r="D69" s="154"/>
    </row>
    <row r="70" spans="3:11" x14ac:dyDescent="0.25">
      <c r="C70" s="154"/>
      <c r="D70" s="154"/>
    </row>
  </sheetData>
  <customSheetViews>
    <customSheetView guid="{9EA95E61-FCA5-4867-AEB4-B8C24058ACDD}" scale="60" showGridLines="0" showRowCol="0" state="hidden" topLeftCell="A28">
      <selection activeCell="M39" sqref="M39"/>
      <pageMargins left="0.7" right="0.7" top="0.75" bottom="0.75" header="0.3" footer="0.3"/>
      <pageSetup paperSize="9" orientation="portrait" r:id="rId1"/>
    </customSheetView>
  </customSheetViews>
  <mergeCells count="1">
    <mergeCell ref="I9:J9"/>
  </mergeCells>
  <pageMargins left="0.7" right="0.7" top="0.75" bottom="0.75" header="0.3" footer="0.3"/>
  <pageSetup paperSize="9" orientation="portrait" r:id="rId2"/>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4:W80"/>
  <sheetViews>
    <sheetView showGridLines="0" showRowColHeaders="0" topLeftCell="A31" zoomScale="60" zoomScaleNormal="60" workbookViewId="0">
      <selection activeCell="E67" sqref="E67"/>
    </sheetView>
  </sheetViews>
  <sheetFormatPr defaultRowHeight="15" x14ac:dyDescent="0.25"/>
  <cols>
    <col min="4" max="4" width="24.85546875" customWidth="1"/>
    <col min="5" max="5" width="43.7109375" customWidth="1"/>
    <col min="6" max="6" width="39.7109375" customWidth="1"/>
    <col min="7" max="7" width="35.5703125" customWidth="1"/>
    <col min="8" max="8" width="47.5703125" customWidth="1"/>
    <col min="9" max="9" width="43.7109375" customWidth="1"/>
    <col min="10" max="10" width="39.7109375" customWidth="1"/>
    <col min="11" max="11" width="24.85546875" customWidth="1"/>
    <col min="12" max="12" width="20.5703125" customWidth="1"/>
    <col min="13" max="13" width="26.28515625" customWidth="1"/>
    <col min="14" max="14" width="16.28515625" customWidth="1"/>
    <col min="15" max="15" width="26.28515625" bestFit="1" customWidth="1"/>
    <col min="16" max="16" width="16.28515625" bestFit="1" customWidth="1"/>
    <col min="17" max="17" width="22.5703125" bestFit="1" customWidth="1"/>
    <col min="18" max="18" width="21.28515625" bestFit="1" customWidth="1"/>
    <col min="19" max="19" width="22.28515625" bestFit="1" customWidth="1"/>
  </cols>
  <sheetData>
    <row r="4" spans="2:23" ht="59.25" x14ac:dyDescent="0.75">
      <c r="D4" s="4" t="s">
        <v>136</v>
      </c>
    </row>
    <row r="5" spans="2:23" ht="59.25" x14ac:dyDescent="0.75">
      <c r="D5" s="4"/>
    </row>
    <row r="6" spans="2:23" ht="23.25" thickBot="1" x14ac:dyDescent="0.35">
      <c r="D6" s="1963" t="s">
        <v>64</v>
      </c>
      <c r="E6" s="1963"/>
      <c r="F6" s="1963"/>
      <c r="G6" s="1963"/>
      <c r="H6" s="11"/>
      <c r="I6" s="11"/>
      <c r="J6" s="11"/>
    </row>
    <row r="7" spans="2:23" ht="22.5" x14ac:dyDescent="0.3">
      <c r="D7" s="14" t="s">
        <v>1</v>
      </c>
      <c r="E7" s="15" t="s">
        <v>65</v>
      </c>
      <c r="F7" s="15" t="s">
        <v>66</v>
      </c>
      <c r="G7" s="16" t="s">
        <v>3</v>
      </c>
      <c r="H7" s="11"/>
      <c r="I7" s="11"/>
      <c r="J7" s="11"/>
    </row>
    <row r="8" spans="2:23" ht="22.5" x14ac:dyDescent="0.3">
      <c r="B8" s="8"/>
      <c r="D8" s="105" t="s">
        <v>67</v>
      </c>
      <c r="E8" s="86">
        <v>504572701</v>
      </c>
      <c r="F8" s="86">
        <v>49074900472</v>
      </c>
      <c r="G8" s="87">
        <v>4464856836</v>
      </c>
      <c r="H8" s="11"/>
      <c r="I8" s="11"/>
      <c r="J8" s="11"/>
      <c r="T8" s="8"/>
      <c r="U8" s="8"/>
      <c r="V8" s="8"/>
      <c r="W8" s="8"/>
    </row>
    <row r="9" spans="2:23" ht="22.5" x14ac:dyDescent="0.3">
      <c r="B9" s="8"/>
      <c r="D9" s="105" t="s">
        <v>68</v>
      </c>
      <c r="E9" s="86">
        <v>516341468</v>
      </c>
      <c r="F9" s="86">
        <v>50582460208</v>
      </c>
      <c r="G9" s="87">
        <v>4799456503</v>
      </c>
      <c r="H9" s="11"/>
      <c r="I9" s="11"/>
      <c r="J9" s="11"/>
      <c r="T9" s="8"/>
      <c r="U9" s="8"/>
      <c r="V9" s="8"/>
      <c r="W9" s="8"/>
    </row>
    <row r="10" spans="2:23" ht="22.5" x14ac:dyDescent="0.3">
      <c r="B10" s="8"/>
      <c r="D10" s="105" t="s">
        <v>69</v>
      </c>
      <c r="E10" s="86">
        <v>534119797</v>
      </c>
      <c r="F10" s="86">
        <v>52158169497</v>
      </c>
      <c r="G10" s="87">
        <v>5435175325</v>
      </c>
      <c r="H10" s="11"/>
      <c r="I10" s="11"/>
      <c r="J10" s="11"/>
      <c r="T10" s="8"/>
      <c r="U10" s="8"/>
      <c r="V10" s="8"/>
      <c r="W10" s="8"/>
    </row>
    <row r="11" spans="2:23" ht="22.5" x14ac:dyDescent="0.3">
      <c r="B11" s="8"/>
      <c r="D11" s="105" t="s">
        <v>70</v>
      </c>
      <c r="E11" s="86">
        <v>561373380</v>
      </c>
      <c r="F11" s="86">
        <v>54089177055</v>
      </c>
      <c r="G11" s="87">
        <v>5651309236</v>
      </c>
      <c r="H11" s="11"/>
      <c r="I11" s="11"/>
      <c r="J11" s="11"/>
      <c r="T11" s="8"/>
      <c r="U11" s="8"/>
      <c r="V11" s="8"/>
      <c r="W11" s="8"/>
    </row>
    <row r="12" spans="2:23" ht="22.5" x14ac:dyDescent="0.3">
      <c r="B12" s="8"/>
      <c r="D12" s="105" t="s">
        <v>71</v>
      </c>
      <c r="E12" s="86">
        <v>591871608</v>
      </c>
      <c r="F12" s="86">
        <v>56740912048</v>
      </c>
      <c r="G12" s="87">
        <v>6281071387</v>
      </c>
      <c r="H12" s="11"/>
      <c r="I12" s="11"/>
      <c r="J12" s="11"/>
      <c r="T12" s="8"/>
      <c r="U12" s="8"/>
      <c r="V12" s="8"/>
      <c r="W12" s="8"/>
    </row>
    <row r="13" spans="2:23" ht="22.5" x14ac:dyDescent="0.3">
      <c r="B13" s="8"/>
      <c r="D13" s="105" t="s">
        <v>72</v>
      </c>
      <c r="E13" s="86">
        <v>624381798</v>
      </c>
      <c r="F13" s="86">
        <v>59190563180</v>
      </c>
      <c r="G13" s="87">
        <v>7018559073</v>
      </c>
      <c r="H13" s="11"/>
      <c r="I13" s="11"/>
      <c r="J13" s="11"/>
      <c r="T13" s="8"/>
      <c r="U13" s="8"/>
      <c r="V13" s="8"/>
      <c r="W13" s="8"/>
    </row>
    <row r="14" spans="2:23" ht="22.5" x14ac:dyDescent="0.3">
      <c r="B14" s="8"/>
      <c r="D14" s="105" t="s">
        <v>73</v>
      </c>
      <c r="E14" s="86">
        <v>659400104</v>
      </c>
      <c r="F14" s="86">
        <v>61657885237</v>
      </c>
      <c r="G14" s="87">
        <v>7664991607</v>
      </c>
      <c r="H14" s="11"/>
      <c r="I14" s="11"/>
      <c r="J14" s="11"/>
      <c r="T14" s="8"/>
      <c r="U14" s="8"/>
      <c r="V14" s="8"/>
      <c r="W14" s="8"/>
    </row>
    <row r="15" spans="2:23" ht="22.5" x14ac:dyDescent="0.3">
      <c r="B15" s="8"/>
      <c r="D15" s="105" t="s">
        <v>74</v>
      </c>
      <c r="E15" s="86">
        <v>691948868</v>
      </c>
      <c r="F15" s="86">
        <v>64042525435</v>
      </c>
      <c r="G15" s="87">
        <v>8094174944</v>
      </c>
      <c r="H15" s="11"/>
      <c r="I15" s="11"/>
      <c r="J15" s="11"/>
      <c r="T15" s="8"/>
      <c r="U15" s="8"/>
      <c r="V15" s="8"/>
      <c r="W15" s="8"/>
    </row>
    <row r="16" spans="2:23" ht="22.5" x14ac:dyDescent="0.3">
      <c r="B16" s="8"/>
      <c r="D16" s="105" t="s">
        <v>75</v>
      </c>
      <c r="E16" s="86">
        <v>733010929</v>
      </c>
      <c r="F16" s="86">
        <v>67468607795</v>
      </c>
      <c r="G16" s="87">
        <v>8013483226</v>
      </c>
      <c r="H16" s="11"/>
      <c r="I16" s="11"/>
      <c r="J16" s="11"/>
      <c r="T16" s="8"/>
      <c r="U16" s="8"/>
      <c r="V16" s="8"/>
      <c r="W16" s="8"/>
    </row>
    <row r="17" spans="1:23" ht="22.5" x14ac:dyDescent="0.3">
      <c r="B17" s="8"/>
      <c r="D17" s="105" t="s">
        <v>76</v>
      </c>
      <c r="E17" s="86">
        <v>762631738</v>
      </c>
      <c r="F17" s="86">
        <v>70369213090</v>
      </c>
      <c r="G17" s="87">
        <v>8250323893</v>
      </c>
      <c r="H17" s="11"/>
      <c r="I17" s="11"/>
      <c r="J17" s="11"/>
      <c r="T17" s="8"/>
      <c r="U17" s="8"/>
      <c r="V17" s="8"/>
      <c r="W17" s="8"/>
    </row>
    <row r="18" spans="1:23" ht="22.5" x14ac:dyDescent="0.3">
      <c r="B18" s="8"/>
      <c r="D18" s="105" t="s">
        <v>4</v>
      </c>
      <c r="E18" s="86">
        <v>803297137</v>
      </c>
      <c r="F18" s="86">
        <v>73093309000</v>
      </c>
      <c r="G18" s="87">
        <v>8303500918</v>
      </c>
      <c r="H18" s="11"/>
      <c r="I18" s="11"/>
      <c r="J18" s="11"/>
      <c r="T18" s="8"/>
      <c r="U18" s="8"/>
      <c r="V18" s="8"/>
      <c r="W18" s="8"/>
    </row>
    <row r="19" spans="1:23" ht="22.5" x14ac:dyDescent="0.3">
      <c r="B19" s="8"/>
      <c r="D19" s="105" t="s">
        <v>5</v>
      </c>
      <c r="E19" s="86">
        <v>852482281</v>
      </c>
      <c r="F19" s="86">
        <v>77363704790</v>
      </c>
      <c r="G19" s="87">
        <v>8376264432</v>
      </c>
      <c r="H19" s="11"/>
      <c r="I19" s="11"/>
      <c r="J19" s="11"/>
      <c r="T19" s="8"/>
      <c r="U19" s="8"/>
      <c r="V19" s="8"/>
      <c r="W19" s="8"/>
    </row>
    <row r="20" spans="1:23" ht="22.5" x14ac:dyDescent="0.3">
      <c r="B20" s="8"/>
      <c r="D20" s="105" t="s">
        <v>6</v>
      </c>
      <c r="E20" s="86">
        <v>897727347</v>
      </c>
      <c r="F20" s="86">
        <v>81139818758</v>
      </c>
      <c r="G20" s="87">
        <v>8621421130</v>
      </c>
      <c r="H20" s="11"/>
      <c r="I20" s="11"/>
      <c r="J20" s="11"/>
      <c r="T20" s="8"/>
      <c r="U20" s="8"/>
      <c r="V20" s="8"/>
      <c r="W20" s="8"/>
    </row>
    <row r="21" spans="1:23" ht="23.25" thickBot="1" x14ac:dyDescent="0.35">
      <c r="B21" s="8"/>
      <c r="D21" s="106" t="s">
        <v>7</v>
      </c>
      <c r="E21" s="89">
        <v>936743859</v>
      </c>
      <c r="F21" s="89">
        <v>83740259688</v>
      </c>
      <c r="G21" s="90">
        <v>8880735344</v>
      </c>
      <c r="H21" s="11"/>
      <c r="I21" s="11"/>
      <c r="J21" s="11"/>
      <c r="T21" s="8"/>
      <c r="U21" s="8"/>
      <c r="V21" s="8"/>
      <c r="W21" s="8"/>
    </row>
    <row r="22" spans="1:23" ht="22.5" x14ac:dyDescent="0.3">
      <c r="B22" s="8"/>
      <c r="D22" s="11"/>
      <c r="E22" s="11"/>
      <c r="F22" s="11"/>
      <c r="G22" s="11"/>
      <c r="H22" s="11"/>
      <c r="I22" s="11"/>
      <c r="J22" s="11"/>
      <c r="T22" s="8"/>
      <c r="U22" s="8"/>
      <c r="V22" s="8"/>
      <c r="W22" s="8"/>
    </row>
    <row r="23" spans="1:23" ht="22.5" x14ac:dyDescent="0.3">
      <c r="B23" s="8"/>
      <c r="D23" s="11"/>
      <c r="E23" s="11"/>
      <c r="F23" s="11"/>
      <c r="G23" s="11"/>
      <c r="H23" s="11"/>
      <c r="I23" s="11"/>
      <c r="J23" s="11"/>
      <c r="T23" s="8"/>
      <c r="U23" s="8"/>
      <c r="V23" s="8"/>
      <c r="W23" s="8"/>
    </row>
    <row r="24" spans="1:23" ht="22.5" x14ac:dyDescent="0.3">
      <c r="B24" s="8"/>
      <c r="D24" s="11"/>
      <c r="E24" s="11"/>
      <c r="F24" s="11"/>
      <c r="G24" s="11"/>
      <c r="H24" s="11"/>
      <c r="I24" s="11"/>
      <c r="J24" s="11"/>
      <c r="T24" s="8"/>
      <c r="U24" s="8"/>
      <c r="V24" s="8"/>
      <c r="W24" s="8"/>
    </row>
    <row r="25" spans="1:23" ht="23.25" thickBot="1" x14ac:dyDescent="0.3">
      <c r="B25" s="8"/>
      <c r="D25" s="1964" t="s">
        <v>8</v>
      </c>
      <c r="E25" s="1963"/>
      <c r="F25" s="1963"/>
      <c r="G25" s="1963"/>
      <c r="H25" s="1963"/>
      <c r="I25" s="1963"/>
      <c r="J25" s="1963"/>
      <c r="T25" s="8"/>
      <c r="U25" s="8"/>
      <c r="V25" s="8"/>
      <c r="W25" s="8"/>
    </row>
    <row r="26" spans="1:23" ht="22.5" x14ac:dyDescent="0.25">
      <c r="A26" s="5" t="s">
        <v>254</v>
      </c>
      <c r="B26" s="52"/>
      <c r="C26" s="6"/>
      <c r="D26" s="14" t="s">
        <v>1</v>
      </c>
      <c r="E26" s="15" t="s">
        <v>9</v>
      </c>
      <c r="F26" s="15" t="s">
        <v>10</v>
      </c>
      <c r="G26" s="15" t="s">
        <v>11</v>
      </c>
      <c r="H26" s="15" t="s">
        <v>12</v>
      </c>
      <c r="I26" s="15" t="s">
        <v>13</v>
      </c>
      <c r="J26" s="16" t="s">
        <v>14</v>
      </c>
      <c r="T26" s="8"/>
      <c r="U26" s="8"/>
      <c r="V26" s="8"/>
      <c r="W26" s="8"/>
    </row>
    <row r="27" spans="1:23" ht="22.5" x14ac:dyDescent="0.25">
      <c r="A27" s="5" t="s">
        <v>255</v>
      </c>
      <c r="B27" s="52"/>
      <c r="C27" s="5"/>
      <c r="D27" s="91" t="s">
        <v>77</v>
      </c>
      <c r="E27" s="25">
        <v>1.0048999999999999</v>
      </c>
      <c r="F27" s="25">
        <v>0.99509999999999998</v>
      </c>
      <c r="G27" s="25">
        <v>1</v>
      </c>
      <c r="H27" s="25">
        <v>1.1020000000000001</v>
      </c>
      <c r="I27" s="25">
        <v>1.0911</v>
      </c>
      <c r="J27" s="92">
        <v>1.0965</v>
      </c>
      <c r="T27" s="8"/>
      <c r="U27" s="8"/>
      <c r="V27" s="8"/>
      <c r="W27" s="8"/>
    </row>
    <row r="28" spans="1:23" ht="22.5" x14ac:dyDescent="0.25">
      <c r="B28" s="8"/>
      <c r="C28" s="5"/>
      <c r="D28" s="85" t="s">
        <v>78</v>
      </c>
      <c r="E28" s="25">
        <v>0.98980000000000001</v>
      </c>
      <c r="F28" s="25">
        <v>0.98950000000000005</v>
      </c>
      <c r="G28" s="25">
        <v>0.98960000000000004</v>
      </c>
      <c r="H28" s="25">
        <v>1.0863</v>
      </c>
      <c r="I28" s="25">
        <v>1.0860000000000001</v>
      </c>
      <c r="J28" s="92">
        <v>1.0862000000000001</v>
      </c>
      <c r="T28" s="8"/>
      <c r="U28" s="8"/>
      <c r="V28" s="8"/>
      <c r="W28" s="8"/>
    </row>
    <row r="29" spans="1:23" ht="22.5" x14ac:dyDescent="0.25">
      <c r="A29" t="s">
        <v>256</v>
      </c>
      <c r="C29" s="5"/>
      <c r="D29" s="85" t="s">
        <v>79</v>
      </c>
      <c r="E29" s="25">
        <v>1.0467</v>
      </c>
      <c r="F29" s="25">
        <v>1.0357000000000001</v>
      </c>
      <c r="G29" s="25">
        <v>1.0411999999999999</v>
      </c>
      <c r="H29" s="25">
        <v>1.0934999999999999</v>
      </c>
      <c r="I29" s="25">
        <v>1.0819000000000001</v>
      </c>
      <c r="J29" s="92">
        <v>1.0876999999999999</v>
      </c>
    </row>
    <row r="30" spans="1:23" ht="22.5" x14ac:dyDescent="0.25">
      <c r="A30" t="s">
        <v>257</v>
      </c>
      <c r="C30" s="5"/>
      <c r="D30" s="85" t="s">
        <v>80</v>
      </c>
      <c r="E30" s="25">
        <v>0.94010000000000005</v>
      </c>
      <c r="F30" s="25">
        <v>0.89659999999999995</v>
      </c>
      <c r="G30" s="25">
        <v>0.91839999999999999</v>
      </c>
      <c r="H30" s="25">
        <v>1.1596</v>
      </c>
      <c r="I30" s="25">
        <v>1.1061000000000001</v>
      </c>
      <c r="J30" s="92">
        <v>1.1328</v>
      </c>
    </row>
    <row r="31" spans="1:23" ht="22.5" x14ac:dyDescent="0.25">
      <c r="A31" t="s">
        <v>258</v>
      </c>
      <c r="C31" s="5"/>
      <c r="D31" s="85" t="s">
        <v>81</v>
      </c>
      <c r="E31" s="25">
        <v>0.9849</v>
      </c>
      <c r="F31" s="25">
        <v>0.98429999999999995</v>
      </c>
      <c r="G31" s="25">
        <v>0.98460000000000003</v>
      </c>
      <c r="H31" s="25">
        <v>1.1292</v>
      </c>
      <c r="I31" s="25">
        <v>1.1285000000000001</v>
      </c>
      <c r="J31" s="92">
        <v>1.1289</v>
      </c>
    </row>
    <row r="32" spans="1:23" ht="22.5" x14ac:dyDescent="0.25">
      <c r="C32" s="5"/>
      <c r="D32" s="85" t="s">
        <v>82</v>
      </c>
      <c r="E32" s="25">
        <v>0.99680000000000002</v>
      </c>
      <c r="F32" s="25">
        <v>0.99399999999999999</v>
      </c>
      <c r="G32" s="25">
        <v>0.99539999999999995</v>
      </c>
      <c r="H32" s="25">
        <v>1.1242000000000001</v>
      </c>
      <c r="I32" s="25">
        <v>1.121</v>
      </c>
      <c r="J32" s="92">
        <v>1.1226</v>
      </c>
    </row>
    <row r="33" spans="1:10" ht="22.5" x14ac:dyDescent="0.25">
      <c r="C33" s="5"/>
      <c r="D33" s="85" t="s">
        <v>83</v>
      </c>
      <c r="E33" s="25">
        <v>0.9849</v>
      </c>
      <c r="F33" s="25">
        <v>0.98380000000000001</v>
      </c>
      <c r="G33" s="25">
        <v>0.98429999999999995</v>
      </c>
      <c r="H33" s="25">
        <v>1.1101000000000001</v>
      </c>
      <c r="I33" s="25">
        <v>1.1088</v>
      </c>
      <c r="J33" s="92">
        <v>1.1094999999999999</v>
      </c>
    </row>
    <row r="34" spans="1:10" ht="22.5" x14ac:dyDescent="0.25">
      <c r="A34" s="5"/>
      <c r="B34" s="5"/>
      <c r="C34" s="5"/>
      <c r="D34" s="85" t="s">
        <v>84</v>
      </c>
      <c r="E34" s="25">
        <v>0.96330000000000005</v>
      </c>
      <c r="F34" s="25">
        <v>0.95889999999999997</v>
      </c>
      <c r="G34" s="25">
        <v>0.96109999999999995</v>
      </c>
      <c r="H34" s="25">
        <v>1.1012</v>
      </c>
      <c r="I34" s="25">
        <v>1.0962000000000001</v>
      </c>
      <c r="J34" s="92">
        <v>1.0987</v>
      </c>
    </row>
    <row r="35" spans="1:10" ht="22.5" x14ac:dyDescent="0.25">
      <c r="C35" s="5"/>
      <c r="D35" s="85" t="s">
        <v>85</v>
      </c>
      <c r="E35" s="25">
        <v>0.90429999999999999</v>
      </c>
      <c r="F35" s="25">
        <v>0.90139999999999998</v>
      </c>
      <c r="G35" s="25">
        <v>0.90280000000000005</v>
      </c>
      <c r="H35" s="25">
        <v>1.0984</v>
      </c>
      <c r="I35" s="25">
        <v>1.0948</v>
      </c>
      <c r="J35" s="92">
        <v>1.0966</v>
      </c>
    </row>
    <row r="36" spans="1:10" ht="22.5" x14ac:dyDescent="0.25">
      <c r="C36" s="5"/>
      <c r="D36" s="85" t="s">
        <v>86</v>
      </c>
      <c r="E36" s="25">
        <v>0.97389999999999999</v>
      </c>
      <c r="F36" s="25">
        <v>0.96589999999999998</v>
      </c>
      <c r="G36" s="25">
        <v>0.96989999999999998</v>
      </c>
      <c r="H36" s="25">
        <v>1.0659000000000001</v>
      </c>
      <c r="I36" s="25">
        <v>1.0571999999999999</v>
      </c>
      <c r="J36" s="92">
        <v>1.0615000000000001</v>
      </c>
    </row>
    <row r="37" spans="1:10" ht="22.5" x14ac:dyDescent="0.25">
      <c r="D37" s="85" t="s">
        <v>87</v>
      </c>
      <c r="E37" s="25">
        <v>0.96750000000000003</v>
      </c>
      <c r="F37" s="25">
        <v>0.93759999999999999</v>
      </c>
      <c r="G37" s="25">
        <v>0.95250000000000001</v>
      </c>
      <c r="H37" s="25">
        <v>1.0734999999999999</v>
      </c>
      <c r="I37" s="25">
        <v>1.0402</v>
      </c>
      <c r="J37" s="92">
        <v>1.0568</v>
      </c>
    </row>
    <row r="38" spans="1:10" ht="22.5" x14ac:dyDescent="0.25">
      <c r="D38" s="85" t="s">
        <v>15</v>
      </c>
      <c r="E38" s="25">
        <v>0.9526</v>
      </c>
      <c r="F38" s="25">
        <v>0.94850000000000001</v>
      </c>
      <c r="G38" s="25">
        <v>0.9506</v>
      </c>
      <c r="H38" s="25">
        <v>1.0636000000000001</v>
      </c>
      <c r="I38" s="25">
        <v>1.0589</v>
      </c>
      <c r="J38" s="92">
        <v>1.0611999999999999</v>
      </c>
    </row>
    <row r="39" spans="1:10" ht="22.5" x14ac:dyDescent="0.25">
      <c r="D39" s="85" t="s">
        <v>16</v>
      </c>
      <c r="E39" s="25">
        <v>0.96460000000000001</v>
      </c>
      <c r="F39" s="25">
        <v>0.96260000000000001</v>
      </c>
      <c r="G39" s="25">
        <v>0.96360000000000001</v>
      </c>
      <c r="H39" s="25">
        <v>1.0692999999999999</v>
      </c>
      <c r="I39" s="25">
        <v>1.0670999999999999</v>
      </c>
      <c r="J39" s="92">
        <v>1.0682</v>
      </c>
    </row>
    <row r="40" spans="1:10" ht="23.25" thickBot="1" x14ac:dyDescent="0.3">
      <c r="D40" s="93" t="s">
        <v>17</v>
      </c>
      <c r="E40" s="30">
        <v>0.98719999999999997</v>
      </c>
      <c r="F40" s="30">
        <v>0.98329999999999995</v>
      </c>
      <c r="G40" s="30">
        <v>0.98519999999999996</v>
      </c>
      <c r="H40" s="30">
        <v>1.0476000000000001</v>
      </c>
      <c r="I40" s="30">
        <v>1.0435000000000001</v>
      </c>
      <c r="J40" s="94">
        <v>1.0455000000000001</v>
      </c>
    </row>
    <row r="41" spans="1:10" ht="22.5" x14ac:dyDescent="0.3">
      <c r="D41" s="11"/>
      <c r="E41" s="11"/>
      <c r="F41" s="11"/>
      <c r="G41" s="11"/>
      <c r="H41" s="11"/>
      <c r="I41" s="11"/>
      <c r="J41" s="11"/>
    </row>
    <row r="42" spans="1:10" ht="22.5" x14ac:dyDescent="0.3">
      <c r="D42" s="11"/>
      <c r="E42" s="11"/>
      <c r="F42" s="11"/>
      <c r="G42" s="11"/>
      <c r="H42" s="11"/>
      <c r="I42" s="11"/>
      <c r="J42" s="11"/>
    </row>
    <row r="43" spans="1:10" ht="22.5" x14ac:dyDescent="0.3">
      <c r="D43" s="11"/>
      <c r="E43" s="11"/>
      <c r="F43" s="11"/>
      <c r="G43" s="11"/>
      <c r="H43" s="11"/>
      <c r="I43" s="11"/>
      <c r="J43" s="11"/>
    </row>
    <row r="44" spans="1:10" ht="22.5" x14ac:dyDescent="0.3">
      <c r="D44" s="95"/>
      <c r="E44" s="11"/>
      <c r="F44" s="11"/>
      <c r="G44" s="11"/>
      <c r="H44" s="11"/>
      <c r="I44" s="11"/>
      <c r="J44" s="11"/>
    </row>
    <row r="45" spans="1:10" ht="23.25" thickBot="1" x14ac:dyDescent="0.3">
      <c r="D45" s="1965" t="s">
        <v>18</v>
      </c>
      <c r="E45" s="1965"/>
      <c r="F45" s="1965"/>
      <c r="G45" s="1965"/>
      <c r="H45" s="1965"/>
      <c r="I45" s="1965"/>
      <c r="J45" s="1965"/>
    </row>
    <row r="46" spans="1:10" ht="22.5" x14ac:dyDescent="0.25">
      <c r="D46" s="96" t="s">
        <v>1</v>
      </c>
      <c r="E46" s="97" t="s">
        <v>26</v>
      </c>
      <c r="F46" s="97" t="s">
        <v>27</v>
      </c>
      <c r="G46" s="97" t="s">
        <v>28</v>
      </c>
      <c r="H46" s="97" t="s">
        <v>29</v>
      </c>
      <c r="I46" s="97" t="s">
        <v>30</v>
      </c>
      <c r="J46" s="98" t="s">
        <v>31</v>
      </c>
    </row>
    <row r="47" spans="1:10" ht="22.5" x14ac:dyDescent="0.25">
      <c r="D47" s="99" t="s">
        <v>77</v>
      </c>
      <c r="E47" s="100">
        <v>4.9500000000000004E-3</v>
      </c>
      <c r="F47" s="100">
        <v>-4.9500000000000004E-3</v>
      </c>
      <c r="G47" s="100">
        <v>0</v>
      </c>
      <c r="H47" s="100">
        <v>0.10199999999999999</v>
      </c>
      <c r="I47" s="100">
        <v>9.1120000000000007E-2</v>
      </c>
      <c r="J47" s="101">
        <v>9.6540000000000001E-2</v>
      </c>
    </row>
    <row r="48" spans="1:10" ht="22.5" x14ac:dyDescent="0.25">
      <c r="D48" s="99" t="s">
        <v>78</v>
      </c>
      <c r="E48" s="100">
        <v>-1.022E-2</v>
      </c>
      <c r="F48" s="100">
        <v>-1.048E-2</v>
      </c>
      <c r="G48" s="100">
        <v>-1.035E-2</v>
      </c>
      <c r="H48" s="100">
        <v>8.6330000000000004E-2</v>
      </c>
      <c r="I48" s="100">
        <v>8.6050000000000001E-2</v>
      </c>
      <c r="J48" s="101">
        <v>8.6190000000000003E-2</v>
      </c>
    </row>
    <row r="49" spans="4:10" ht="22.5" x14ac:dyDescent="0.25">
      <c r="D49" s="99" t="s">
        <v>79</v>
      </c>
      <c r="E49" s="100">
        <v>4.6730000000000001E-2</v>
      </c>
      <c r="F49" s="100">
        <v>3.5659999999999997E-2</v>
      </c>
      <c r="G49" s="100">
        <v>4.1200000000000001E-2</v>
      </c>
      <c r="H49" s="100">
        <v>9.3460000000000001E-2</v>
      </c>
      <c r="I49" s="100">
        <v>8.1900000000000001E-2</v>
      </c>
      <c r="J49" s="101">
        <v>8.7679999999999994E-2</v>
      </c>
    </row>
    <row r="50" spans="4:10" ht="22.5" x14ac:dyDescent="0.25">
      <c r="D50" s="99" t="s">
        <v>80</v>
      </c>
      <c r="E50" s="100">
        <v>-5.994E-2</v>
      </c>
      <c r="F50" s="100">
        <v>-0.10340000000000001</v>
      </c>
      <c r="G50" s="100">
        <v>-8.1640000000000004E-2</v>
      </c>
      <c r="H50" s="100">
        <v>0.15959999999999999</v>
      </c>
      <c r="I50" s="100">
        <v>0.1061</v>
      </c>
      <c r="J50" s="101">
        <v>0.1328</v>
      </c>
    </row>
    <row r="51" spans="4:10" ht="22.5" x14ac:dyDescent="0.25">
      <c r="D51" s="99" t="s">
        <v>81</v>
      </c>
      <c r="E51" s="100">
        <v>-1.5129999999999999E-2</v>
      </c>
      <c r="F51" s="100">
        <v>-1.5740000000000001E-2</v>
      </c>
      <c r="G51" s="100">
        <v>-1.5429999999999999E-2</v>
      </c>
      <c r="H51" s="100">
        <v>0.12920000000000001</v>
      </c>
      <c r="I51" s="100">
        <v>0.1285</v>
      </c>
      <c r="J51" s="101">
        <v>0.12889999999999999</v>
      </c>
    </row>
    <row r="52" spans="4:10" ht="22.5" x14ac:dyDescent="0.25">
      <c r="D52" s="99" t="s">
        <v>82</v>
      </c>
      <c r="E52" s="100">
        <v>-3.2299999999999998E-3</v>
      </c>
      <c r="F52" s="100">
        <v>-6.0099999999999997E-3</v>
      </c>
      <c r="G52" s="100">
        <v>-4.62E-3</v>
      </c>
      <c r="H52" s="100">
        <v>0.1242</v>
      </c>
      <c r="I52" s="100">
        <v>0.121</v>
      </c>
      <c r="J52" s="101">
        <v>0.1226</v>
      </c>
    </row>
    <row r="53" spans="4:10" ht="22.5" x14ac:dyDescent="0.25">
      <c r="D53" s="99" t="s">
        <v>83</v>
      </c>
      <c r="E53" s="100">
        <v>-1.507E-2</v>
      </c>
      <c r="F53" s="100">
        <v>-1.6240000000000001E-2</v>
      </c>
      <c r="G53" s="100">
        <v>-1.566E-2</v>
      </c>
      <c r="H53" s="100">
        <v>0.1101</v>
      </c>
      <c r="I53" s="100">
        <v>0.10879999999999999</v>
      </c>
      <c r="J53" s="101">
        <v>0.1095</v>
      </c>
    </row>
    <row r="54" spans="4:10" ht="22.5" x14ac:dyDescent="0.25">
      <c r="D54" s="99" t="s">
        <v>84</v>
      </c>
      <c r="E54" s="100">
        <v>-3.6679999999999997E-2</v>
      </c>
      <c r="F54" s="100">
        <v>-4.1070000000000002E-2</v>
      </c>
      <c r="G54" s="100">
        <v>-3.8879999999999998E-2</v>
      </c>
      <c r="H54" s="100">
        <v>0.1012</v>
      </c>
      <c r="I54" s="100">
        <v>9.6199999999999994E-2</v>
      </c>
      <c r="J54" s="101">
        <v>9.8710000000000006E-2</v>
      </c>
    </row>
    <row r="55" spans="4:10" ht="22.5" x14ac:dyDescent="0.25">
      <c r="D55" s="99" t="s">
        <v>85</v>
      </c>
      <c r="E55" s="100">
        <v>-9.5729999999999996E-2</v>
      </c>
      <c r="F55" s="100">
        <v>-9.8650000000000002E-2</v>
      </c>
      <c r="G55" s="100">
        <v>-9.7189999999999999E-2</v>
      </c>
      <c r="H55" s="100">
        <v>9.8390000000000005E-2</v>
      </c>
      <c r="I55" s="100">
        <v>9.4839999999999994E-2</v>
      </c>
      <c r="J55" s="101">
        <v>9.6610000000000001E-2</v>
      </c>
    </row>
    <row r="56" spans="4:10" ht="22.5" x14ac:dyDescent="0.25">
      <c r="D56" s="99" t="s">
        <v>86</v>
      </c>
      <c r="E56" s="100">
        <v>-2.614E-2</v>
      </c>
      <c r="F56" s="100">
        <v>-3.4110000000000001E-2</v>
      </c>
      <c r="G56" s="100">
        <v>-3.0120000000000001E-2</v>
      </c>
      <c r="H56" s="100">
        <v>6.5909999999999996E-2</v>
      </c>
      <c r="I56" s="100">
        <v>5.7189999999999998E-2</v>
      </c>
      <c r="J56" s="101">
        <v>6.1550000000000001E-2</v>
      </c>
    </row>
    <row r="57" spans="4:10" ht="22.5" x14ac:dyDescent="0.25">
      <c r="D57" s="99" t="s">
        <v>87</v>
      </c>
      <c r="E57" s="100">
        <v>-3.2480000000000002E-2</v>
      </c>
      <c r="F57" s="100">
        <v>-6.2420000000000003E-2</v>
      </c>
      <c r="G57" s="100">
        <v>-4.7449999999999999E-2</v>
      </c>
      <c r="H57" s="100">
        <v>7.3459999999999998E-2</v>
      </c>
      <c r="I57" s="100">
        <v>4.0230000000000002E-2</v>
      </c>
      <c r="J57" s="101">
        <v>5.6840000000000002E-2</v>
      </c>
    </row>
    <row r="58" spans="4:10" ht="22.5" x14ac:dyDescent="0.25">
      <c r="D58" s="99" t="s">
        <v>15</v>
      </c>
      <c r="E58" s="100">
        <v>-4.7379999999999999E-2</v>
      </c>
      <c r="F58" s="100">
        <v>-5.151E-2</v>
      </c>
      <c r="G58" s="100">
        <v>-4.9450000000000001E-2</v>
      </c>
      <c r="H58" s="100">
        <v>6.3549999999999995E-2</v>
      </c>
      <c r="I58" s="100">
        <v>5.8939999999999999E-2</v>
      </c>
      <c r="J58" s="101">
        <v>6.1240000000000003E-2</v>
      </c>
    </row>
    <row r="59" spans="4:10" ht="22.5" x14ac:dyDescent="0.25">
      <c r="D59" s="99" t="s">
        <v>16</v>
      </c>
      <c r="E59" s="100">
        <v>-3.542E-2</v>
      </c>
      <c r="F59" s="100">
        <v>-3.7420000000000002E-2</v>
      </c>
      <c r="G59" s="100">
        <v>-3.6420000000000001E-2</v>
      </c>
      <c r="H59" s="100">
        <v>6.9279999999999994E-2</v>
      </c>
      <c r="I59" s="100">
        <v>6.7070000000000005E-2</v>
      </c>
      <c r="J59" s="101">
        <v>6.8180000000000004E-2</v>
      </c>
    </row>
    <row r="60" spans="4:10" ht="23.25" thickBot="1" x14ac:dyDescent="0.3">
      <c r="D60" s="102" t="s">
        <v>17</v>
      </c>
      <c r="E60" s="103">
        <v>-1.285E-2</v>
      </c>
      <c r="F60" s="103">
        <v>-1.6729999999999998E-2</v>
      </c>
      <c r="G60" s="103">
        <v>-1.4789999999999999E-2</v>
      </c>
      <c r="H60" s="103">
        <v>4.761E-2</v>
      </c>
      <c r="I60" s="103">
        <v>4.3479999999999998E-2</v>
      </c>
      <c r="J60" s="104">
        <v>4.555E-2</v>
      </c>
    </row>
    <row r="61" spans="4:10" ht="22.5" x14ac:dyDescent="0.3">
      <c r="D61" s="11"/>
      <c r="E61" s="11"/>
      <c r="F61" s="11"/>
      <c r="G61" s="11"/>
      <c r="H61" s="11"/>
      <c r="I61" s="11"/>
      <c r="J61" s="11"/>
    </row>
    <row r="62" spans="4:10" ht="22.5" x14ac:dyDescent="0.3">
      <c r="D62" s="11"/>
      <c r="E62" s="11"/>
      <c r="F62" s="11"/>
      <c r="G62" s="11"/>
      <c r="H62" s="11"/>
      <c r="I62" s="11"/>
      <c r="J62" s="11"/>
    </row>
    <row r="63" spans="4:10" ht="22.5" x14ac:dyDescent="0.3">
      <c r="D63" s="11"/>
      <c r="E63" s="11"/>
      <c r="F63" s="11"/>
      <c r="G63" s="11"/>
      <c r="H63" s="11"/>
      <c r="I63" s="11"/>
      <c r="J63" s="11"/>
    </row>
    <row r="64" spans="4:10" ht="22.5" x14ac:dyDescent="0.3">
      <c r="D64" s="95"/>
      <c r="E64" s="11"/>
      <c r="F64" s="11"/>
      <c r="G64" s="11"/>
      <c r="H64" s="11"/>
      <c r="I64" s="11"/>
      <c r="J64" s="11"/>
    </row>
    <row r="65" spans="4:10" ht="23.25" customHeight="1" thickBot="1" x14ac:dyDescent="0.3">
      <c r="D65" s="1963" t="s">
        <v>25</v>
      </c>
      <c r="E65" s="1966"/>
      <c r="F65" s="1966"/>
      <c r="G65" s="1966"/>
      <c r="H65" s="1966"/>
      <c r="I65" s="1966"/>
      <c r="J65" s="1966"/>
    </row>
    <row r="66" spans="4:10" ht="22.5" x14ac:dyDescent="0.25">
      <c r="D66" s="14" t="s">
        <v>1</v>
      </c>
      <c r="E66" s="15" t="s">
        <v>26</v>
      </c>
      <c r="F66" s="15" t="s">
        <v>27</v>
      </c>
      <c r="G66" s="15" t="s">
        <v>28</v>
      </c>
      <c r="H66" s="15" t="s">
        <v>29</v>
      </c>
      <c r="I66" s="15" t="s">
        <v>30</v>
      </c>
      <c r="J66" s="16" t="s">
        <v>31</v>
      </c>
    </row>
    <row r="67" spans="4:10" ht="22.5" x14ac:dyDescent="0.25">
      <c r="D67" s="105" t="s">
        <v>67</v>
      </c>
      <c r="E67" s="25">
        <v>1.4262999999999999</v>
      </c>
      <c r="F67" s="25">
        <v>1.6092</v>
      </c>
      <c r="G67" s="25">
        <v>1.5143</v>
      </c>
      <c r="H67" s="25">
        <v>0.31240000000000001</v>
      </c>
      <c r="I67" s="25">
        <v>0.35249999999999998</v>
      </c>
      <c r="J67" s="92">
        <v>0.33169999999999999</v>
      </c>
    </row>
    <row r="68" spans="4:10" ht="22.5" x14ac:dyDescent="0.25">
      <c r="D68" s="105" t="s">
        <v>68</v>
      </c>
      <c r="E68" s="25">
        <v>1.4117999999999999</v>
      </c>
      <c r="F68" s="25">
        <v>1.5923</v>
      </c>
      <c r="G68" s="25">
        <v>1.4986999999999999</v>
      </c>
      <c r="H68" s="25">
        <v>0.33939999999999998</v>
      </c>
      <c r="I68" s="25">
        <v>0.38279999999999997</v>
      </c>
      <c r="J68" s="92">
        <v>0.36030000000000001</v>
      </c>
    </row>
    <row r="69" spans="4:10" ht="22.5" x14ac:dyDescent="0.25">
      <c r="D69" s="105" t="s">
        <v>69</v>
      </c>
      <c r="E69" s="25">
        <v>1.4777</v>
      </c>
      <c r="F69" s="25">
        <v>1.6491</v>
      </c>
      <c r="G69" s="25">
        <v>1.5604</v>
      </c>
      <c r="H69" s="25">
        <v>0.37109999999999999</v>
      </c>
      <c r="I69" s="25">
        <v>0.41420000000000001</v>
      </c>
      <c r="J69" s="92">
        <v>0.39190000000000003</v>
      </c>
    </row>
    <row r="70" spans="4:10" ht="22.5" x14ac:dyDescent="0.25">
      <c r="D70" s="105" t="s">
        <v>70</v>
      </c>
      <c r="E70" s="25">
        <v>1.3892</v>
      </c>
      <c r="F70" s="25">
        <v>1.4786999999999999</v>
      </c>
      <c r="G70" s="25">
        <v>1.4330000000000001</v>
      </c>
      <c r="H70" s="25">
        <v>0.4304</v>
      </c>
      <c r="I70" s="25">
        <v>0.45810000000000001</v>
      </c>
      <c r="J70" s="92">
        <v>0.44390000000000002</v>
      </c>
    </row>
    <row r="71" spans="4:10" ht="22.5" x14ac:dyDescent="0.25">
      <c r="D71" s="105" t="s">
        <v>71</v>
      </c>
      <c r="E71" s="25">
        <v>1.3681000000000001</v>
      </c>
      <c r="F71" s="25">
        <v>1.4554</v>
      </c>
      <c r="G71" s="25">
        <v>1.4109</v>
      </c>
      <c r="H71" s="25">
        <v>0.48599999999999999</v>
      </c>
      <c r="I71" s="25">
        <v>0.51700000000000002</v>
      </c>
      <c r="J71" s="92">
        <v>0.50119999999999998</v>
      </c>
    </row>
    <row r="72" spans="4:10" ht="22.5" x14ac:dyDescent="0.25">
      <c r="D72" s="105" t="s">
        <v>72</v>
      </c>
      <c r="E72" s="25">
        <v>1.3636999999999999</v>
      </c>
      <c r="F72" s="25">
        <v>1.4466000000000001</v>
      </c>
      <c r="G72" s="25">
        <v>1.4044000000000001</v>
      </c>
      <c r="H72" s="25">
        <v>0.54630000000000001</v>
      </c>
      <c r="I72" s="25">
        <v>0.57950000000000002</v>
      </c>
      <c r="J72" s="92">
        <v>0.56259999999999999</v>
      </c>
    </row>
    <row r="73" spans="4:10" ht="22.5" x14ac:dyDescent="0.25">
      <c r="D73" s="105" t="s">
        <v>73</v>
      </c>
      <c r="E73" s="25">
        <v>1.3431999999999999</v>
      </c>
      <c r="F73" s="25">
        <v>1.4231</v>
      </c>
      <c r="G73" s="25">
        <v>1.3824000000000001</v>
      </c>
      <c r="H73" s="25">
        <v>0.60650000000000004</v>
      </c>
      <c r="I73" s="25">
        <v>0.64259999999999995</v>
      </c>
      <c r="J73" s="92">
        <v>0.62419999999999998</v>
      </c>
    </row>
    <row r="74" spans="4:10" ht="22.5" x14ac:dyDescent="0.25">
      <c r="D74" s="105" t="s">
        <v>74</v>
      </c>
      <c r="E74" s="25">
        <v>1.2939000000000001</v>
      </c>
      <c r="F74" s="25">
        <v>1.3647</v>
      </c>
      <c r="G74" s="25">
        <v>1.3286</v>
      </c>
      <c r="H74" s="25">
        <v>0.66790000000000005</v>
      </c>
      <c r="I74" s="25">
        <v>0.70440000000000003</v>
      </c>
      <c r="J74" s="92">
        <v>0.68579999999999997</v>
      </c>
    </row>
    <row r="75" spans="4:10" ht="22.5" x14ac:dyDescent="0.25">
      <c r="D75" s="105" t="s">
        <v>75</v>
      </c>
      <c r="E75" s="25">
        <v>1.17</v>
      </c>
      <c r="F75" s="25">
        <v>1.2301</v>
      </c>
      <c r="G75" s="25">
        <v>1.1995</v>
      </c>
      <c r="H75" s="25">
        <v>0.73360000000000003</v>
      </c>
      <c r="I75" s="25">
        <v>0.7712</v>
      </c>
      <c r="J75" s="92">
        <v>0.75209999999999999</v>
      </c>
    </row>
    <row r="76" spans="4:10" ht="22.5" x14ac:dyDescent="0.25">
      <c r="D76" s="105" t="s">
        <v>76</v>
      </c>
      <c r="E76" s="25">
        <v>1.1395</v>
      </c>
      <c r="F76" s="25">
        <v>1.1880999999999999</v>
      </c>
      <c r="G76" s="25">
        <v>1.1634</v>
      </c>
      <c r="H76" s="25">
        <v>0.78190000000000004</v>
      </c>
      <c r="I76" s="25">
        <v>0.81530000000000002</v>
      </c>
      <c r="J76" s="92">
        <v>0.79830000000000001</v>
      </c>
    </row>
    <row r="77" spans="4:10" ht="22.5" x14ac:dyDescent="0.25">
      <c r="D77" s="105" t="s">
        <v>4</v>
      </c>
      <c r="E77" s="25">
        <v>1.1025</v>
      </c>
      <c r="F77" s="25">
        <v>1.1138999999999999</v>
      </c>
      <c r="G77" s="25">
        <v>1.1082000000000001</v>
      </c>
      <c r="H77" s="25">
        <v>0.83940000000000003</v>
      </c>
      <c r="I77" s="25">
        <v>0.84809999999999997</v>
      </c>
      <c r="J77" s="92">
        <v>0.84370000000000001</v>
      </c>
    </row>
    <row r="78" spans="4:10" ht="22.5" x14ac:dyDescent="0.25">
      <c r="D78" s="105" t="s">
        <v>5</v>
      </c>
      <c r="E78" s="25">
        <v>1.0502</v>
      </c>
      <c r="F78" s="25">
        <v>1.0566</v>
      </c>
      <c r="G78" s="25">
        <v>1.0533999999999999</v>
      </c>
      <c r="H78" s="25">
        <v>0.89270000000000005</v>
      </c>
      <c r="I78" s="25">
        <v>0.89810000000000001</v>
      </c>
      <c r="J78" s="92">
        <v>0.89539999999999997</v>
      </c>
    </row>
    <row r="79" spans="4:10" ht="22.5" x14ac:dyDescent="0.25">
      <c r="D79" s="105" t="s">
        <v>6</v>
      </c>
      <c r="E79" s="25">
        <v>1.0129999999999999</v>
      </c>
      <c r="F79" s="25">
        <v>1.0169999999999999</v>
      </c>
      <c r="G79" s="25">
        <v>1.0149999999999999</v>
      </c>
      <c r="H79" s="25">
        <v>0.9546</v>
      </c>
      <c r="I79" s="25">
        <v>0.95830000000000004</v>
      </c>
      <c r="J79" s="92">
        <v>0.95640000000000003</v>
      </c>
    </row>
    <row r="80" spans="4:10" ht="23.25" thickBot="1" x14ac:dyDescent="0.3">
      <c r="D80" s="106" t="s">
        <v>7</v>
      </c>
      <c r="E80" s="30">
        <v>1</v>
      </c>
      <c r="F80" s="30">
        <v>1</v>
      </c>
      <c r="G80" s="30">
        <v>1</v>
      </c>
      <c r="H80" s="30">
        <v>1</v>
      </c>
      <c r="I80" s="30">
        <v>1</v>
      </c>
      <c r="J80" s="94">
        <v>1</v>
      </c>
    </row>
  </sheetData>
  <customSheetViews>
    <customSheetView guid="{9EA95E61-FCA5-4867-AEB4-B8C24058ACDD}" scale="60" showGridLines="0" showRowCol="0" state="hidden" topLeftCell="A31">
      <selection activeCell="E67" sqref="E67"/>
      <pageMargins left="0.7" right="0.7" top="0.75" bottom="0.75" header="0.3" footer="0.3"/>
      <pageSetup paperSize="9" orientation="portrait" r:id="rId1"/>
    </customSheetView>
  </customSheetViews>
  <mergeCells count="4">
    <mergeCell ref="D6:G6"/>
    <mergeCell ref="D25:J25"/>
    <mergeCell ref="D45:J45"/>
    <mergeCell ref="D65:J65"/>
  </mergeCells>
  <pageMargins left="0.7" right="0.7" top="0.75" bottom="0.75" header="0.3" footer="0.3"/>
  <pageSetup paperSize="9" orientation="portrait"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C6:L25"/>
  <sheetViews>
    <sheetView workbookViewId="0">
      <selection activeCell="D10" sqref="D10"/>
    </sheetView>
  </sheetViews>
  <sheetFormatPr defaultRowHeight="15" x14ac:dyDescent="0.25"/>
  <sheetData>
    <row r="6" spans="3:12" ht="15.75" x14ac:dyDescent="0.25">
      <c r="C6" s="190"/>
      <c r="D6" s="191" t="s">
        <v>192</v>
      </c>
      <c r="E6" s="191" t="s">
        <v>193</v>
      </c>
      <c r="F6" s="191" t="s">
        <v>194</v>
      </c>
      <c r="G6" s="191" t="s">
        <v>195</v>
      </c>
      <c r="H6" s="192" t="s">
        <v>196</v>
      </c>
      <c r="I6" s="192" t="s">
        <v>6</v>
      </c>
      <c r="J6" s="193" t="s">
        <v>7</v>
      </c>
    </row>
    <row r="7" spans="3:12" ht="15.75" x14ac:dyDescent="0.25">
      <c r="C7" s="194" t="s">
        <v>214</v>
      </c>
      <c r="D7" s="5"/>
      <c r="E7" s="5"/>
      <c r="F7" s="5"/>
      <c r="G7" s="5"/>
      <c r="H7" s="5"/>
      <c r="I7" s="5"/>
      <c r="J7" s="195"/>
    </row>
    <row r="8" spans="3:12" ht="15.75" x14ac:dyDescent="0.25">
      <c r="C8" s="194" t="s">
        <v>215</v>
      </c>
      <c r="D8" s="196" t="s">
        <v>194</v>
      </c>
      <c r="E8" s="196" t="s">
        <v>195</v>
      </c>
      <c r="F8" s="196" t="s">
        <v>196</v>
      </c>
      <c r="G8" s="196" t="s">
        <v>6</v>
      </c>
      <c r="H8" s="196" t="s">
        <v>7</v>
      </c>
      <c r="I8" s="196">
        <v>0</v>
      </c>
      <c r="J8" s="197">
        <v>0</v>
      </c>
      <c r="L8" s="194" t="s">
        <v>214</v>
      </c>
    </row>
    <row r="9" spans="3:12" ht="15.75" x14ac:dyDescent="0.25">
      <c r="C9" s="194" t="s">
        <v>216</v>
      </c>
      <c r="D9" s="196">
        <v>0</v>
      </c>
      <c r="E9" s="196">
        <v>0</v>
      </c>
      <c r="F9" s="196">
        <v>0</v>
      </c>
      <c r="G9" s="196">
        <v>0</v>
      </c>
      <c r="H9" s="196">
        <v>0</v>
      </c>
      <c r="I9" s="196">
        <v>0</v>
      </c>
      <c r="J9" s="197">
        <v>0</v>
      </c>
      <c r="L9" s="194" t="s">
        <v>221</v>
      </c>
    </row>
    <row r="10" spans="3:12" ht="15.75" x14ac:dyDescent="0.25">
      <c r="C10" s="194" t="s">
        <v>217</v>
      </c>
      <c r="D10" s="196">
        <v>0</v>
      </c>
      <c r="E10" s="196">
        <v>0</v>
      </c>
      <c r="F10" s="196">
        <v>0</v>
      </c>
      <c r="G10" s="196">
        <v>0</v>
      </c>
      <c r="H10" s="196">
        <v>0</v>
      </c>
      <c r="I10" s="196">
        <v>0</v>
      </c>
      <c r="J10" s="197">
        <v>0</v>
      </c>
    </row>
    <row r="11" spans="3:12" ht="15.75" x14ac:dyDescent="0.25">
      <c r="C11" s="194" t="s">
        <v>47</v>
      </c>
      <c r="D11" s="196">
        <v>0</v>
      </c>
      <c r="E11" s="196">
        <v>0</v>
      </c>
      <c r="F11" s="196">
        <v>0</v>
      </c>
      <c r="G11" s="196">
        <v>0</v>
      </c>
      <c r="H11" s="196">
        <v>0</v>
      </c>
      <c r="I11" s="196">
        <v>0</v>
      </c>
      <c r="J11" s="197">
        <v>0</v>
      </c>
    </row>
    <row r="12" spans="3:12" ht="15.75" x14ac:dyDescent="0.25">
      <c r="C12" s="194" t="s">
        <v>136</v>
      </c>
      <c r="D12" s="196">
        <v>8094174.9440000001</v>
      </c>
      <c r="E12" s="196">
        <v>8013483.2259999998</v>
      </c>
      <c r="F12" s="196">
        <v>8250323.8930000002</v>
      </c>
      <c r="G12" s="196">
        <v>8303500.9179999996</v>
      </c>
      <c r="H12" s="196">
        <v>8376264.432</v>
      </c>
      <c r="I12" s="196">
        <v>8621421.1300000008</v>
      </c>
      <c r="J12" s="197">
        <v>8880735.3440000005</v>
      </c>
    </row>
    <row r="13" spans="3:12" ht="15.75" x14ac:dyDescent="0.25">
      <c r="C13" s="194" t="s">
        <v>218</v>
      </c>
      <c r="D13" s="196">
        <v>9569836</v>
      </c>
      <c r="E13" s="196">
        <v>11162141</v>
      </c>
      <c r="F13" s="196">
        <v>11209422</v>
      </c>
      <c r="G13" s="196">
        <v>11697639</v>
      </c>
      <c r="H13" s="196">
        <v>12074672</v>
      </c>
      <c r="I13" s="196">
        <v>12683418</v>
      </c>
      <c r="J13" s="197">
        <v>12962081</v>
      </c>
    </row>
    <row r="14" spans="3:12" ht="15.75" x14ac:dyDescent="0.25">
      <c r="C14" s="194" t="s">
        <v>219</v>
      </c>
      <c r="D14" s="196">
        <v>278000</v>
      </c>
      <c r="E14" s="196">
        <v>262000</v>
      </c>
      <c r="F14" s="196">
        <v>229000</v>
      </c>
      <c r="G14" s="196">
        <v>226000</v>
      </c>
      <c r="H14" s="196">
        <v>242958</v>
      </c>
      <c r="I14" s="196">
        <v>241608</v>
      </c>
      <c r="J14" s="197">
        <v>212245</v>
      </c>
    </row>
    <row r="15" spans="3:12" ht="15.75" x14ac:dyDescent="0.25">
      <c r="C15" s="198" t="s">
        <v>220</v>
      </c>
      <c r="D15" s="199">
        <f>SUM(D8:D14)</f>
        <v>17942010.943999998</v>
      </c>
      <c r="E15" s="199">
        <f t="shared" ref="E15:J15" si="0">SUM(E8:E14)</f>
        <v>19437624.226</v>
      </c>
      <c r="F15" s="199">
        <f t="shared" si="0"/>
        <v>19688745.892999999</v>
      </c>
      <c r="G15" s="199">
        <f t="shared" si="0"/>
        <v>20227139.917999998</v>
      </c>
      <c r="H15" s="199">
        <f t="shared" si="0"/>
        <v>20693894.432</v>
      </c>
      <c r="I15" s="199">
        <f t="shared" si="0"/>
        <v>21546447.130000003</v>
      </c>
      <c r="J15" s="200">
        <f t="shared" si="0"/>
        <v>22055061.344000001</v>
      </c>
    </row>
    <row r="16" spans="3:12" ht="15.75" x14ac:dyDescent="0.25">
      <c r="C16" s="194"/>
      <c r="D16" s="201"/>
      <c r="E16" s="201"/>
      <c r="F16" s="201"/>
      <c r="G16" s="201"/>
      <c r="H16" s="201"/>
      <c r="I16" s="201"/>
      <c r="J16" s="202"/>
    </row>
    <row r="17" spans="3:10" ht="15.75" x14ac:dyDescent="0.25">
      <c r="C17" s="194" t="s">
        <v>221</v>
      </c>
      <c r="D17" s="201"/>
      <c r="E17" s="201"/>
      <c r="F17" s="201"/>
      <c r="G17" s="201"/>
      <c r="H17" s="201"/>
      <c r="I17" s="201"/>
      <c r="J17" s="202"/>
    </row>
    <row r="18" spans="3:10" ht="15.75" x14ac:dyDescent="0.25">
      <c r="C18" s="194" t="str">
        <f>C8</f>
        <v>NHS staff</v>
      </c>
      <c r="D18" s="196">
        <v>38212088</v>
      </c>
      <c r="E18" s="196">
        <v>39516362</v>
      </c>
      <c r="F18" s="196">
        <v>39359457</v>
      </c>
      <c r="G18" s="196">
        <v>39525586</v>
      </c>
      <c r="H18" s="196">
        <v>41200614</v>
      </c>
      <c r="I18" s="196">
        <v>43406879</v>
      </c>
      <c r="J18" s="197">
        <v>43513839</v>
      </c>
    </row>
    <row r="19" spans="3:10" ht="15.75" x14ac:dyDescent="0.25">
      <c r="C19" s="194" t="str">
        <f t="shared" ref="C19:C24" si="1">C9</f>
        <v>Agency staff</v>
      </c>
      <c r="D19" s="196">
        <v>1669078</v>
      </c>
      <c r="E19" s="196">
        <v>1440740</v>
      </c>
      <c r="F19" s="196">
        <v>1089513</v>
      </c>
      <c r="G19" s="196">
        <v>1305572</v>
      </c>
      <c r="H19" s="196">
        <v>1988902</v>
      </c>
      <c r="I19" s="196">
        <v>2373791</v>
      </c>
      <c r="J19" s="197">
        <v>2127889</v>
      </c>
    </row>
    <row r="20" spans="3:10" ht="15.75" x14ac:dyDescent="0.25">
      <c r="C20" s="194" t="str">
        <f t="shared" si="1"/>
        <v>Intermediates (RC)</v>
      </c>
      <c r="D20" s="196">
        <v>8908327</v>
      </c>
      <c r="E20" s="196">
        <v>10650038</v>
      </c>
      <c r="F20" s="196">
        <v>11640863</v>
      </c>
      <c r="G20" s="196">
        <v>13367264.856002657</v>
      </c>
      <c r="H20" s="196">
        <v>14140508.469508</v>
      </c>
      <c r="I20" s="196">
        <v>15427876.675999999</v>
      </c>
      <c r="J20" s="197">
        <v>16077604</v>
      </c>
    </row>
    <row r="21" spans="3:10" ht="15.75" x14ac:dyDescent="0.25">
      <c r="C21" s="194" t="str">
        <f t="shared" si="1"/>
        <v>Capital</v>
      </c>
      <c r="D21" s="196">
        <v>3308036</v>
      </c>
      <c r="E21" s="196">
        <v>3578676</v>
      </c>
      <c r="F21" s="196">
        <v>4190683</v>
      </c>
      <c r="G21" s="196">
        <v>4292293</v>
      </c>
      <c r="H21" s="196">
        <v>3994568</v>
      </c>
      <c r="I21" s="196">
        <v>3958031</v>
      </c>
      <c r="J21" s="197">
        <v>3893374</v>
      </c>
    </row>
    <row r="22" spans="3:10" ht="15.75" x14ac:dyDescent="0.25">
      <c r="C22" s="194" t="str">
        <f t="shared" si="1"/>
        <v>Prescribing</v>
      </c>
      <c r="D22" s="196">
        <f>(5931102032.68118/1000)</f>
        <v>5931102.0326811802</v>
      </c>
      <c r="E22" s="196">
        <f>(6514497379.07487)/1000</f>
        <v>6514497.3790748697</v>
      </c>
      <c r="F22" s="196">
        <f>(6944132558.70718/1000)</f>
        <v>6944132.5587071804</v>
      </c>
      <c r="G22" s="196">
        <f>(7454440181.34482)/1000</f>
        <v>7454440.1813448202</v>
      </c>
      <c r="H22" s="196">
        <f>(7927564293.01533/1000)</f>
        <v>7927564.2930153301</v>
      </c>
      <c r="I22" s="196">
        <f>(8477306912.48771/1000)</f>
        <v>8477306.9124877099</v>
      </c>
      <c r="J22" s="197">
        <f>(8880735344/1000)</f>
        <v>8880735.3440000005</v>
      </c>
    </row>
    <row r="23" spans="3:10" ht="15.75" x14ac:dyDescent="0.25">
      <c r="C23" s="194" t="str">
        <f t="shared" si="1"/>
        <v>Primary Care</v>
      </c>
      <c r="D23" s="196">
        <v>11660794</v>
      </c>
      <c r="E23" s="196">
        <v>12994731</v>
      </c>
      <c r="F23" s="196">
        <v>12536001</v>
      </c>
      <c r="G23" s="196">
        <v>12642512</v>
      </c>
      <c r="H23" s="196">
        <v>12663273</v>
      </c>
      <c r="I23" s="196">
        <v>13075835</v>
      </c>
      <c r="J23" s="197">
        <v>12962081</v>
      </c>
    </row>
    <row r="24" spans="3:10" ht="15.75" x14ac:dyDescent="0.25">
      <c r="C24" s="194" t="str">
        <f t="shared" si="1"/>
        <v>DH Adminstration</v>
      </c>
      <c r="D24" s="196">
        <v>331183</v>
      </c>
      <c r="E24" s="196">
        <v>300986</v>
      </c>
      <c r="F24" s="196">
        <v>253689</v>
      </c>
      <c r="G24" s="196">
        <v>243310</v>
      </c>
      <c r="H24" s="196">
        <v>251748</v>
      </c>
      <c r="I24" s="196">
        <v>248856</v>
      </c>
      <c r="J24" s="197">
        <v>212245</v>
      </c>
    </row>
    <row r="25" spans="3:10" ht="15.75" x14ac:dyDescent="0.25">
      <c r="C25" s="203" t="str">
        <f>C15</f>
        <v xml:space="preserve">Total </v>
      </c>
      <c r="D25" s="204">
        <v>66115954.399054632</v>
      </c>
      <c r="E25" s="204">
        <v>71516433.858518913</v>
      </c>
      <c r="F25" s="204">
        <v>73454631.349942937</v>
      </c>
      <c r="G25" s="204">
        <v>76978472.227530271</v>
      </c>
      <c r="H25" s="204">
        <v>81000168.529355153</v>
      </c>
      <c r="I25" s="204">
        <v>86181233.981020823</v>
      </c>
      <c r="J25" s="205">
        <v>87667767.651999995</v>
      </c>
    </row>
  </sheetData>
  <customSheetViews>
    <customSheetView guid="{9EA95E61-FCA5-4867-AEB4-B8C24058ACDD}" state="hidden">
      <selection activeCell="D10" sqref="D10"/>
      <pageMargins left="0.7" right="0.7" top="0.75" bottom="0.75" header="0.3" footer="0.3"/>
    </customSheetView>
  </customSheetView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4:M66"/>
  <sheetViews>
    <sheetView showGridLines="0" showRowColHeaders="0" zoomScale="60" zoomScaleNormal="60" workbookViewId="0">
      <selection activeCell="D10" sqref="D10"/>
    </sheetView>
  </sheetViews>
  <sheetFormatPr defaultRowHeight="15" x14ac:dyDescent="0.25"/>
  <cols>
    <col min="4" max="4" width="65.42578125" customWidth="1"/>
    <col min="5" max="5" width="20.7109375" customWidth="1"/>
    <col min="6" max="6" width="15.85546875" customWidth="1"/>
    <col min="7" max="7" width="36.140625" customWidth="1"/>
    <col min="8" max="8" width="21" customWidth="1"/>
    <col min="9" max="11" width="15.85546875" customWidth="1"/>
  </cols>
  <sheetData>
    <row r="4" spans="4:11" ht="59.25" x14ac:dyDescent="0.75">
      <c r="D4" s="4" t="s">
        <v>188</v>
      </c>
    </row>
    <row r="5" spans="4:11" ht="59.25" x14ac:dyDescent="0.75">
      <c r="D5" s="4"/>
    </row>
    <row r="6" spans="4:11" ht="22.5" x14ac:dyDescent="0.3">
      <c r="D6" s="12" t="s">
        <v>227</v>
      </c>
    </row>
    <row r="7" spans="4:11" ht="22.5" x14ac:dyDescent="0.3">
      <c r="D7" s="11"/>
      <c r="E7" s="11"/>
    </row>
    <row r="8" spans="4:11" ht="22.5" x14ac:dyDescent="0.3">
      <c r="D8" s="12" t="s">
        <v>228</v>
      </c>
      <c r="E8" s="11"/>
    </row>
    <row r="9" spans="4:11" ht="23.25" x14ac:dyDescent="0.35">
      <c r="D9" s="162"/>
      <c r="E9" s="165"/>
      <c r="F9" s="165"/>
      <c r="G9" s="162"/>
      <c r="H9" s="162"/>
      <c r="I9" s="162"/>
      <c r="J9" s="162"/>
      <c r="K9" s="234"/>
    </row>
    <row r="18" spans="1:3" x14ac:dyDescent="0.25">
      <c r="A18" s="5"/>
      <c r="B18" s="5"/>
      <c r="C18" s="5"/>
    </row>
    <row r="19" spans="1:3" x14ac:dyDescent="0.25">
      <c r="A19" s="5"/>
      <c r="B19" s="5"/>
      <c r="C19" s="5"/>
    </row>
    <row r="20" spans="1:3" x14ac:dyDescent="0.25">
      <c r="A20" s="5"/>
      <c r="B20" s="5"/>
      <c r="C20" s="5"/>
    </row>
    <row r="21" spans="1:3" x14ac:dyDescent="0.25">
      <c r="A21" s="5"/>
      <c r="B21" s="5"/>
      <c r="C21" s="5"/>
    </row>
    <row r="22" spans="1:3" x14ac:dyDescent="0.25">
      <c r="A22" s="5"/>
      <c r="B22" s="5"/>
      <c r="C22" s="5"/>
    </row>
    <row r="23" spans="1:3" x14ac:dyDescent="0.25">
      <c r="C23" s="5"/>
    </row>
    <row r="24" spans="1:3" x14ac:dyDescent="0.25">
      <c r="C24" s="5"/>
    </row>
    <row r="25" spans="1:3" x14ac:dyDescent="0.25">
      <c r="C25" s="5"/>
    </row>
    <row r="26" spans="1:3" x14ac:dyDescent="0.25">
      <c r="C26" s="5"/>
    </row>
    <row r="29" spans="1:3" x14ac:dyDescent="0.25">
      <c r="B29" s="5"/>
    </row>
    <row r="31" spans="1:3" ht="23.25" customHeight="1" x14ac:dyDescent="0.25"/>
    <row r="35" spans="4:13" ht="22.5" x14ac:dyDescent="0.3">
      <c r="D35" s="245"/>
      <c r="E35" s="245"/>
      <c r="F35" s="245"/>
      <c r="G35" s="245"/>
      <c r="H35" s="245"/>
      <c r="I35" s="245"/>
      <c r="J35" s="245"/>
      <c r="K35" s="245"/>
      <c r="L35" s="258"/>
      <c r="M35" s="243"/>
    </row>
    <row r="36" spans="4:13" ht="22.5" x14ac:dyDescent="0.3">
      <c r="D36" s="245"/>
      <c r="E36" s="245"/>
      <c r="F36" s="245"/>
      <c r="G36" s="245"/>
      <c r="H36" s="245"/>
      <c r="I36" s="245"/>
      <c r="J36" s="245"/>
      <c r="K36" s="245"/>
      <c r="L36" s="258"/>
      <c r="M36" s="243"/>
    </row>
    <row r="37" spans="4:13" ht="22.5" x14ac:dyDescent="0.3">
      <c r="D37" s="245"/>
      <c r="E37" s="245"/>
      <c r="F37" s="245"/>
      <c r="G37" s="245"/>
      <c r="H37" s="245"/>
      <c r="I37" s="245"/>
      <c r="J37" s="245"/>
      <c r="K37" s="245"/>
      <c r="L37" s="258"/>
      <c r="M37" s="243"/>
    </row>
    <row r="38" spans="4:13" ht="22.5" x14ac:dyDescent="0.3">
      <c r="D38" s="245"/>
      <c r="E38" s="245"/>
      <c r="F38" s="245"/>
      <c r="G38" s="245"/>
      <c r="H38" s="245"/>
      <c r="I38" s="245"/>
      <c r="J38" s="245"/>
      <c r="K38" s="245"/>
      <c r="L38" s="258"/>
      <c r="M38" s="243"/>
    </row>
    <row r="39" spans="4:13" ht="22.5" x14ac:dyDescent="0.3">
      <c r="D39" s="245"/>
      <c r="E39" s="245"/>
      <c r="F39" s="245"/>
      <c r="G39" s="245"/>
      <c r="H39" s="245"/>
      <c r="I39" s="245"/>
      <c r="J39" s="245"/>
      <c r="K39" s="245"/>
      <c r="L39" s="258"/>
      <c r="M39" s="243"/>
    </row>
    <row r="40" spans="4:13" ht="22.5" x14ac:dyDescent="0.3">
      <c r="D40" s="254"/>
      <c r="E40" s="255"/>
      <c r="F40" s="255"/>
      <c r="G40" s="255"/>
      <c r="H40" s="255"/>
      <c r="I40" s="256"/>
      <c r="J40" s="256"/>
      <c r="K40" s="257"/>
      <c r="L40" s="258"/>
      <c r="M40" s="243"/>
    </row>
    <row r="41" spans="4:13" ht="22.5" x14ac:dyDescent="0.3">
      <c r="D41" s="239"/>
      <c r="E41" s="240"/>
      <c r="F41" s="240"/>
      <c r="G41" s="240"/>
      <c r="H41" s="240"/>
      <c r="I41" s="241"/>
      <c r="J41" s="241"/>
      <c r="K41" s="242"/>
      <c r="L41" s="253"/>
      <c r="M41" s="243"/>
    </row>
    <row r="42" spans="4:13" ht="22.5" x14ac:dyDescent="0.3">
      <c r="D42" s="241"/>
      <c r="E42" s="240"/>
      <c r="F42" s="240"/>
      <c r="G42" s="240"/>
      <c r="H42" s="240"/>
      <c r="I42" s="241"/>
      <c r="J42" s="241"/>
      <c r="K42" s="242"/>
      <c r="L42" s="244"/>
      <c r="M42" s="243"/>
    </row>
    <row r="43" spans="4:13" ht="23.25" x14ac:dyDescent="0.35">
      <c r="D43" s="177"/>
      <c r="E43" s="165"/>
      <c r="F43" s="165"/>
      <c r="G43" s="165"/>
      <c r="H43" s="165"/>
      <c r="I43" s="177"/>
      <c r="J43" s="177"/>
      <c r="K43" s="235"/>
      <c r="L43" s="244"/>
      <c r="M43" s="243"/>
    </row>
    <row r="44" spans="4:13" ht="23.25" x14ac:dyDescent="0.35">
      <c r="D44" s="177"/>
      <c r="E44" s="165"/>
      <c r="F44" s="165"/>
      <c r="G44" s="165"/>
      <c r="H44" s="165"/>
      <c r="I44" s="179"/>
      <c r="J44" s="179"/>
      <c r="K44" s="235"/>
      <c r="L44" s="5"/>
    </row>
    <row r="45" spans="4:13" ht="23.25" x14ac:dyDescent="0.35">
      <c r="D45" s="177"/>
      <c r="E45" s="165"/>
      <c r="F45" s="165"/>
      <c r="G45" s="165"/>
      <c r="H45" s="165"/>
      <c r="I45" s="179"/>
      <c r="J45" s="179"/>
      <c r="K45" s="235"/>
      <c r="L45" s="5"/>
    </row>
    <row r="46" spans="4:13" ht="23.25" x14ac:dyDescent="0.35">
      <c r="D46" s="177"/>
      <c r="E46" s="165"/>
      <c r="F46" s="165"/>
      <c r="G46" s="165"/>
      <c r="H46" s="165"/>
      <c r="I46" s="179"/>
      <c r="J46" s="179"/>
      <c r="K46" s="235"/>
      <c r="L46" s="5"/>
    </row>
    <row r="47" spans="4:13" ht="23.25" x14ac:dyDescent="0.35">
      <c r="D47" s="177"/>
      <c r="E47" s="165"/>
      <c r="F47" s="165"/>
      <c r="G47" s="165"/>
      <c r="H47" s="165"/>
      <c r="I47" s="180"/>
      <c r="J47" s="179"/>
      <c r="K47" s="235"/>
      <c r="L47" s="5"/>
    </row>
    <row r="48" spans="4:13" ht="23.25" x14ac:dyDescent="0.35">
      <c r="D48" s="237"/>
      <c r="E48" s="165"/>
      <c r="F48" s="165"/>
      <c r="G48" s="165"/>
      <c r="H48" s="165"/>
      <c r="I48" s="177"/>
      <c r="J48" s="177"/>
      <c r="K48" s="234"/>
      <c r="L48" s="5"/>
    </row>
    <row r="49" spans="3:12" ht="23.25" x14ac:dyDescent="0.35">
      <c r="D49" s="177"/>
      <c r="E49" s="165"/>
      <c r="F49" s="165"/>
      <c r="G49" s="181"/>
      <c r="H49" s="181"/>
      <c r="I49" s="182"/>
      <c r="J49" s="182"/>
      <c r="K49" s="236"/>
      <c r="L49" s="5"/>
    </row>
    <row r="50" spans="3:12" ht="23.25" x14ac:dyDescent="0.35">
      <c r="C50" s="154"/>
      <c r="D50" s="177"/>
      <c r="E50" s="165"/>
      <c r="F50" s="165"/>
      <c r="G50" s="181"/>
      <c r="H50" s="181"/>
      <c r="I50" s="177"/>
      <c r="J50" s="177"/>
      <c r="K50" s="234"/>
      <c r="L50" s="5"/>
    </row>
    <row r="51" spans="3:12" ht="23.25" x14ac:dyDescent="0.35">
      <c r="C51" s="154"/>
      <c r="D51" s="177"/>
      <c r="E51" s="165"/>
      <c r="F51" s="165"/>
      <c r="G51" s="181"/>
      <c r="H51" s="181"/>
      <c r="I51" s="184"/>
      <c r="J51" s="181"/>
      <c r="K51" s="236"/>
      <c r="L51" s="5"/>
    </row>
    <row r="52" spans="3:12" ht="23.25" x14ac:dyDescent="0.35">
      <c r="C52" s="154"/>
      <c r="D52" s="237"/>
      <c r="E52" s="165"/>
      <c r="F52" s="165"/>
      <c r="G52" s="181"/>
      <c r="H52" s="181"/>
      <c r="I52" s="177"/>
      <c r="J52" s="177"/>
      <c r="K52" s="234"/>
      <c r="L52" s="5"/>
    </row>
    <row r="53" spans="3:12" ht="23.25" x14ac:dyDescent="0.35">
      <c r="D53" s="177"/>
      <c r="E53" s="165"/>
      <c r="F53" s="165"/>
      <c r="G53" s="181"/>
      <c r="H53" s="181"/>
      <c r="I53" s="182"/>
      <c r="J53" s="182"/>
      <c r="K53" s="238"/>
      <c r="L53" s="5"/>
    </row>
    <row r="54" spans="3:12" ht="23.25" x14ac:dyDescent="0.35">
      <c r="D54" s="237"/>
      <c r="E54" s="181"/>
      <c r="F54" s="181"/>
      <c r="G54" s="20"/>
      <c r="H54" s="20"/>
      <c r="I54" s="20"/>
      <c r="J54" s="20"/>
      <c r="K54" s="20"/>
      <c r="L54" s="5"/>
    </row>
    <row r="55" spans="3:12" ht="23.25" x14ac:dyDescent="0.35">
      <c r="D55" s="237"/>
      <c r="E55" s="181"/>
      <c r="F55" s="181"/>
      <c r="G55" s="20"/>
      <c r="H55" s="20"/>
      <c r="I55" s="20"/>
      <c r="J55" s="20"/>
      <c r="K55" s="20"/>
      <c r="L55" s="5"/>
    </row>
    <row r="56" spans="3:12" ht="23.25" x14ac:dyDescent="0.35">
      <c r="C56" s="154"/>
      <c r="D56" s="237"/>
      <c r="E56" s="181"/>
      <c r="F56" s="181"/>
      <c r="G56" s="20"/>
      <c r="H56" s="20"/>
      <c r="I56" s="20"/>
      <c r="J56" s="20"/>
      <c r="K56" s="20"/>
      <c r="L56" s="5"/>
    </row>
    <row r="57" spans="3:12" ht="23.25" x14ac:dyDescent="0.35">
      <c r="C57" s="154"/>
      <c r="D57" s="237"/>
      <c r="E57" s="181"/>
      <c r="F57" s="181"/>
      <c r="G57" s="5"/>
      <c r="H57" s="5"/>
      <c r="I57" s="5"/>
      <c r="J57" s="5"/>
      <c r="K57" s="5"/>
      <c r="L57" s="5"/>
    </row>
    <row r="58" spans="3:12" ht="23.25" x14ac:dyDescent="0.35">
      <c r="C58" s="154"/>
      <c r="D58" s="237"/>
      <c r="E58" s="181"/>
      <c r="F58" s="181"/>
      <c r="G58" s="5"/>
      <c r="H58" s="5"/>
      <c r="I58" s="5"/>
      <c r="J58" s="5"/>
      <c r="K58" s="5"/>
      <c r="L58" s="5"/>
    </row>
    <row r="59" spans="3:12" ht="23.25" x14ac:dyDescent="0.35">
      <c r="C59" s="154"/>
      <c r="D59" s="10"/>
      <c r="E59" s="10"/>
      <c r="F59" s="10"/>
      <c r="G59" s="5"/>
      <c r="H59" s="5"/>
      <c r="I59" s="5"/>
      <c r="J59" s="5"/>
      <c r="K59" s="5"/>
      <c r="L59" s="5"/>
    </row>
    <row r="60" spans="3:12" ht="23.25" x14ac:dyDescent="0.35">
      <c r="C60" s="154"/>
      <c r="D60" s="10"/>
      <c r="E60" s="10"/>
      <c r="F60" s="10"/>
      <c r="L60" s="5"/>
    </row>
    <row r="61" spans="3:12" ht="23.25" x14ac:dyDescent="0.35">
      <c r="C61" s="154"/>
      <c r="D61" s="189"/>
      <c r="E61" s="10"/>
      <c r="F61" s="10"/>
    </row>
    <row r="62" spans="3:12" x14ac:dyDescent="0.25">
      <c r="D62" s="154"/>
    </row>
    <row r="63" spans="3:12" x14ac:dyDescent="0.25">
      <c r="D63" s="154"/>
    </row>
    <row r="64" spans="3:12" x14ac:dyDescent="0.25">
      <c r="D64" s="154"/>
    </row>
    <row r="65" spans="4:4" x14ac:dyDescent="0.25">
      <c r="D65" s="154"/>
    </row>
    <row r="66" spans="4:4" x14ac:dyDescent="0.25">
      <c r="D66" s="154"/>
    </row>
  </sheetData>
  <customSheetViews>
    <customSheetView guid="{9EA95E61-FCA5-4867-AEB4-B8C24058ACDD}" scale="60" showGridLines="0" showRowCol="0" state="hidden">
      <selection activeCell="D10" sqref="D10"/>
      <pageMargins left="0.7" right="0.7" top="0.75" bottom="0.75" header="0.3" footer="0.3"/>
      <pageSetup paperSize="9" orientation="portrait" r:id="rId1"/>
    </customSheetView>
  </customSheetViews>
  <pageMargins left="0.7" right="0.7" top="0.75" bottom="0.75" header="0.3" footer="0.3"/>
  <pageSetup paperSize="9" orientation="portrait" r:id="rId2"/>
  <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dimension ref="A1:U93"/>
  <sheetViews>
    <sheetView showRowColHeaders="0" zoomScaleNormal="100" workbookViewId="0">
      <selection activeCell="B10" sqref="B10"/>
    </sheetView>
  </sheetViews>
  <sheetFormatPr defaultRowHeight="15" x14ac:dyDescent="0.25"/>
  <cols>
    <col min="2" max="2" width="18" customWidth="1"/>
    <col min="3" max="9" width="12" customWidth="1"/>
    <col min="10" max="10" width="28.28515625" customWidth="1"/>
    <col min="11" max="11" width="32.7109375" customWidth="1"/>
    <col min="12" max="12" width="16.28515625" customWidth="1"/>
    <col min="13" max="13" width="26.28515625" bestFit="1" customWidth="1"/>
    <col min="14" max="14" width="16.28515625" bestFit="1" customWidth="1"/>
    <col min="15" max="15" width="22.5703125" bestFit="1" customWidth="1"/>
    <col min="16" max="16" width="21.28515625" bestFit="1" customWidth="1"/>
    <col min="17" max="17" width="22.28515625" bestFit="1" customWidth="1"/>
  </cols>
  <sheetData>
    <row r="1" spans="1:21" x14ac:dyDescent="0.25">
      <c r="A1" s="1898" t="s">
        <v>323</v>
      </c>
      <c r="B1" s="1898"/>
    </row>
    <row r="4" spans="1:21" ht="30" x14ac:dyDescent="0.4">
      <c r="B4" s="2" t="s">
        <v>375</v>
      </c>
    </row>
    <row r="5" spans="1:21" x14ac:dyDescent="0.25">
      <c r="B5" s="274"/>
      <c r="C5" s="276"/>
      <c r="D5" s="276"/>
      <c r="E5" s="276"/>
      <c r="F5" s="276"/>
      <c r="G5" s="276"/>
      <c r="H5" s="276"/>
    </row>
    <row r="6" spans="1:21" x14ac:dyDescent="0.25">
      <c r="B6" s="293" t="s">
        <v>379</v>
      </c>
      <c r="C6" s="293"/>
      <c r="D6" s="293"/>
      <c r="E6" s="276"/>
      <c r="F6" s="276"/>
      <c r="G6" s="276"/>
      <c r="H6" s="276"/>
      <c r="R6" s="8"/>
      <c r="S6" s="8"/>
      <c r="T6" s="8"/>
      <c r="U6" s="8"/>
    </row>
    <row r="7" spans="1:21" x14ac:dyDescent="0.25">
      <c r="B7" s="293"/>
      <c r="C7" s="293"/>
      <c r="D7" s="293">
        <v>1</v>
      </c>
      <c r="E7" s="276"/>
      <c r="F7" s="276"/>
      <c r="G7" s="276"/>
      <c r="H7" s="276"/>
      <c r="R7" s="8"/>
      <c r="S7" s="8"/>
      <c r="T7" s="8"/>
      <c r="U7" s="8"/>
    </row>
    <row r="8" spans="1:21" x14ac:dyDescent="0.25">
      <c r="B8" s="293"/>
      <c r="C8" s="293"/>
      <c r="D8" s="293"/>
      <c r="E8" s="276"/>
      <c r="F8" s="276"/>
      <c r="G8" s="276"/>
      <c r="H8" s="276"/>
      <c r="R8" s="8"/>
      <c r="S8" s="8"/>
      <c r="T8" s="8"/>
      <c r="U8" s="8"/>
    </row>
    <row r="9" spans="1:21" x14ac:dyDescent="0.25">
      <c r="B9" s="293"/>
      <c r="C9" s="293"/>
      <c r="D9" s="293"/>
      <c r="E9" s="276"/>
      <c r="F9" s="276"/>
      <c r="G9" s="276"/>
      <c r="H9" s="276"/>
      <c r="R9" s="8"/>
      <c r="S9" s="8"/>
      <c r="T9" s="8"/>
      <c r="U9" s="8"/>
    </row>
    <row r="10" spans="1:21" x14ac:dyDescent="0.25">
      <c r="B10" s="293" t="s">
        <v>380</v>
      </c>
      <c r="C10" s="293"/>
      <c r="D10" s="293"/>
      <c r="E10" s="276"/>
      <c r="F10" s="276"/>
      <c r="G10" s="276"/>
      <c r="H10" s="276"/>
      <c r="R10" s="8"/>
      <c r="S10" s="8"/>
      <c r="T10" s="8"/>
      <c r="U10" s="8"/>
    </row>
    <row r="11" spans="1:21" x14ac:dyDescent="0.25">
      <c r="B11" s="293"/>
      <c r="C11" s="293"/>
      <c r="D11" s="293"/>
      <c r="E11" s="276"/>
      <c r="F11" s="276"/>
      <c r="G11" s="276"/>
      <c r="H11" s="276"/>
      <c r="R11" s="8"/>
      <c r="S11" s="8"/>
      <c r="T11" s="8"/>
      <c r="U11" s="8"/>
    </row>
    <row r="12" spans="1:21" x14ac:dyDescent="0.25">
      <c r="B12" s="293"/>
      <c r="C12" s="293"/>
      <c r="D12" s="293"/>
      <c r="E12" s="276"/>
      <c r="F12" s="276"/>
      <c r="G12" s="276"/>
      <c r="H12" s="276"/>
      <c r="R12" s="8"/>
      <c r="S12" s="8"/>
      <c r="T12" s="8"/>
      <c r="U12" s="8"/>
    </row>
    <row r="13" spans="1:21" x14ac:dyDescent="0.25">
      <c r="B13" s="274"/>
      <c r="C13" s="274"/>
      <c r="D13" s="274"/>
      <c r="E13" s="274"/>
      <c r="F13" s="274"/>
      <c r="G13" s="274"/>
      <c r="H13" s="274"/>
      <c r="I13" s="8"/>
      <c r="R13" s="8"/>
      <c r="S13" s="8"/>
      <c r="T13" s="8"/>
      <c r="U13" s="8"/>
    </row>
    <row r="14" spans="1:21" x14ac:dyDescent="0.25">
      <c r="B14" s="274"/>
      <c r="C14" s="274"/>
      <c r="D14" s="274"/>
      <c r="E14" s="274"/>
      <c r="F14" s="274"/>
      <c r="G14" s="274"/>
      <c r="H14" s="274"/>
      <c r="I14" s="8"/>
      <c r="R14" s="8"/>
      <c r="S14" s="8"/>
      <c r="T14" s="8"/>
      <c r="U14" s="8"/>
    </row>
    <row r="15" spans="1:21" x14ac:dyDescent="0.25">
      <c r="B15" s="274"/>
      <c r="C15" s="274"/>
      <c r="D15" s="274"/>
      <c r="E15" s="274"/>
      <c r="F15" s="274"/>
      <c r="G15" s="274"/>
      <c r="H15" s="274"/>
      <c r="I15" s="8"/>
      <c r="R15" s="8"/>
      <c r="S15" s="8"/>
      <c r="T15" s="8"/>
      <c r="U15" s="8"/>
    </row>
    <row r="16" spans="1:21" x14ac:dyDescent="0.25">
      <c r="B16" s="274" t="s">
        <v>214</v>
      </c>
      <c r="C16" s="274" t="s">
        <v>192</v>
      </c>
      <c r="D16" s="274" t="s">
        <v>193</v>
      </c>
      <c r="E16" s="274" t="s">
        <v>194</v>
      </c>
      <c r="F16" s="274" t="s">
        <v>195</v>
      </c>
      <c r="G16" s="274" t="s">
        <v>196</v>
      </c>
      <c r="H16" s="274" t="s">
        <v>6</v>
      </c>
      <c r="I16" s="8" t="s">
        <v>7</v>
      </c>
      <c r="R16" s="8"/>
      <c r="S16" s="8"/>
      <c r="T16" s="8"/>
      <c r="U16" s="8"/>
    </row>
    <row r="17" spans="1:21" x14ac:dyDescent="0.25">
      <c r="B17" s="274" t="s">
        <v>215</v>
      </c>
      <c r="C17" s="274">
        <v>31334252.480110005</v>
      </c>
      <c r="D17" s="274">
        <v>33926746.314999998</v>
      </c>
      <c r="E17" s="274">
        <v>35177509.125</v>
      </c>
      <c r="F17" s="274">
        <v>36539983.701629996</v>
      </c>
      <c r="G17" s="274">
        <v>39213453.649081036</v>
      </c>
      <c r="H17" s="274">
        <v>42145100.102129996</v>
      </c>
      <c r="I17" s="8">
        <v>43513839</v>
      </c>
      <c r="R17" s="8"/>
      <c r="S17" s="8"/>
      <c r="T17" s="8"/>
      <c r="U17" s="8"/>
    </row>
    <row r="18" spans="1:21" x14ac:dyDescent="0.25">
      <c r="B18" s="274" t="s">
        <v>216</v>
      </c>
      <c r="C18" s="274">
        <v>1557282.4487299998</v>
      </c>
      <c r="D18" s="274">
        <v>1459935.5</v>
      </c>
      <c r="E18" s="274">
        <v>1185244</v>
      </c>
      <c r="F18" s="274">
        <v>1354520.29837</v>
      </c>
      <c r="G18" s="274">
        <v>1895451.8837600001</v>
      </c>
      <c r="H18" s="274">
        <v>2195295.3909299998</v>
      </c>
      <c r="I18" s="8">
        <v>2127889</v>
      </c>
      <c r="R18" s="8"/>
      <c r="S18" s="8"/>
      <c r="T18" s="8"/>
      <c r="U18" s="8"/>
    </row>
    <row r="19" spans="1:21" x14ac:dyDescent="0.25">
      <c r="B19" s="274" t="str">
        <f>IF($D$7=1, 'Productivity (4)'!B19, 'Productivity (4)'!B12)</f>
        <v>Intermediates (RC)</v>
      </c>
      <c r="C19" s="274">
        <f>IF($D$7=1, 'Productivity (4)'!C19, 'Productivity (4)'!C12)</f>
        <v>0</v>
      </c>
      <c r="D19" s="274">
        <f>IF($D$7=1, 'Productivity (4)'!D19, 'Productivity (4)'!D12)</f>
        <v>10271344</v>
      </c>
      <c r="E19" s="274">
        <f>IF($D$7=1, 'Productivity (4)'!E19, 'Productivity (4)'!E12)</f>
        <v>11378727</v>
      </c>
      <c r="F19" s="274">
        <f>IF($D$7=1, 'Productivity (4)'!F19, 'Productivity (4)'!F12)</f>
        <v>13036200</v>
      </c>
      <c r="G19" s="274">
        <f>IF($D$7=1, 'Productivity (4)'!G19, 'Productivity (4)'!G12)</f>
        <v>13991803</v>
      </c>
      <c r="H19" s="274">
        <f>IF($D$7=1, 'Productivity (4)'!H19, 'Productivity (4)'!H12)</f>
        <v>14911074</v>
      </c>
      <c r="I19" s="274">
        <f>IF($D$7=1, 'Productivity (4)'!I19, 'Productivity (4)'!I12)</f>
        <v>16077609</v>
      </c>
      <c r="R19" s="8"/>
      <c r="S19" s="8"/>
      <c r="T19" s="8"/>
      <c r="U19" s="8"/>
    </row>
    <row r="20" spans="1:21" x14ac:dyDescent="0.25">
      <c r="B20" s="274" t="s">
        <v>47</v>
      </c>
      <c r="C20" s="274">
        <v>5115514.2809764491</v>
      </c>
      <c r="D20" s="274">
        <v>5839664.3710000003</v>
      </c>
      <c r="E20" s="274">
        <v>6568362.6799999997</v>
      </c>
      <c r="F20" s="274">
        <v>7784592.0729</v>
      </c>
      <c r="G20" s="274">
        <v>7426030.9178999998</v>
      </c>
      <c r="H20" s="274">
        <v>7635390.1285600001</v>
      </c>
      <c r="I20" s="8">
        <v>8025361</v>
      </c>
      <c r="R20" s="8"/>
      <c r="S20" s="8"/>
      <c r="T20" s="8"/>
      <c r="U20" s="8"/>
    </row>
    <row r="21" spans="1:21" x14ac:dyDescent="0.25">
      <c r="A21" s="6"/>
      <c r="B21" s="274" t="s">
        <v>136</v>
      </c>
      <c r="C21" s="274">
        <v>8094174.9440000001</v>
      </c>
      <c r="D21" s="274">
        <v>8013483.2259999998</v>
      </c>
      <c r="E21" s="274">
        <v>8250323.8930000002</v>
      </c>
      <c r="F21" s="274">
        <v>8303500.9179999996</v>
      </c>
      <c r="G21" s="274">
        <v>8376264.432</v>
      </c>
      <c r="H21" s="274">
        <v>8621421.1300000008</v>
      </c>
      <c r="I21" s="8">
        <v>8880735.3440000005</v>
      </c>
      <c r="R21" s="8"/>
      <c r="S21" s="8"/>
      <c r="T21" s="8"/>
      <c r="U21" s="8"/>
    </row>
    <row r="22" spans="1:21" x14ac:dyDescent="0.25">
      <c r="A22" s="5"/>
      <c r="B22" s="274" t="s">
        <v>218</v>
      </c>
      <c r="C22" s="274">
        <v>9569836</v>
      </c>
      <c r="D22" s="274">
        <v>11162141</v>
      </c>
      <c r="E22" s="274">
        <v>11209422</v>
      </c>
      <c r="F22" s="274">
        <v>11697639</v>
      </c>
      <c r="G22" s="274">
        <v>12074672</v>
      </c>
      <c r="H22" s="274">
        <v>12683418</v>
      </c>
      <c r="I22" s="8">
        <v>12962081</v>
      </c>
      <c r="R22" s="8"/>
      <c r="S22" s="8"/>
      <c r="T22" s="8"/>
      <c r="U22" s="8"/>
    </row>
    <row r="23" spans="1:21" x14ac:dyDescent="0.25">
      <c r="A23" s="5"/>
      <c r="B23" s="274" t="s">
        <v>378</v>
      </c>
      <c r="C23" s="274">
        <v>278000</v>
      </c>
      <c r="D23" s="274">
        <v>262000</v>
      </c>
      <c r="E23" s="274">
        <v>229000</v>
      </c>
      <c r="F23" s="274">
        <v>226000</v>
      </c>
      <c r="G23" s="274">
        <v>242958</v>
      </c>
      <c r="H23" s="274">
        <v>241608</v>
      </c>
      <c r="I23" s="8">
        <v>212245</v>
      </c>
      <c r="R23" s="8"/>
      <c r="S23" s="8"/>
      <c r="T23" s="8"/>
      <c r="U23" s="8"/>
    </row>
    <row r="24" spans="1:21" x14ac:dyDescent="0.25">
      <c r="A24" s="5"/>
      <c r="B24" s="274" t="s">
        <v>220</v>
      </c>
      <c r="C24" s="274">
        <v>64707050.153816454</v>
      </c>
      <c r="D24" s="274">
        <v>70935314.412</v>
      </c>
      <c r="E24" s="274">
        <v>73998588.697999999</v>
      </c>
      <c r="F24" s="274">
        <v>78942435.990899995</v>
      </c>
      <c r="G24" s="274">
        <v>83220633.882741034</v>
      </c>
      <c r="H24" s="274">
        <v>88433306.751619995</v>
      </c>
      <c r="I24" s="8">
        <v>91799759.343999997</v>
      </c>
      <c r="R24" s="8"/>
      <c r="S24" s="8"/>
      <c r="T24" s="8"/>
      <c r="U24" s="8"/>
    </row>
    <row r="25" spans="1:21" x14ac:dyDescent="0.25">
      <c r="A25" s="5"/>
      <c r="B25" s="274"/>
      <c r="C25" s="274"/>
      <c r="D25" s="274"/>
      <c r="E25" s="274"/>
      <c r="F25" s="274"/>
      <c r="G25" s="274"/>
      <c r="H25" s="274"/>
      <c r="I25" s="8"/>
      <c r="R25" s="8"/>
      <c r="S25" s="8"/>
      <c r="T25" s="8"/>
      <c r="U25" s="8"/>
    </row>
    <row r="26" spans="1:21" x14ac:dyDescent="0.25">
      <c r="A26" s="5"/>
      <c r="B26" s="274" t="s">
        <v>221</v>
      </c>
      <c r="C26" s="274"/>
      <c r="D26" s="274"/>
      <c r="E26" s="274"/>
      <c r="F26" s="274"/>
      <c r="G26" s="274"/>
      <c r="H26" s="274"/>
      <c r="I26" s="8"/>
      <c r="R26" s="8"/>
      <c r="S26" s="8"/>
      <c r="T26" s="8"/>
      <c r="U26" s="8"/>
    </row>
    <row r="27" spans="1:21" x14ac:dyDescent="0.25">
      <c r="A27" s="5"/>
      <c r="B27" s="274" t="s">
        <v>215</v>
      </c>
      <c r="C27" s="274">
        <v>38212088</v>
      </c>
      <c r="D27" s="274">
        <v>39516362</v>
      </c>
      <c r="E27" s="274">
        <v>39359457</v>
      </c>
      <c r="F27" s="274">
        <v>39525586</v>
      </c>
      <c r="G27" s="274">
        <v>41200614</v>
      </c>
      <c r="H27" s="274">
        <v>43406879</v>
      </c>
      <c r="I27" s="8">
        <v>43513839</v>
      </c>
      <c r="R27" s="8"/>
      <c r="S27" s="8"/>
      <c r="T27" s="8"/>
      <c r="U27" s="8"/>
    </row>
    <row r="28" spans="1:21" x14ac:dyDescent="0.25">
      <c r="A28" s="5"/>
      <c r="B28" s="274" t="s">
        <v>216</v>
      </c>
      <c r="C28" s="274">
        <v>1669078</v>
      </c>
      <c r="D28" s="274">
        <v>1440740</v>
      </c>
      <c r="E28" s="274">
        <v>1089513</v>
      </c>
      <c r="F28" s="274">
        <v>1305572</v>
      </c>
      <c r="G28" s="274">
        <v>1988902</v>
      </c>
      <c r="H28" s="274">
        <v>2373791</v>
      </c>
      <c r="I28" s="8">
        <v>2127889</v>
      </c>
    </row>
    <row r="29" spans="1:21" x14ac:dyDescent="0.25">
      <c r="A29" s="5"/>
      <c r="B29" s="274" t="s">
        <v>217</v>
      </c>
      <c r="C29" s="274">
        <v>8908327</v>
      </c>
      <c r="D29" s="274">
        <v>10650038</v>
      </c>
      <c r="E29" s="274">
        <v>11640863</v>
      </c>
      <c r="F29" s="274">
        <v>13367264.856002657</v>
      </c>
      <c r="G29" s="274">
        <v>14140508.469508</v>
      </c>
      <c r="H29" s="274">
        <v>15427876.675999999</v>
      </c>
      <c r="I29" s="8">
        <v>16077604</v>
      </c>
    </row>
    <row r="30" spans="1:21" x14ac:dyDescent="0.25">
      <c r="B30" s="274" t="s">
        <v>47</v>
      </c>
      <c r="C30" s="274">
        <v>3308036</v>
      </c>
      <c r="D30" s="274">
        <v>3578676</v>
      </c>
      <c r="E30" s="274">
        <v>4190683</v>
      </c>
      <c r="F30" s="274">
        <v>4292293</v>
      </c>
      <c r="G30" s="274">
        <v>3994568</v>
      </c>
      <c r="H30" s="274">
        <v>3958031</v>
      </c>
      <c r="I30" s="8">
        <v>3893374</v>
      </c>
    </row>
    <row r="31" spans="1:21" x14ac:dyDescent="0.25">
      <c r="B31" s="274" t="s">
        <v>136</v>
      </c>
      <c r="C31" s="274">
        <v>5931102.0326811802</v>
      </c>
      <c r="D31" s="274">
        <v>6514497.3790748697</v>
      </c>
      <c r="E31" s="274">
        <v>6944132.5587071804</v>
      </c>
      <c r="F31" s="274">
        <v>7454440.1813448202</v>
      </c>
      <c r="G31" s="274">
        <v>7927564.2930153301</v>
      </c>
      <c r="H31" s="274">
        <v>8477306.9124877099</v>
      </c>
      <c r="I31" s="8">
        <v>8880735.3440000005</v>
      </c>
    </row>
    <row r="32" spans="1:21" x14ac:dyDescent="0.25">
      <c r="B32" s="274" t="s">
        <v>218</v>
      </c>
      <c r="C32" s="274">
        <v>11670404.906738559</v>
      </c>
      <c r="D32" s="274">
        <v>13001164.445567448</v>
      </c>
      <c r="E32" s="274">
        <v>12542012.72574419</v>
      </c>
      <c r="F32" s="274">
        <v>12645671.111368861</v>
      </c>
      <c r="G32" s="274">
        <v>12673068.453165414</v>
      </c>
      <c r="H32" s="274">
        <v>13076603.958000001</v>
      </c>
      <c r="I32" s="8">
        <v>12962081</v>
      </c>
    </row>
    <row r="33" spans="2:9" x14ac:dyDescent="0.25">
      <c r="B33" s="274" t="s">
        <v>378</v>
      </c>
      <c r="C33" s="274">
        <v>331183.30547743692</v>
      </c>
      <c r="D33" s="274">
        <v>300985.91688492848</v>
      </c>
      <c r="E33" s="274">
        <v>253688.98454382003</v>
      </c>
      <c r="F33" s="274">
        <v>243309.57052000001</v>
      </c>
      <c r="G33" s="274">
        <v>251747.7262339491</v>
      </c>
      <c r="H33" s="274">
        <v>248856.16224529999</v>
      </c>
      <c r="I33" s="8">
        <v>212245.30799999999</v>
      </c>
    </row>
    <row r="34" spans="2:9" x14ac:dyDescent="0.25">
      <c r="B34" s="276" t="s">
        <v>220</v>
      </c>
      <c r="C34" s="276">
        <v>70030219.244897187</v>
      </c>
      <c r="D34" s="276">
        <v>75002463.741527244</v>
      </c>
      <c r="E34" s="276">
        <v>76020350.268995181</v>
      </c>
      <c r="F34" s="276">
        <v>78834136.719236344</v>
      </c>
      <c r="G34" s="276">
        <v>82176972.94192268</v>
      </c>
      <c r="H34" s="276">
        <v>86969344.708733022</v>
      </c>
      <c r="I34">
        <v>87667767.651999995</v>
      </c>
    </row>
    <row r="35" spans="2:9" x14ac:dyDescent="0.25">
      <c r="B35" s="276"/>
      <c r="C35" s="276"/>
      <c r="D35" s="276"/>
      <c r="E35" s="276"/>
      <c r="F35" s="276"/>
      <c r="G35" s="276"/>
      <c r="H35" s="276"/>
    </row>
    <row r="36" spans="2:9" x14ac:dyDescent="0.25">
      <c r="B36" s="276">
        <v>352459.1206072038</v>
      </c>
      <c r="C36" s="276">
        <v>240357.88846676395</v>
      </c>
      <c r="D36" s="276">
        <v>234905.74154348543</v>
      </c>
      <c r="E36" s="276">
        <v>212915.15710517598</v>
      </c>
      <c r="F36" s="276">
        <v>216219.52596260741</v>
      </c>
      <c r="G36" s="276">
        <v>241508.47221669985</v>
      </c>
      <c r="H36" s="276">
        <v>241607.92450999998</v>
      </c>
    </row>
    <row r="37" spans="2:9" x14ac:dyDescent="0.25">
      <c r="B37" s="276"/>
      <c r="C37" s="276"/>
      <c r="D37" s="276"/>
      <c r="E37" s="276"/>
      <c r="F37" s="276"/>
      <c r="G37" s="276"/>
      <c r="H37" s="276"/>
    </row>
    <row r="57" ht="23.25" customHeight="1" x14ac:dyDescent="0.25"/>
    <row r="64" ht="23.25" customHeight="1" x14ac:dyDescent="0.25"/>
    <row r="71" ht="23.25" customHeight="1" x14ac:dyDescent="0.25"/>
    <row r="78" ht="23.25" customHeight="1" x14ac:dyDescent="0.25"/>
    <row r="85" ht="23.25" customHeight="1" x14ac:dyDescent="0.25"/>
    <row r="93" ht="23.25" customHeight="1" x14ac:dyDescent="0.25"/>
  </sheetData>
  <mergeCells count="1">
    <mergeCell ref="A1:B1"/>
  </mergeCells>
  <hyperlinks>
    <hyperlink ref="A1:B1" location="'Table of contents'!A1" display="Return to the Table of Contents"/>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3864" r:id="rId4" name="Option Button 72">
              <controlPr defaultSize="0" autoFill="0" autoLine="0" autoPict="0" macro="[0]!OptionButton72_Click">
                <anchor moveWithCells="1">
                  <from>
                    <xdr:col>1</xdr:col>
                    <xdr:colOff>0</xdr:colOff>
                    <xdr:row>6</xdr:row>
                    <xdr:rowOff>0</xdr:rowOff>
                  </from>
                  <to>
                    <xdr:col>1</xdr:col>
                    <xdr:colOff>1000125</xdr:colOff>
                    <xdr:row>7</xdr:row>
                    <xdr:rowOff>19050</xdr:rowOff>
                  </to>
                </anchor>
              </controlPr>
            </control>
          </mc:Choice>
        </mc:AlternateContent>
        <mc:AlternateContent xmlns:mc="http://schemas.openxmlformats.org/markup-compatibility/2006">
          <mc:Choice Requires="x14">
            <control shapeId="33865" r:id="rId5" name="Option Button 73">
              <controlPr defaultSize="0" autoFill="0" autoLine="0" autoPict="0">
                <anchor moveWithCells="1">
                  <from>
                    <xdr:col>1</xdr:col>
                    <xdr:colOff>0</xdr:colOff>
                    <xdr:row>7</xdr:row>
                    <xdr:rowOff>19050</xdr:rowOff>
                  </from>
                  <to>
                    <xdr:col>1</xdr:col>
                    <xdr:colOff>1000125</xdr:colOff>
                    <xdr:row>8</xdr:row>
                    <xdr:rowOff>38100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dimension ref="A1:R95"/>
  <sheetViews>
    <sheetView showGridLines="0" showRowColHeaders="0" zoomScaleNormal="100" workbookViewId="0">
      <selection activeCell="B8" sqref="B8"/>
    </sheetView>
  </sheetViews>
  <sheetFormatPr defaultRowHeight="15" x14ac:dyDescent="0.25"/>
  <cols>
    <col min="1" max="1" width="10.7109375" customWidth="1"/>
    <col min="2" max="2" width="20.7109375" customWidth="1"/>
    <col min="3" max="5" width="15.7109375" customWidth="1"/>
    <col min="6" max="6" width="6.5703125" customWidth="1"/>
    <col min="7" max="7" width="16.7109375" customWidth="1"/>
    <col min="8" max="8" width="12" customWidth="1"/>
    <col min="9" max="9" width="21.7109375" customWidth="1"/>
    <col min="10" max="10" width="16.7109375" customWidth="1"/>
    <col min="11" max="11" width="10" customWidth="1"/>
    <col min="12" max="12" width="9.7109375" customWidth="1"/>
    <col min="13" max="13" width="8.7109375" customWidth="1"/>
    <col min="14" max="16" width="12.42578125" bestFit="1" customWidth="1"/>
  </cols>
  <sheetData>
    <row r="1" spans="1:13" x14ac:dyDescent="0.25">
      <c r="A1" s="376"/>
      <c r="B1" s="378"/>
      <c r="C1" s="378"/>
      <c r="D1" s="378"/>
      <c r="E1" s="378"/>
    </row>
    <row r="2" spans="1:13" x14ac:dyDescent="0.25">
      <c r="A2" s="396"/>
      <c r="B2" s="378"/>
      <c r="C2" s="378"/>
      <c r="D2" s="378"/>
      <c r="E2" s="378"/>
    </row>
    <row r="3" spans="1:13" x14ac:dyDescent="0.25">
      <c r="A3" s="396"/>
      <c r="B3" s="376"/>
      <c r="C3" s="376"/>
      <c r="D3" s="376"/>
      <c r="E3" s="376"/>
    </row>
    <row r="4" spans="1:13" ht="31.5" x14ac:dyDescent="0.5">
      <c r="A4" s="396">
        <v>2</v>
      </c>
      <c r="B4" s="884" t="s">
        <v>228</v>
      </c>
      <c r="C4" s="376"/>
      <c r="D4" s="376"/>
      <c r="E4" s="376"/>
    </row>
    <row r="5" spans="1:13" ht="18" customHeight="1" x14ac:dyDescent="0.9">
      <c r="A5" s="396"/>
      <c r="B5" s="890"/>
      <c r="C5" s="376"/>
      <c r="D5" s="376"/>
      <c r="E5" s="376"/>
    </row>
    <row r="6" spans="1:13" ht="18" customHeight="1" x14ac:dyDescent="0.25">
      <c r="A6" s="396"/>
      <c r="B6" s="653" t="s">
        <v>393</v>
      </c>
      <c r="C6" s="380"/>
      <c r="D6" s="380"/>
      <c r="E6" s="380"/>
      <c r="F6" s="276"/>
      <c r="G6" s="276"/>
      <c r="H6" s="276"/>
      <c r="I6" s="276"/>
    </row>
    <row r="7" spans="1:13" ht="18" customHeight="1" x14ac:dyDescent="0.25">
      <c r="A7" s="396">
        <v>3</v>
      </c>
      <c r="B7" s="891" t="s">
        <v>434</v>
      </c>
      <c r="C7" s="892"/>
      <c r="D7" s="397"/>
      <c r="E7" s="397"/>
      <c r="F7" s="276"/>
      <c r="G7" s="276"/>
      <c r="H7" s="276"/>
      <c r="I7" s="276"/>
    </row>
    <row r="8" spans="1:13" ht="18" customHeight="1" x14ac:dyDescent="0.25">
      <c r="A8" s="396"/>
      <c r="B8" s="653"/>
      <c r="C8" s="380"/>
      <c r="D8" s="276"/>
      <c r="E8" s="276"/>
      <c r="F8" s="276"/>
      <c r="G8" s="276"/>
      <c r="H8" s="276"/>
      <c r="I8" s="276"/>
    </row>
    <row r="9" spans="1:13" ht="18" customHeight="1" x14ac:dyDescent="0.25">
      <c r="A9" s="396"/>
      <c r="B9" s="572"/>
      <c r="C9" s="436"/>
      <c r="D9" s="276"/>
      <c r="E9" s="276"/>
      <c r="F9" s="276"/>
      <c r="G9" s="276"/>
      <c r="H9" s="276"/>
      <c r="I9" s="276"/>
    </row>
    <row r="10" spans="1:13" ht="18" customHeight="1" x14ac:dyDescent="0.25">
      <c r="A10" s="396"/>
      <c r="B10" s="572"/>
      <c r="C10" s="436"/>
      <c r="D10" s="276"/>
      <c r="E10" s="276"/>
      <c r="F10" s="276"/>
      <c r="G10" s="276"/>
      <c r="H10" s="276"/>
      <c r="I10" s="276"/>
    </row>
    <row r="11" spans="1:13" ht="18" customHeight="1" x14ac:dyDescent="0.25">
      <c r="J11" s="5"/>
    </row>
    <row r="12" spans="1:13" ht="24" customHeight="1" x14ac:dyDescent="0.25">
      <c r="A12" s="537"/>
      <c r="B12" s="549"/>
      <c r="C12" s="549" t="s">
        <v>505</v>
      </c>
      <c r="D12" s="549" t="s">
        <v>506</v>
      </c>
      <c r="E12" s="549" t="s">
        <v>507</v>
      </c>
      <c r="F12" s="536" t="s">
        <v>68</v>
      </c>
      <c r="G12" s="534" t="s">
        <v>509</v>
      </c>
      <c r="H12" s="550" t="s">
        <v>489</v>
      </c>
      <c r="I12" s="603" t="s">
        <v>542</v>
      </c>
      <c r="J12" s="535" t="s">
        <v>510</v>
      </c>
      <c r="K12" s="535" t="s">
        <v>511</v>
      </c>
      <c r="L12" s="521"/>
      <c r="M12" s="520"/>
    </row>
    <row r="13" spans="1:13" ht="24" customHeight="1" x14ac:dyDescent="0.25">
      <c r="A13" s="558"/>
      <c r="B13" s="550" t="s">
        <v>215</v>
      </c>
      <c r="C13" s="551">
        <f>P50</f>
        <v>43513839</v>
      </c>
      <c r="D13" s="551">
        <f>MIN(C50:P50)</f>
        <v>31334252.480110005</v>
      </c>
      <c r="E13" s="551">
        <f>MAX(C50:P50)</f>
        <v>43513839</v>
      </c>
      <c r="F13" s="552">
        <f>I50/1000000</f>
        <v>31.334252480110006</v>
      </c>
      <c r="G13" s="537"/>
      <c r="H13" s="553">
        <f>P50/1000000</f>
        <v>43.513838999999997</v>
      </c>
      <c r="I13" s="538">
        <f t="shared" ref="I13:I19" si="0">C13/C$21</f>
        <v>0.47431741473874511</v>
      </c>
      <c r="J13" s="559"/>
      <c r="K13" s="539">
        <f>E13/D13-1</f>
        <v>0.38869880580751737</v>
      </c>
      <c r="L13" s="5"/>
    </row>
    <row r="14" spans="1:13" ht="24" customHeight="1" x14ac:dyDescent="0.25">
      <c r="A14" s="558"/>
      <c r="B14" s="550" t="s">
        <v>216</v>
      </c>
      <c r="C14" s="551">
        <f t="shared" ref="C14:C19" si="1">P51</f>
        <v>2127889</v>
      </c>
      <c r="D14" s="551">
        <f t="shared" ref="D14:D19" si="2">MIN(C51:P51)</f>
        <v>1185244</v>
      </c>
      <c r="E14" s="551">
        <f t="shared" ref="E14:E19" si="3">MAX(C51:P51)</f>
        <v>2195295.3909299998</v>
      </c>
      <c r="F14" s="552">
        <f t="shared" ref="F14:F19" si="4">I51/1000000</f>
        <v>1.5572824487299999</v>
      </c>
      <c r="G14" s="537"/>
      <c r="H14" s="553">
        <f t="shared" ref="H14:H19" si="5">P51/1000000</f>
        <v>2.1278890000000001</v>
      </c>
      <c r="I14" s="538">
        <f t="shared" si="0"/>
        <v>2.3194800379047541E-2</v>
      </c>
      <c r="J14" s="559"/>
      <c r="K14" s="539">
        <f t="shared" ref="K14:K19" si="6">E14/D14-1</f>
        <v>0.85218857123933955</v>
      </c>
      <c r="L14" s="5"/>
    </row>
    <row r="15" spans="1:13" ht="24" customHeight="1" x14ac:dyDescent="0.25">
      <c r="A15" s="558"/>
      <c r="B15" s="550" t="s">
        <v>217</v>
      </c>
      <c r="C15" s="551">
        <f t="shared" si="1"/>
        <v>16077609</v>
      </c>
      <c r="D15" s="551">
        <f t="shared" si="2"/>
        <v>8757990</v>
      </c>
      <c r="E15" s="551">
        <f t="shared" si="3"/>
        <v>16077609</v>
      </c>
      <c r="F15" s="552">
        <f t="shared" si="4"/>
        <v>8.7579899999999995</v>
      </c>
      <c r="G15" s="537"/>
      <c r="H15" s="553">
        <f t="shared" si="5"/>
        <v>16.077608999999999</v>
      </c>
      <c r="I15" s="538">
        <f t="shared" si="0"/>
        <v>0.1752520602942062</v>
      </c>
      <c r="J15" s="559"/>
      <c r="K15" s="539">
        <f t="shared" si="6"/>
        <v>0.83576471313623335</v>
      </c>
      <c r="L15" s="531"/>
    </row>
    <row r="16" spans="1:13" ht="24" customHeight="1" x14ac:dyDescent="0.25">
      <c r="A16" s="537"/>
      <c r="B16" s="550" t="s">
        <v>47</v>
      </c>
      <c r="C16" s="551">
        <f t="shared" si="1"/>
        <v>8025361</v>
      </c>
      <c r="D16" s="551">
        <f t="shared" si="2"/>
        <v>5115514.2809764491</v>
      </c>
      <c r="E16" s="551">
        <f t="shared" si="3"/>
        <v>8025361</v>
      </c>
      <c r="F16" s="552">
        <f t="shared" si="4"/>
        <v>5.1155142809764493</v>
      </c>
      <c r="G16" s="537"/>
      <c r="H16" s="553">
        <f t="shared" si="5"/>
        <v>8.0253610000000002</v>
      </c>
      <c r="I16" s="538">
        <f t="shared" si="0"/>
        <v>8.747949087795151E-2</v>
      </c>
      <c r="J16" s="559"/>
      <c r="K16" s="539">
        <f t="shared" si="6"/>
        <v>0.56882779701049313</v>
      </c>
      <c r="L16" s="5"/>
    </row>
    <row r="17" spans="1:17" ht="24" customHeight="1" x14ac:dyDescent="0.25">
      <c r="A17" s="537"/>
      <c r="B17" s="550" t="s">
        <v>136</v>
      </c>
      <c r="C17" s="551">
        <f t="shared" si="1"/>
        <v>8880735.3440000005</v>
      </c>
      <c r="D17" s="551">
        <f t="shared" si="2"/>
        <v>8013483.2259999998</v>
      </c>
      <c r="E17" s="551">
        <f t="shared" si="3"/>
        <v>8880735.3440000005</v>
      </c>
      <c r="F17" s="552">
        <f t="shared" si="4"/>
        <v>8.0941749440000006</v>
      </c>
      <c r="G17" s="537"/>
      <c r="H17" s="553">
        <f t="shared" si="5"/>
        <v>8.8807353439999996</v>
      </c>
      <c r="I17" s="538">
        <f t="shared" si="0"/>
        <v>9.6803396945626438E-2</v>
      </c>
      <c r="J17" s="559"/>
      <c r="K17" s="539">
        <f t="shared" si="6"/>
        <v>0.10822411347741689</v>
      </c>
      <c r="L17" s="5"/>
    </row>
    <row r="18" spans="1:17" ht="24" customHeight="1" x14ac:dyDescent="0.25">
      <c r="A18" s="537"/>
      <c r="B18" s="550" t="s">
        <v>218</v>
      </c>
      <c r="C18" s="551">
        <f t="shared" si="1"/>
        <v>12902236</v>
      </c>
      <c r="D18" s="551">
        <f t="shared" si="2"/>
        <v>9569836</v>
      </c>
      <c r="E18" s="551">
        <f t="shared" si="3"/>
        <v>12962081</v>
      </c>
      <c r="F18" s="552">
        <f t="shared" si="4"/>
        <v>9.5698360000000005</v>
      </c>
      <c r="G18" s="537"/>
      <c r="H18" s="553">
        <f t="shared" si="5"/>
        <v>12.902236</v>
      </c>
      <c r="I18" s="538">
        <f t="shared" si="0"/>
        <v>0.14063928544363019</v>
      </c>
      <c r="J18" s="559"/>
      <c r="K18" s="539">
        <f t="shared" si="6"/>
        <v>0.35447263673066076</v>
      </c>
      <c r="L18" s="5"/>
    </row>
    <row r="19" spans="1:17" ht="24" customHeight="1" x14ac:dyDescent="0.25">
      <c r="A19" s="558"/>
      <c r="B19" s="550" t="s">
        <v>378</v>
      </c>
      <c r="C19" s="551">
        <f t="shared" si="1"/>
        <v>212245</v>
      </c>
      <c r="D19" s="551">
        <f t="shared" si="2"/>
        <v>212245</v>
      </c>
      <c r="E19" s="551">
        <f t="shared" si="3"/>
        <v>278000</v>
      </c>
      <c r="F19" s="552">
        <f t="shared" si="4"/>
        <v>0.27800000000000002</v>
      </c>
      <c r="G19" s="537"/>
      <c r="H19" s="553">
        <f t="shared" si="5"/>
        <v>0.21224499999999999</v>
      </c>
      <c r="I19" s="538">
        <f t="shared" si="0"/>
        <v>2.3135513207930233E-3</v>
      </c>
      <c r="J19" s="559"/>
      <c r="K19" s="539">
        <f t="shared" si="6"/>
        <v>0.30980706259275848</v>
      </c>
      <c r="L19" s="5"/>
    </row>
    <row r="20" spans="1:17" ht="24" customHeight="1" x14ac:dyDescent="0.25">
      <c r="A20" s="558"/>
      <c r="B20" s="550"/>
      <c r="C20" s="551"/>
      <c r="D20" s="551"/>
      <c r="E20" s="551"/>
      <c r="F20" s="552"/>
      <c r="G20" s="537"/>
      <c r="H20" s="553"/>
      <c r="I20" s="538"/>
      <c r="J20" s="559"/>
      <c r="K20" s="539"/>
      <c r="L20" s="5"/>
    </row>
    <row r="21" spans="1:17" ht="24" customHeight="1" x14ac:dyDescent="0.25">
      <c r="A21" s="560" t="b">
        <v>1</v>
      </c>
      <c r="B21" s="554" t="s">
        <v>220</v>
      </c>
      <c r="C21" s="555">
        <f>SUM(C13:C19)</f>
        <v>91739914.343999997</v>
      </c>
      <c r="D21" s="555"/>
      <c r="E21" s="556"/>
      <c r="F21" s="552">
        <f>I57/1000000</f>
        <v>64.707050153816454</v>
      </c>
      <c r="G21" s="537"/>
      <c r="H21" s="553">
        <f>P57/1000000</f>
        <v>91.739914343999999</v>
      </c>
      <c r="I21" s="557"/>
      <c r="J21" s="559"/>
      <c r="K21" s="539"/>
      <c r="L21" s="5"/>
    </row>
    <row r="22" spans="1:17" ht="18" customHeight="1" x14ac:dyDescent="0.25">
      <c r="A22" s="530"/>
      <c r="B22" s="376"/>
      <c r="C22" s="532"/>
      <c r="D22" s="376"/>
      <c r="E22" s="376"/>
      <c r="F22" s="518"/>
      <c r="J22" s="5"/>
    </row>
    <row r="23" spans="1:17" ht="18" customHeight="1" x14ac:dyDescent="0.25">
      <c r="A23" s="530"/>
      <c r="B23" s="376"/>
      <c r="C23" s="529">
        <v>1</v>
      </c>
      <c r="D23" s="529"/>
      <c r="E23" s="376"/>
      <c r="J23" s="5"/>
    </row>
    <row r="24" spans="1:17" ht="18" customHeight="1" x14ac:dyDescent="0.25">
      <c r="A24" s="527"/>
      <c r="B24" s="526"/>
      <c r="C24" s="529"/>
      <c r="D24" s="529"/>
      <c r="E24" s="526"/>
      <c r="F24" s="116"/>
      <c r="G24" s="116"/>
      <c r="H24" s="116"/>
      <c r="I24" s="116"/>
      <c r="J24" s="519"/>
      <c r="K24" s="116"/>
      <c r="L24" s="116"/>
      <c r="M24" s="116"/>
      <c r="N24" s="116"/>
      <c r="O24" s="116"/>
      <c r="P24" s="116"/>
      <c r="Q24" s="116"/>
    </row>
    <row r="25" spans="1:17" x14ac:dyDescent="0.25">
      <c r="A25" s="527"/>
      <c r="B25" s="893"/>
      <c r="C25" s="894" t="str">
        <f t="shared" ref="C25:J25" si="7">IF($A$21=TRUE,I48,"")</f>
        <v>2004/5</v>
      </c>
      <c r="D25" s="894" t="str">
        <f t="shared" si="7"/>
        <v>2005/6</v>
      </c>
      <c r="E25" s="894" t="str">
        <f t="shared" si="7"/>
        <v>2006/7</v>
      </c>
      <c r="F25" s="894" t="str">
        <f t="shared" si="7"/>
        <v>2007/8</v>
      </c>
      <c r="G25" s="894" t="str">
        <f t="shared" si="7"/>
        <v>2008/9</v>
      </c>
      <c r="H25" s="894" t="str">
        <f t="shared" si="7"/>
        <v>2009/10</v>
      </c>
      <c r="I25" s="894" t="str">
        <f t="shared" si="7"/>
        <v>2010/11</v>
      </c>
      <c r="J25" s="894" t="str">
        <f t="shared" si="7"/>
        <v>2011/12</v>
      </c>
      <c r="K25" s="526"/>
      <c r="L25" s="376"/>
    </row>
    <row r="26" spans="1:17" ht="18" customHeight="1" x14ac:dyDescent="0.25">
      <c r="A26" s="526"/>
      <c r="B26" s="894" t="str">
        <f t="shared" ref="B26:B43" si="8">IF($A$21=TRUE,B50,"")</f>
        <v>Current expenditure*</v>
      </c>
      <c r="C26" s="895"/>
      <c r="D26" s="895"/>
      <c r="E26" s="895"/>
      <c r="F26" s="895"/>
      <c r="G26" s="895"/>
      <c r="H26" s="895"/>
      <c r="I26" s="895"/>
      <c r="J26" s="895"/>
      <c r="K26" s="561"/>
      <c r="L26" s="376"/>
    </row>
    <row r="27" spans="1:17" ht="18" customHeight="1" x14ac:dyDescent="0.25">
      <c r="A27" s="526"/>
      <c r="B27" s="895" t="str">
        <f t="shared" si="8"/>
        <v>NHS staff</v>
      </c>
      <c r="C27" s="895">
        <f t="shared" ref="C27:J34" si="9">IF($A$21=TRUE,I50,"")</f>
        <v>31334252.480110005</v>
      </c>
      <c r="D27" s="895">
        <f t="shared" si="9"/>
        <v>33926746.314999998</v>
      </c>
      <c r="E27" s="895">
        <f t="shared" si="9"/>
        <v>35177509.125</v>
      </c>
      <c r="F27" s="895">
        <f t="shared" si="9"/>
        <v>36539983.701629996</v>
      </c>
      <c r="G27" s="895">
        <f t="shared" si="9"/>
        <v>39213453.649081036</v>
      </c>
      <c r="H27" s="895">
        <f t="shared" si="9"/>
        <v>42145100.102129996</v>
      </c>
      <c r="I27" s="895">
        <f t="shared" si="9"/>
        <v>43513839</v>
      </c>
      <c r="J27" s="895">
        <f t="shared" si="9"/>
        <v>43513839</v>
      </c>
      <c r="K27" s="561"/>
      <c r="L27" s="376"/>
    </row>
    <row r="28" spans="1:17" ht="18" customHeight="1" x14ac:dyDescent="0.25">
      <c r="A28" s="526"/>
      <c r="B28" s="893" t="str">
        <f t="shared" si="8"/>
        <v>Agency staff</v>
      </c>
      <c r="C28" s="895">
        <f t="shared" si="9"/>
        <v>1557282.4487299998</v>
      </c>
      <c r="D28" s="895">
        <f t="shared" si="9"/>
        <v>1459935.5</v>
      </c>
      <c r="E28" s="895">
        <f t="shared" si="9"/>
        <v>1185244</v>
      </c>
      <c r="F28" s="895">
        <f t="shared" si="9"/>
        <v>1354520.29837</v>
      </c>
      <c r="G28" s="895">
        <f t="shared" si="9"/>
        <v>1895451.8837600001</v>
      </c>
      <c r="H28" s="895">
        <f t="shared" si="9"/>
        <v>2195295.3909299998</v>
      </c>
      <c r="I28" s="895">
        <f t="shared" si="9"/>
        <v>2127889</v>
      </c>
      <c r="J28" s="895">
        <f t="shared" si="9"/>
        <v>2127889</v>
      </c>
      <c r="K28" s="523"/>
    </row>
    <row r="29" spans="1:17" ht="18" customHeight="1" x14ac:dyDescent="0.25">
      <c r="A29" s="533"/>
      <c r="B29" s="893" t="str">
        <f t="shared" si="8"/>
        <v>Intermediates (RC)</v>
      </c>
      <c r="C29" s="895">
        <f t="shared" si="9"/>
        <v>8757990</v>
      </c>
      <c r="D29" s="895">
        <f t="shared" si="9"/>
        <v>10271344</v>
      </c>
      <c r="E29" s="895">
        <f t="shared" si="9"/>
        <v>11378727</v>
      </c>
      <c r="F29" s="895">
        <f t="shared" si="9"/>
        <v>13036200</v>
      </c>
      <c r="G29" s="895">
        <f t="shared" si="9"/>
        <v>13991803</v>
      </c>
      <c r="H29" s="895">
        <f t="shared" si="9"/>
        <v>14911074</v>
      </c>
      <c r="I29" s="895">
        <f t="shared" si="9"/>
        <v>16077609</v>
      </c>
      <c r="J29" s="895">
        <f t="shared" si="9"/>
        <v>16077609</v>
      </c>
      <c r="K29" s="523"/>
    </row>
    <row r="30" spans="1:17" ht="18" customHeight="1" x14ac:dyDescent="0.25">
      <c r="A30" s="896"/>
      <c r="B30" s="893" t="str">
        <f t="shared" si="8"/>
        <v>Capital</v>
      </c>
      <c r="C30" s="895">
        <f t="shared" si="9"/>
        <v>5115514.2809764491</v>
      </c>
      <c r="D30" s="895">
        <f t="shared" si="9"/>
        <v>5839664.3710000003</v>
      </c>
      <c r="E30" s="895">
        <f t="shared" si="9"/>
        <v>6568362.6799999997</v>
      </c>
      <c r="F30" s="895">
        <f t="shared" si="9"/>
        <v>7784592.0729</v>
      </c>
      <c r="G30" s="895">
        <f t="shared" si="9"/>
        <v>7426030.9178999998</v>
      </c>
      <c r="H30" s="895">
        <f t="shared" si="9"/>
        <v>7635390.1285600001</v>
      </c>
      <c r="I30" s="895">
        <f t="shared" si="9"/>
        <v>8025361</v>
      </c>
      <c r="J30" s="895">
        <f t="shared" si="9"/>
        <v>8025361</v>
      </c>
      <c r="K30" s="523"/>
    </row>
    <row r="31" spans="1:17" ht="18" customHeight="1" x14ac:dyDescent="0.25">
      <c r="A31" s="657"/>
      <c r="B31" s="893" t="str">
        <f t="shared" si="8"/>
        <v>Prescribing</v>
      </c>
      <c r="C31" s="895">
        <f t="shared" si="9"/>
        <v>8094174.9440000001</v>
      </c>
      <c r="D31" s="895">
        <f t="shared" si="9"/>
        <v>8013483.2259999998</v>
      </c>
      <c r="E31" s="895">
        <f t="shared" si="9"/>
        <v>8250323.8930000002</v>
      </c>
      <c r="F31" s="895">
        <f t="shared" si="9"/>
        <v>8303500.9179999996</v>
      </c>
      <c r="G31" s="895">
        <f t="shared" si="9"/>
        <v>8376264.432</v>
      </c>
      <c r="H31" s="895">
        <f t="shared" si="9"/>
        <v>8621421.1300000008</v>
      </c>
      <c r="I31" s="895">
        <f t="shared" si="9"/>
        <v>8880735.3440000005</v>
      </c>
      <c r="J31" s="895">
        <f t="shared" si="9"/>
        <v>8880735.3440000005</v>
      </c>
      <c r="K31" s="523"/>
    </row>
    <row r="32" spans="1:17" ht="18" customHeight="1" x14ac:dyDescent="0.25">
      <c r="A32" s="657"/>
      <c r="B32" s="893" t="str">
        <f t="shared" si="8"/>
        <v>Primary Care</v>
      </c>
      <c r="C32" s="895">
        <f t="shared" si="9"/>
        <v>9569836</v>
      </c>
      <c r="D32" s="895">
        <f t="shared" si="9"/>
        <v>11162141</v>
      </c>
      <c r="E32" s="895">
        <f t="shared" si="9"/>
        <v>11209422</v>
      </c>
      <c r="F32" s="895">
        <f t="shared" si="9"/>
        <v>11697639</v>
      </c>
      <c r="G32" s="895">
        <f t="shared" si="9"/>
        <v>12074672</v>
      </c>
      <c r="H32" s="895">
        <f t="shared" si="9"/>
        <v>12683418</v>
      </c>
      <c r="I32" s="895">
        <f t="shared" si="9"/>
        <v>12962081</v>
      </c>
      <c r="J32" s="895">
        <f t="shared" si="9"/>
        <v>12902236</v>
      </c>
      <c r="K32" s="523"/>
    </row>
    <row r="33" spans="1:18" ht="18" customHeight="1" x14ac:dyDescent="0.25">
      <c r="A33" s="657"/>
      <c r="B33" s="893" t="str">
        <f t="shared" si="8"/>
        <v>DH Administration</v>
      </c>
      <c r="C33" s="897">
        <f>IF($A$21=TRUE,I56,"")</f>
        <v>278000</v>
      </c>
      <c r="D33" s="897">
        <f t="shared" si="9"/>
        <v>262000</v>
      </c>
      <c r="E33" s="897">
        <f t="shared" si="9"/>
        <v>229000</v>
      </c>
      <c r="F33" s="897">
        <f t="shared" si="9"/>
        <v>226000</v>
      </c>
      <c r="G33" s="897">
        <f t="shared" si="9"/>
        <v>242958</v>
      </c>
      <c r="H33" s="897">
        <f t="shared" si="9"/>
        <v>241608</v>
      </c>
      <c r="I33" s="897">
        <f t="shared" si="9"/>
        <v>212245</v>
      </c>
      <c r="J33" s="897">
        <f t="shared" si="9"/>
        <v>212245</v>
      </c>
      <c r="K33" s="523"/>
    </row>
    <row r="34" spans="1:18" ht="18" customHeight="1" x14ac:dyDescent="0.25">
      <c r="A34" s="657"/>
      <c r="B34" s="894" t="str">
        <f t="shared" si="8"/>
        <v xml:space="preserve">Total </v>
      </c>
      <c r="C34" s="897">
        <f>IF($A$21=TRUE,I57,"")</f>
        <v>64707050.153816454</v>
      </c>
      <c r="D34" s="897">
        <f t="shared" si="9"/>
        <v>70935314.412</v>
      </c>
      <c r="E34" s="897">
        <f t="shared" si="9"/>
        <v>73998588.697999999</v>
      </c>
      <c r="F34" s="897">
        <f t="shared" si="9"/>
        <v>78942435.990899995</v>
      </c>
      <c r="G34" s="897">
        <f t="shared" si="9"/>
        <v>83220633.882741034</v>
      </c>
      <c r="H34" s="897">
        <f t="shared" si="9"/>
        <v>88433306.751619995</v>
      </c>
      <c r="I34" s="897">
        <f t="shared" si="9"/>
        <v>91799759.343999997</v>
      </c>
      <c r="J34" s="897">
        <f t="shared" si="9"/>
        <v>91739914.343999997</v>
      </c>
      <c r="K34" s="523"/>
    </row>
    <row r="35" spans="1:18" ht="18" customHeight="1" x14ac:dyDescent="0.25">
      <c r="A35" s="657"/>
      <c r="B35" s="893"/>
      <c r="C35" s="895"/>
      <c r="D35" s="895"/>
      <c r="E35" s="895"/>
      <c r="F35" s="895"/>
      <c r="G35" s="895"/>
      <c r="H35" s="895"/>
      <c r="I35" s="895"/>
      <c r="J35" s="895"/>
      <c r="K35" s="523"/>
    </row>
    <row r="36" spans="1:18" ht="18" customHeight="1" x14ac:dyDescent="0.25">
      <c r="A36" s="657"/>
      <c r="B36" s="894" t="str">
        <f t="shared" si="8"/>
        <v>Constant expenditure*</v>
      </c>
      <c r="C36" s="895">
        <f t="shared" ref="C36:J43" si="10">IF($A$21=TRUE,I59,"")</f>
        <v>0</v>
      </c>
      <c r="D36" s="895">
        <f t="shared" si="10"/>
        <v>0</v>
      </c>
      <c r="E36" s="895">
        <f t="shared" si="10"/>
        <v>0</v>
      </c>
      <c r="F36" s="895">
        <f t="shared" si="10"/>
        <v>0</v>
      </c>
      <c r="G36" s="895">
        <f t="shared" si="10"/>
        <v>0</v>
      </c>
      <c r="H36" s="895">
        <f t="shared" si="10"/>
        <v>0</v>
      </c>
      <c r="I36" s="895">
        <f t="shared" si="10"/>
        <v>0</v>
      </c>
      <c r="J36" s="895">
        <f t="shared" si="10"/>
        <v>0</v>
      </c>
      <c r="K36" s="523"/>
    </row>
    <row r="37" spans="1:18" ht="18" customHeight="1" x14ac:dyDescent="0.25">
      <c r="A37" s="898"/>
      <c r="B37" s="893" t="str">
        <f t="shared" si="8"/>
        <v>NHS staff</v>
      </c>
      <c r="C37" s="895">
        <f t="shared" si="10"/>
        <v>38212088</v>
      </c>
      <c r="D37" s="895">
        <f t="shared" si="10"/>
        <v>39516362</v>
      </c>
      <c r="E37" s="895">
        <f t="shared" si="10"/>
        <v>39359457</v>
      </c>
      <c r="F37" s="895">
        <f t="shared" si="10"/>
        <v>39525586</v>
      </c>
      <c r="G37" s="895">
        <f t="shared" si="10"/>
        <v>41200614</v>
      </c>
      <c r="H37" s="895">
        <f t="shared" si="10"/>
        <v>43406879</v>
      </c>
      <c r="I37" s="895">
        <f t="shared" si="10"/>
        <v>43513839</v>
      </c>
      <c r="J37" s="895">
        <f t="shared" si="10"/>
        <v>43513839</v>
      </c>
      <c r="K37" s="523"/>
    </row>
    <row r="38" spans="1:18" ht="18" customHeight="1" x14ac:dyDescent="0.25">
      <c r="A38" s="898"/>
      <c r="B38" s="893" t="str">
        <f t="shared" si="8"/>
        <v>Agency staff</v>
      </c>
      <c r="C38" s="895">
        <f t="shared" si="10"/>
        <v>1669078</v>
      </c>
      <c r="D38" s="895">
        <f t="shared" si="10"/>
        <v>1440740</v>
      </c>
      <c r="E38" s="895">
        <f t="shared" si="10"/>
        <v>1089513</v>
      </c>
      <c r="F38" s="895">
        <f t="shared" si="10"/>
        <v>1305572</v>
      </c>
      <c r="G38" s="895">
        <f t="shared" si="10"/>
        <v>1988902</v>
      </c>
      <c r="H38" s="895">
        <f t="shared" si="10"/>
        <v>2373791</v>
      </c>
      <c r="I38" s="895">
        <f t="shared" si="10"/>
        <v>2127889</v>
      </c>
      <c r="J38" s="895">
        <f t="shared" si="10"/>
        <v>2127889</v>
      </c>
      <c r="K38" s="523"/>
    </row>
    <row r="39" spans="1:18" ht="18" customHeight="1" x14ac:dyDescent="0.25">
      <c r="A39" s="898"/>
      <c r="B39" s="893" t="str">
        <f t="shared" si="8"/>
        <v>Intermediates (RC)</v>
      </c>
      <c r="C39" s="895">
        <f t="shared" si="10"/>
        <v>12585219</v>
      </c>
      <c r="D39" s="895">
        <f t="shared" si="10"/>
        <v>15063465</v>
      </c>
      <c r="E39" s="895">
        <f t="shared" si="10"/>
        <v>16481702</v>
      </c>
      <c r="F39" s="895">
        <f t="shared" si="10"/>
        <v>19256774</v>
      </c>
      <c r="G39" s="895">
        <f t="shared" si="10"/>
        <v>20421390</v>
      </c>
      <c r="H39" s="895">
        <f t="shared" si="10"/>
        <v>22731361</v>
      </c>
      <c r="I39" s="895">
        <f t="shared" si="10"/>
        <v>23931309</v>
      </c>
      <c r="J39" s="895">
        <f t="shared" si="10"/>
        <v>23931309</v>
      </c>
      <c r="K39" s="523"/>
    </row>
    <row r="40" spans="1:18" ht="18" customHeight="1" x14ac:dyDescent="0.25">
      <c r="A40" s="898"/>
      <c r="B40" s="893" t="str">
        <f t="shared" si="8"/>
        <v>Capital</v>
      </c>
      <c r="C40" s="895">
        <f t="shared" si="10"/>
        <v>8908327</v>
      </c>
      <c r="D40" s="895">
        <f t="shared" si="10"/>
        <v>10650038</v>
      </c>
      <c r="E40" s="895">
        <f t="shared" si="10"/>
        <v>11640863</v>
      </c>
      <c r="F40" s="895">
        <f t="shared" si="10"/>
        <v>13367264.856002657</v>
      </c>
      <c r="G40" s="895">
        <f t="shared" si="10"/>
        <v>14140508.469508</v>
      </c>
      <c r="H40" s="895">
        <f t="shared" si="10"/>
        <v>15427876.675999999</v>
      </c>
      <c r="I40" s="895">
        <f t="shared" si="10"/>
        <v>16077604</v>
      </c>
      <c r="J40" s="895">
        <f t="shared" si="10"/>
        <v>16077604</v>
      </c>
      <c r="K40" s="523"/>
    </row>
    <row r="41" spans="1:18" ht="18" customHeight="1" x14ac:dyDescent="0.25">
      <c r="A41" s="898"/>
      <c r="B41" s="893" t="str">
        <f t="shared" si="8"/>
        <v>Prescribing</v>
      </c>
      <c r="C41" s="895">
        <f t="shared" si="10"/>
        <v>3308036</v>
      </c>
      <c r="D41" s="895">
        <f t="shared" si="10"/>
        <v>3578676</v>
      </c>
      <c r="E41" s="895">
        <f t="shared" si="10"/>
        <v>4190683</v>
      </c>
      <c r="F41" s="895">
        <f t="shared" si="10"/>
        <v>4292293</v>
      </c>
      <c r="G41" s="895">
        <f t="shared" si="10"/>
        <v>3994568</v>
      </c>
      <c r="H41" s="895">
        <f t="shared" si="10"/>
        <v>3958031</v>
      </c>
      <c r="I41" s="895">
        <f t="shared" si="10"/>
        <v>3893374</v>
      </c>
      <c r="J41" s="895">
        <f t="shared" si="10"/>
        <v>3893374</v>
      </c>
      <c r="K41" s="523"/>
    </row>
    <row r="42" spans="1:18" ht="18" customHeight="1" x14ac:dyDescent="0.3">
      <c r="A42" s="657"/>
      <c r="B42" s="893" t="str">
        <f t="shared" si="8"/>
        <v>Primary Care</v>
      </c>
      <c r="C42" s="895">
        <f t="shared" si="10"/>
        <v>5931102.0326811802</v>
      </c>
      <c r="D42" s="895">
        <f t="shared" si="10"/>
        <v>6514497.3790748697</v>
      </c>
      <c r="E42" s="895">
        <f t="shared" si="10"/>
        <v>6944132.5587071804</v>
      </c>
      <c r="F42" s="895">
        <f t="shared" si="10"/>
        <v>7454440.1813448202</v>
      </c>
      <c r="G42" s="895">
        <f t="shared" si="10"/>
        <v>7927564.2930153301</v>
      </c>
      <c r="H42" s="895">
        <f t="shared" si="10"/>
        <v>8477306.9124877099</v>
      </c>
      <c r="I42" s="895">
        <f t="shared" si="10"/>
        <v>8880735.3440000005</v>
      </c>
      <c r="J42" s="895">
        <f t="shared" si="10"/>
        <v>8880735.3440000005</v>
      </c>
      <c r="K42" s="524"/>
    </row>
    <row r="43" spans="1:18" ht="18" customHeight="1" x14ac:dyDescent="0.3">
      <c r="A43" s="526"/>
      <c r="B43" s="893" t="str">
        <f t="shared" si="8"/>
        <v>DH Administration</v>
      </c>
      <c r="C43" s="897">
        <f t="shared" si="10"/>
        <v>11670404.906738559</v>
      </c>
      <c r="D43" s="897">
        <f t="shared" si="10"/>
        <v>13001164.445567448</v>
      </c>
      <c r="E43" s="897">
        <f t="shared" si="10"/>
        <v>12542012.72574419</v>
      </c>
      <c r="F43" s="897">
        <f t="shared" si="10"/>
        <v>12645671.111368861</v>
      </c>
      <c r="G43" s="897">
        <f t="shared" si="10"/>
        <v>12673068.453165414</v>
      </c>
      <c r="H43" s="897">
        <f t="shared" si="10"/>
        <v>13076603.958000001</v>
      </c>
      <c r="I43" s="897">
        <f t="shared" si="10"/>
        <v>12962081</v>
      </c>
      <c r="J43" s="897">
        <f t="shared" si="10"/>
        <v>12962081</v>
      </c>
      <c r="K43" s="1013"/>
      <c r="L43" s="376"/>
      <c r="M43" s="376"/>
      <c r="N43" s="376"/>
      <c r="O43" s="376"/>
    </row>
    <row r="44" spans="1:18" ht="18" customHeight="1" x14ac:dyDescent="0.3">
      <c r="A44" s="526"/>
      <c r="B44" s="522"/>
      <c r="C44" s="897"/>
      <c r="D44" s="526"/>
      <c r="E44" s="526"/>
      <c r="F44" s="526"/>
      <c r="G44" s="526"/>
      <c r="H44" s="526"/>
      <c r="I44" s="526"/>
      <c r="J44" s="526"/>
      <c r="K44" s="1013"/>
      <c r="L44" s="376"/>
      <c r="M44" s="376"/>
      <c r="N44" s="376"/>
      <c r="O44" s="376"/>
    </row>
    <row r="45" spans="1:18" ht="18" customHeight="1" x14ac:dyDescent="0.3">
      <c r="A45" s="378"/>
      <c r="B45" s="378"/>
      <c r="C45" s="378"/>
      <c r="D45" s="378"/>
      <c r="E45" s="378"/>
      <c r="F45" s="378"/>
      <c r="G45" s="378"/>
      <c r="H45" s="378"/>
      <c r="I45" s="378"/>
      <c r="J45" s="378"/>
      <c r="K45" s="378"/>
      <c r="L45" s="378"/>
      <c r="M45" s="378"/>
      <c r="N45" s="378"/>
      <c r="O45" s="378"/>
      <c r="P45" s="378"/>
      <c r="Q45" s="1012"/>
    </row>
    <row r="46" spans="1:18" ht="18" customHeight="1" x14ac:dyDescent="0.3">
      <c r="A46" s="396"/>
      <c r="B46" s="396"/>
      <c r="C46" s="396"/>
      <c r="D46" s="396"/>
      <c r="E46" s="396"/>
      <c r="F46" s="396"/>
      <c r="G46" s="396"/>
      <c r="H46" s="396"/>
      <c r="I46" s="396"/>
      <c r="J46" s="396"/>
      <c r="K46" s="396"/>
      <c r="L46" s="396"/>
      <c r="M46" s="396"/>
      <c r="N46" s="396"/>
      <c r="O46" s="396"/>
      <c r="P46" s="396"/>
      <c r="Q46" s="573"/>
      <c r="R46" s="396"/>
    </row>
    <row r="47" spans="1:18" ht="18" customHeight="1" x14ac:dyDescent="0.3">
      <c r="A47" s="567"/>
      <c r="B47" s="396"/>
      <c r="C47" s="396"/>
      <c r="D47" s="396"/>
      <c r="E47" s="396"/>
      <c r="F47" s="396"/>
      <c r="G47" s="396"/>
      <c r="H47" s="396"/>
      <c r="I47" s="606">
        <v>2004</v>
      </c>
      <c r="J47" s="396">
        <v>2005</v>
      </c>
      <c r="K47" s="396">
        <v>2006</v>
      </c>
      <c r="L47" s="396">
        <v>2007</v>
      </c>
      <c r="M47" s="396">
        <v>2008</v>
      </c>
      <c r="N47" s="396">
        <v>2009</v>
      </c>
      <c r="O47" s="396">
        <v>2010</v>
      </c>
      <c r="P47" s="396">
        <v>2011</v>
      </c>
      <c r="Q47" s="573"/>
      <c r="R47" s="396"/>
    </row>
    <row r="48" spans="1:18" ht="18" customHeight="1" x14ac:dyDescent="0.3">
      <c r="A48" s="567"/>
      <c r="B48" s="607"/>
      <c r="C48" s="608"/>
      <c r="D48" s="608"/>
      <c r="E48" s="607"/>
      <c r="F48" s="607"/>
      <c r="G48" s="607"/>
      <c r="H48" s="607"/>
      <c r="I48" s="609" t="s">
        <v>192</v>
      </c>
      <c r="J48" s="609" t="s">
        <v>193</v>
      </c>
      <c r="K48" s="609" t="s">
        <v>194</v>
      </c>
      <c r="L48" s="609" t="s">
        <v>195</v>
      </c>
      <c r="M48" s="574" t="s">
        <v>196</v>
      </c>
      <c r="N48" s="574" t="s">
        <v>6</v>
      </c>
      <c r="O48" s="575" t="s">
        <v>7</v>
      </c>
      <c r="P48" s="576" t="s">
        <v>489</v>
      </c>
      <c r="Q48" s="573"/>
      <c r="R48" s="396"/>
    </row>
    <row r="49" spans="1:18" ht="18" customHeight="1" x14ac:dyDescent="0.25">
      <c r="A49" s="567"/>
      <c r="B49" s="610"/>
      <c r="C49" s="609" t="s">
        <v>68</v>
      </c>
      <c r="D49" s="609" t="s">
        <v>69</v>
      </c>
      <c r="E49" s="609" t="s">
        <v>70</v>
      </c>
      <c r="F49" s="609" t="s">
        <v>71</v>
      </c>
      <c r="G49" s="574" t="s">
        <v>72</v>
      </c>
      <c r="H49" s="574" t="s">
        <v>73</v>
      </c>
      <c r="I49" s="611"/>
      <c r="J49" s="611"/>
      <c r="K49" s="611"/>
      <c r="L49" s="611"/>
      <c r="M49" s="577"/>
      <c r="N49" s="577"/>
      <c r="O49" s="578"/>
      <c r="P49" s="578"/>
      <c r="Q49" s="396"/>
      <c r="R49" s="396"/>
    </row>
    <row r="50" spans="1:18" x14ac:dyDescent="0.25">
      <c r="A50" s="567"/>
      <c r="B50" s="1075" t="s">
        <v>392</v>
      </c>
      <c r="C50" s="611"/>
      <c r="D50" s="611"/>
      <c r="E50" s="611"/>
      <c r="F50" s="611"/>
      <c r="G50" s="577"/>
      <c r="H50" s="577"/>
      <c r="I50" s="579">
        <f>'Inputs index (2)'!I14</f>
        <v>31334252.480110005</v>
      </c>
      <c r="J50" s="579">
        <f>'Inputs index (2)'!J14</f>
        <v>33926746.314999998</v>
      </c>
      <c r="K50" s="579">
        <f>'Inputs index (2)'!K14</f>
        <v>35177509.125</v>
      </c>
      <c r="L50" s="579">
        <f>'Inputs index (2)'!L14</f>
        <v>36539983.701629996</v>
      </c>
      <c r="M50" s="579">
        <f>'Inputs index (2)'!M14</f>
        <v>39213453.649081036</v>
      </c>
      <c r="N50" s="579">
        <f>'Inputs index (2)'!N14</f>
        <v>42145100.102129996</v>
      </c>
      <c r="O50" s="579">
        <f>'Inputs index (2)'!O14</f>
        <v>43513839</v>
      </c>
      <c r="P50" s="579">
        <f>'Inputs index (2)'!P14</f>
        <v>43513839</v>
      </c>
      <c r="Q50" s="396"/>
      <c r="R50" s="396"/>
    </row>
    <row r="51" spans="1:18" x14ac:dyDescent="0.25">
      <c r="A51" s="567"/>
      <c r="B51" s="613" t="s">
        <v>215</v>
      </c>
      <c r="C51" s="579"/>
      <c r="D51" s="579"/>
      <c r="E51" s="579"/>
      <c r="F51" s="579"/>
      <c r="G51" s="614"/>
      <c r="H51" s="614"/>
      <c r="I51" s="579">
        <f>'Inputs index (2)'!I15</f>
        <v>1557282.4487299998</v>
      </c>
      <c r="J51" s="579">
        <f>'Inputs index (2)'!J15</f>
        <v>1459935.5</v>
      </c>
      <c r="K51" s="579">
        <f>'Inputs index (2)'!K15</f>
        <v>1185244</v>
      </c>
      <c r="L51" s="579">
        <f>'Inputs index (2)'!L15</f>
        <v>1354520.29837</v>
      </c>
      <c r="M51" s="579">
        <f>'Inputs index (2)'!M15</f>
        <v>1895451.8837600001</v>
      </c>
      <c r="N51" s="579">
        <f>'Inputs index (2)'!N15</f>
        <v>2195295.3909299998</v>
      </c>
      <c r="O51" s="579">
        <f>'Inputs index (2)'!O15</f>
        <v>2127889</v>
      </c>
      <c r="P51" s="579">
        <f>'Inputs index (2)'!P15</f>
        <v>2127889</v>
      </c>
      <c r="Q51" s="396"/>
      <c r="R51" s="396"/>
    </row>
    <row r="52" spans="1:18" x14ac:dyDescent="0.25">
      <c r="A52" s="567"/>
      <c r="B52" s="613" t="s">
        <v>216</v>
      </c>
      <c r="C52" s="579"/>
      <c r="D52" s="579"/>
      <c r="E52" s="579"/>
      <c r="F52" s="579"/>
      <c r="G52" s="614"/>
      <c r="H52" s="614"/>
      <c r="I52" s="579">
        <f>IF(A4=1,'Inputs index (2)'!I16,'Inputs index (2)'!I17)</f>
        <v>8757990</v>
      </c>
      <c r="J52" s="579">
        <f>IF(B4=1,'Inputs index (2)'!J16,'Inputs index (2)'!J17)</f>
        <v>10271344</v>
      </c>
      <c r="K52" s="579">
        <f>IF(C4=1,'Inputs index (2)'!K16,'Inputs index (2)'!K17)</f>
        <v>11378727</v>
      </c>
      <c r="L52" s="579">
        <f>IF(D4=1,'Inputs index (2)'!L16,'Inputs index (2)'!L17)</f>
        <v>13036200</v>
      </c>
      <c r="M52" s="579">
        <f>IF(E4=1,'Inputs index (2)'!M16,'Inputs index (2)'!M17)</f>
        <v>13991803</v>
      </c>
      <c r="N52" s="579">
        <f>IF(F4=1,'Inputs index (2)'!N16,'Inputs index (2)'!N17)</f>
        <v>14911074</v>
      </c>
      <c r="O52" s="579">
        <f>IF(G4=1,'Inputs index (2)'!O16,'Inputs index (2)'!O17)</f>
        <v>16077609</v>
      </c>
      <c r="P52" s="579">
        <f>IF(H4=1,'Inputs index (2)'!P16,'Inputs index (2)'!P17)</f>
        <v>16077609</v>
      </c>
      <c r="Q52" s="396"/>
      <c r="R52" s="396"/>
    </row>
    <row r="53" spans="1:18" x14ac:dyDescent="0.25">
      <c r="A53" s="567"/>
      <c r="B53" s="613" t="str">
        <f>IF($A$7=1, 'Inputs index (2)'!B16,'Inputs index (2)'!B17)</f>
        <v>Intermediates (RC)</v>
      </c>
      <c r="C53" s="614"/>
      <c r="D53" s="614"/>
      <c r="E53" s="614"/>
      <c r="F53" s="614"/>
      <c r="G53" s="614"/>
      <c r="H53" s="614"/>
      <c r="I53" s="579">
        <f>'Inputs index (2)'!I18</f>
        <v>5115514.2809764491</v>
      </c>
      <c r="J53" s="579">
        <f>'Inputs index (2)'!J18</f>
        <v>5839664.3710000003</v>
      </c>
      <c r="K53" s="579">
        <f>'Inputs index (2)'!K18</f>
        <v>6568362.6799999997</v>
      </c>
      <c r="L53" s="579">
        <f>'Inputs index (2)'!L18</f>
        <v>7784592.0729</v>
      </c>
      <c r="M53" s="579">
        <f>'Inputs index (2)'!M18</f>
        <v>7426030.9178999998</v>
      </c>
      <c r="N53" s="579">
        <f>'Inputs index (2)'!N18</f>
        <v>7635390.1285600001</v>
      </c>
      <c r="O53" s="579">
        <f>'Inputs index (2)'!O18</f>
        <v>8025361</v>
      </c>
      <c r="P53" s="579">
        <f>'Inputs index (2)'!P18</f>
        <v>8025361</v>
      </c>
      <c r="Q53" s="396"/>
      <c r="R53" s="396"/>
    </row>
    <row r="54" spans="1:18" x14ac:dyDescent="0.25">
      <c r="A54" s="567"/>
      <c r="B54" s="613" t="s">
        <v>47</v>
      </c>
      <c r="C54" s="579"/>
      <c r="D54" s="579"/>
      <c r="E54" s="579"/>
      <c r="F54" s="579"/>
      <c r="G54" s="614"/>
      <c r="H54" s="614"/>
      <c r="I54" s="579">
        <f>'Inputs index (2)'!I19</f>
        <v>8094174.9440000001</v>
      </c>
      <c r="J54" s="579">
        <f>'Inputs index (2)'!J19</f>
        <v>8013483.2259999998</v>
      </c>
      <c r="K54" s="579">
        <f>'Inputs index (2)'!K19</f>
        <v>8250323.8930000002</v>
      </c>
      <c r="L54" s="579">
        <f>'Inputs index (2)'!L19</f>
        <v>8303500.9179999996</v>
      </c>
      <c r="M54" s="579">
        <f>'Inputs index (2)'!M19</f>
        <v>8376264.432</v>
      </c>
      <c r="N54" s="579">
        <f>'Inputs index (2)'!N19</f>
        <v>8621421.1300000008</v>
      </c>
      <c r="O54" s="579">
        <f>'Inputs index (2)'!O19</f>
        <v>8880735.3440000005</v>
      </c>
      <c r="P54" s="579">
        <f>'Inputs index (2)'!P19</f>
        <v>8880735.3440000005</v>
      </c>
      <c r="Q54" s="396"/>
      <c r="R54" s="396"/>
    </row>
    <row r="55" spans="1:18" x14ac:dyDescent="0.25">
      <c r="A55" s="567"/>
      <c r="B55" s="613" t="s">
        <v>136</v>
      </c>
      <c r="C55" s="579"/>
      <c r="D55" s="579"/>
      <c r="E55" s="579"/>
      <c r="F55" s="579"/>
      <c r="G55" s="614"/>
      <c r="H55" s="614"/>
      <c r="I55" s="579">
        <f>'Inputs index (2)'!I20</f>
        <v>9569836</v>
      </c>
      <c r="J55" s="579">
        <f>'Inputs index (2)'!J20</f>
        <v>11162141</v>
      </c>
      <c r="K55" s="579">
        <f>'Inputs index (2)'!K20</f>
        <v>11209422</v>
      </c>
      <c r="L55" s="579">
        <f>'Inputs index (2)'!L20</f>
        <v>11697639</v>
      </c>
      <c r="M55" s="579">
        <f>'Inputs index (2)'!M20</f>
        <v>12074672</v>
      </c>
      <c r="N55" s="579">
        <f>'Inputs index (2)'!N20</f>
        <v>12683418</v>
      </c>
      <c r="O55" s="579">
        <f>'Inputs index (2)'!O20</f>
        <v>12962081</v>
      </c>
      <c r="P55" s="579">
        <f>'Inputs index (2)'!P20</f>
        <v>12902236</v>
      </c>
      <c r="Q55" s="396"/>
      <c r="R55" s="396"/>
    </row>
    <row r="56" spans="1:18" x14ac:dyDescent="0.25">
      <c r="A56" s="396"/>
      <c r="B56" s="613" t="s">
        <v>218</v>
      </c>
      <c r="C56" s="579"/>
      <c r="D56" s="579"/>
      <c r="E56" s="615"/>
      <c r="F56" s="615"/>
      <c r="G56" s="615"/>
      <c r="H56" s="615"/>
      <c r="I56" s="579">
        <f>'Inputs index (2)'!I21</f>
        <v>278000</v>
      </c>
      <c r="J56" s="579">
        <f>'Inputs index (2)'!J21</f>
        <v>262000</v>
      </c>
      <c r="K56" s="579">
        <f>'Inputs index (2)'!K21</f>
        <v>229000</v>
      </c>
      <c r="L56" s="579">
        <f>'Inputs index (2)'!L21</f>
        <v>226000</v>
      </c>
      <c r="M56" s="579">
        <f>'Inputs index (2)'!M21</f>
        <v>242958</v>
      </c>
      <c r="N56" s="579">
        <f>'Inputs index (2)'!N21</f>
        <v>241608</v>
      </c>
      <c r="O56" s="579">
        <f>'Inputs index (2)'!O21</f>
        <v>212245</v>
      </c>
      <c r="P56" s="579">
        <f>'Inputs index (2)'!P21</f>
        <v>212245</v>
      </c>
      <c r="Q56" s="396"/>
      <c r="R56" s="396"/>
    </row>
    <row r="57" spans="1:18" x14ac:dyDescent="0.25">
      <c r="A57" s="396"/>
      <c r="B57" s="613" t="s">
        <v>378</v>
      </c>
      <c r="C57" s="579"/>
      <c r="D57" s="579"/>
      <c r="E57" s="615"/>
      <c r="F57" s="615"/>
      <c r="G57" s="615"/>
      <c r="H57" s="615"/>
      <c r="I57" s="579">
        <f>SUM(I50:I56)</f>
        <v>64707050.153816454</v>
      </c>
      <c r="J57" s="579">
        <f t="shared" ref="J57:P57" si="11">SUM(J50:J56)</f>
        <v>70935314.412</v>
      </c>
      <c r="K57" s="579">
        <f t="shared" si="11"/>
        <v>73998588.697999999</v>
      </c>
      <c r="L57" s="579">
        <f t="shared" si="11"/>
        <v>78942435.990899995</v>
      </c>
      <c r="M57" s="579">
        <f t="shared" si="11"/>
        <v>83220633.882741034</v>
      </c>
      <c r="N57" s="579">
        <f t="shared" si="11"/>
        <v>88433306.751619995</v>
      </c>
      <c r="O57" s="579">
        <f t="shared" si="11"/>
        <v>91799759.343999997</v>
      </c>
      <c r="P57" s="579">
        <f t="shared" si="11"/>
        <v>91739914.343999997</v>
      </c>
      <c r="Q57" s="396"/>
      <c r="R57" s="396"/>
    </row>
    <row r="58" spans="1:18" x14ac:dyDescent="0.25">
      <c r="A58" s="396"/>
      <c r="B58" s="613" t="s">
        <v>220</v>
      </c>
      <c r="C58" s="1076"/>
      <c r="D58" s="1076"/>
      <c r="E58" s="1076"/>
      <c r="F58" s="1076"/>
      <c r="G58" s="1076"/>
      <c r="H58" s="1076"/>
      <c r="I58" s="579">
        <f>'Inputs index (2)'!I23</f>
        <v>0</v>
      </c>
      <c r="J58" s="579">
        <f>'Inputs index (2)'!J23</f>
        <v>0</v>
      </c>
      <c r="K58" s="579">
        <f>'Inputs index (2)'!K23</f>
        <v>0</v>
      </c>
      <c r="L58" s="579">
        <f>'Inputs index (2)'!L23</f>
        <v>0</v>
      </c>
      <c r="M58" s="579">
        <f>'Inputs index (2)'!M23</f>
        <v>0</v>
      </c>
      <c r="N58" s="579">
        <f>'Inputs index (2)'!N23</f>
        <v>0</v>
      </c>
      <c r="O58" s="579">
        <f>'Inputs index (2)'!O23</f>
        <v>0</v>
      </c>
      <c r="P58" s="579">
        <f>'Inputs index (2)'!P23</f>
        <v>0</v>
      </c>
      <c r="Q58" s="396"/>
      <c r="R58" s="396"/>
    </row>
    <row r="59" spans="1:18" x14ac:dyDescent="0.25">
      <c r="A59" s="396"/>
      <c r="B59" s="613"/>
      <c r="C59" s="1076"/>
      <c r="D59" s="1076"/>
      <c r="E59" s="615"/>
      <c r="F59" s="615"/>
      <c r="G59" s="615"/>
      <c r="H59" s="615"/>
      <c r="I59" s="579">
        <f>'Inputs index (2)'!I24</f>
        <v>0</v>
      </c>
      <c r="J59" s="579">
        <f>'Inputs index (2)'!J24</f>
        <v>0</v>
      </c>
      <c r="K59" s="579">
        <f>'Inputs index (2)'!K24</f>
        <v>0</v>
      </c>
      <c r="L59" s="579">
        <f>'Inputs index (2)'!L24</f>
        <v>0</v>
      </c>
      <c r="M59" s="579">
        <f>'Inputs index (2)'!M24</f>
        <v>0</v>
      </c>
      <c r="N59" s="579">
        <f>'Inputs index (2)'!N24</f>
        <v>0</v>
      </c>
      <c r="O59" s="579">
        <f>'Inputs index (2)'!O24</f>
        <v>0</v>
      </c>
      <c r="P59" s="579">
        <f>'Inputs index (2)'!P24</f>
        <v>0</v>
      </c>
      <c r="Q59" s="396"/>
      <c r="R59" s="396"/>
    </row>
    <row r="60" spans="1:18" x14ac:dyDescent="0.25">
      <c r="A60" s="396"/>
      <c r="B60" s="1077" t="s">
        <v>391</v>
      </c>
      <c r="C60" s="1076"/>
      <c r="D60" s="1076"/>
      <c r="E60" s="615"/>
      <c r="F60" s="615"/>
      <c r="G60" s="615"/>
      <c r="H60" s="615"/>
      <c r="I60" s="579">
        <f>'Inputs index (2)'!I25</f>
        <v>38212088</v>
      </c>
      <c r="J60" s="579">
        <f>'Inputs index (2)'!J25</f>
        <v>39516362</v>
      </c>
      <c r="K60" s="579">
        <f>'Inputs index (2)'!K25</f>
        <v>39359457</v>
      </c>
      <c r="L60" s="579">
        <f>'Inputs index (2)'!L25</f>
        <v>39525586</v>
      </c>
      <c r="M60" s="579">
        <f>'Inputs index (2)'!M25</f>
        <v>41200614</v>
      </c>
      <c r="N60" s="579">
        <f>'Inputs index (2)'!N25</f>
        <v>43406879</v>
      </c>
      <c r="O60" s="579">
        <f>'Inputs index (2)'!O25</f>
        <v>43513839</v>
      </c>
      <c r="P60" s="579">
        <f>'Inputs index (2)'!P25</f>
        <v>43513839</v>
      </c>
      <c r="Q60" s="396"/>
      <c r="R60" s="396"/>
    </row>
    <row r="61" spans="1:18" x14ac:dyDescent="0.25">
      <c r="A61" s="396"/>
      <c r="B61" s="618" t="s">
        <v>215</v>
      </c>
      <c r="C61" s="619"/>
      <c r="D61" s="619"/>
      <c r="E61" s="615"/>
      <c r="F61" s="615"/>
      <c r="G61" s="615"/>
      <c r="H61" s="615"/>
      <c r="I61" s="579">
        <f>'Inputs index (2)'!I26</f>
        <v>1669078</v>
      </c>
      <c r="J61" s="579">
        <f>'Inputs index (2)'!J26</f>
        <v>1440740</v>
      </c>
      <c r="K61" s="579">
        <f>'Inputs index (2)'!K26</f>
        <v>1089513</v>
      </c>
      <c r="L61" s="579">
        <f>'Inputs index (2)'!L26</f>
        <v>1305572</v>
      </c>
      <c r="M61" s="579">
        <f>'Inputs index (2)'!M26</f>
        <v>1988902</v>
      </c>
      <c r="N61" s="579">
        <f>'Inputs index (2)'!N26</f>
        <v>2373791</v>
      </c>
      <c r="O61" s="579">
        <f>'Inputs index (2)'!O26</f>
        <v>2127889</v>
      </c>
      <c r="P61" s="579">
        <f>'Inputs index (2)'!P26</f>
        <v>2127889</v>
      </c>
      <c r="Q61" s="396"/>
      <c r="R61" s="396"/>
    </row>
    <row r="62" spans="1:18" x14ac:dyDescent="0.25">
      <c r="A62" s="396"/>
      <c r="B62" s="618" t="s">
        <v>216</v>
      </c>
      <c r="C62" s="619"/>
      <c r="D62" s="619"/>
      <c r="E62" s="619"/>
      <c r="F62" s="619"/>
      <c r="G62" s="619"/>
      <c r="H62" s="619"/>
      <c r="I62" s="579">
        <f>'Inputs index (2)'!I27</f>
        <v>12585219</v>
      </c>
      <c r="J62" s="579">
        <f>'Inputs index (2)'!J27</f>
        <v>15063465</v>
      </c>
      <c r="K62" s="579">
        <f>'Inputs index (2)'!K27</f>
        <v>16481702</v>
      </c>
      <c r="L62" s="579">
        <f>'Inputs index (2)'!L27</f>
        <v>19256774</v>
      </c>
      <c r="M62" s="579">
        <f>'Inputs index (2)'!M27</f>
        <v>20421390</v>
      </c>
      <c r="N62" s="579">
        <f>'Inputs index (2)'!N27</f>
        <v>22731361</v>
      </c>
      <c r="O62" s="579">
        <f>'Inputs index (2)'!O27</f>
        <v>23931309</v>
      </c>
      <c r="P62" s="579">
        <f>'Inputs index (2)'!P27</f>
        <v>23931309</v>
      </c>
      <c r="Q62" s="396"/>
      <c r="R62" s="396"/>
    </row>
    <row r="63" spans="1:18" x14ac:dyDescent="0.25">
      <c r="A63" s="396"/>
      <c r="B63" s="613" t="str">
        <f>IF($A$7=1, 'Inputs index (2)'!B27,'Inputs index (2)'!B28)</f>
        <v>Intermediates (RC)</v>
      </c>
      <c r="C63" s="614"/>
      <c r="D63" s="614"/>
      <c r="E63" s="614"/>
      <c r="F63" s="614"/>
      <c r="G63" s="614"/>
      <c r="H63" s="614"/>
      <c r="I63" s="579">
        <f>'Inputs index (2)'!I28</f>
        <v>8908327</v>
      </c>
      <c r="J63" s="579">
        <f>'Inputs index (2)'!J28</f>
        <v>10650038</v>
      </c>
      <c r="K63" s="579">
        <f>'Inputs index (2)'!K28</f>
        <v>11640863</v>
      </c>
      <c r="L63" s="579">
        <f>'Inputs index (2)'!L28</f>
        <v>13367264.856002657</v>
      </c>
      <c r="M63" s="579">
        <f>'Inputs index (2)'!M28</f>
        <v>14140508.469508</v>
      </c>
      <c r="N63" s="579">
        <f>'Inputs index (2)'!N28</f>
        <v>15427876.675999999</v>
      </c>
      <c r="O63" s="579">
        <f>'Inputs index (2)'!O28</f>
        <v>16077604</v>
      </c>
      <c r="P63" s="579">
        <f>'Inputs index (2)'!P28</f>
        <v>16077604</v>
      </c>
      <c r="Q63" s="396"/>
      <c r="R63" s="396"/>
    </row>
    <row r="64" spans="1:18" x14ac:dyDescent="0.25">
      <c r="A64" s="396"/>
      <c r="B64" s="620" t="s">
        <v>47</v>
      </c>
      <c r="C64" s="619"/>
      <c r="D64" s="619"/>
      <c r="E64" s="619"/>
      <c r="F64" s="619"/>
      <c r="G64" s="619"/>
      <c r="H64" s="619"/>
      <c r="I64" s="579">
        <f>'Inputs index (2)'!I29</f>
        <v>3308036</v>
      </c>
      <c r="J64" s="579">
        <f>'Inputs index (2)'!J29</f>
        <v>3578676</v>
      </c>
      <c r="K64" s="579">
        <f>'Inputs index (2)'!K29</f>
        <v>4190683</v>
      </c>
      <c r="L64" s="579">
        <f>'Inputs index (2)'!L29</f>
        <v>4292293</v>
      </c>
      <c r="M64" s="579">
        <f>'Inputs index (2)'!M29</f>
        <v>3994568</v>
      </c>
      <c r="N64" s="579">
        <f>'Inputs index (2)'!N29</f>
        <v>3958031</v>
      </c>
      <c r="O64" s="579">
        <f>'Inputs index (2)'!O29</f>
        <v>3893374</v>
      </c>
      <c r="P64" s="579">
        <f>'Inputs index (2)'!P29</f>
        <v>3893374</v>
      </c>
      <c r="Q64" s="396"/>
      <c r="R64" s="396"/>
    </row>
    <row r="65" spans="1:18" x14ac:dyDescent="0.25">
      <c r="A65" s="396"/>
      <c r="B65" s="620" t="s">
        <v>136</v>
      </c>
      <c r="C65" s="619"/>
      <c r="D65" s="619"/>
      <c r="E65" s="619"/>
      <c r="F65" s="619"/>
      <c r="G65" s="619"/>
      <c r="H65" s="619"/>
      <c r="I65" s="579">
        <f>'Inputs index (2)'!I30</f>
        <v>5931102.0326811802</v>
      </c>
      <c r="J65" s="579">
        <f>'Inputs index (2)'!J30</f>
        <v>6514497.3790748697</v>
      </c>
      <c r="K65" s="579">
        <f>'Inputs index (2)'!K30</f>
        <v>6944132.5587071804</v>
      </c>
      <c r="L65" s="579">
        <f>'Inputs index (2)'!L30</f>
        <v>7454440.1813448202</v>
      </c>
      <c r="M65" s="579">
        <f>'Inputs index (2)'!M30</f>
        <v>7927564.2930153301</v>
      </c>
      <c r="N65" s="579">
        <f>'Inputs index (2)'!N30</f>
        <v>8477306.9124877099</v>
      </c>
      <c r="O65" s="579">
        <f>'Inputs index (2)'!O30</f>
        <v>8880735.3440000005</v>
      </c>
      <c r="P65" s="579">
        <f>'Inputs index (2)'!P30</f>
        <v>8880735.3440000005</v>
      </c>
      <c r="Q65" s="396"/>
      <c r="R65" s="396"/>
    </row>
    <row r="66" spans="1:18" x14ac:dyDescent="0.25">
      <c r="A66" s="580"/>
      <c r="B66" s="620" t="s">
        <v>218</v>
      </c>
      <c r="C66" s="619"/>
      <c r="D66" s="619"/>
      <c r="E66" s="619"/>
      <c r="F66" s="619"/>
      <c r="G66" s="619"/>
      <c r="H66" s="619"/>
      <c r="I66" s="579">
        <f>'Inputs index (2)'!I31</f>
        <v>11670404.906738559</v>
      </c>
      <c r="J66" s="579">
        <f>'Inputs index (2)'!J31</f>
        <v>13001164.445567448</v>
      </c>
      <c r="K66" s="579">
        <f>'Inputs index (2)'!K31</f>
        <v>12542012.72574419</v>
      </c>
      <c r="L66" s="579">
        <f>'Inputs index (2)'!L31</f>
        <v>12645671.111368861</v>
      </c>
      <c r="M66" s="579">
        <f>'Inputs index (2)'!M31</f>
        <v>12673068.453165414</v>
      </c>
      <c r="N66" s="579">
        <f>'Inputs index (2)'!N31</f>
        <v>13076603.958000001</v>
      </c>
      <c r="O66" s="579">
        <f>'Inputs index (2)'!O31</f>
        <v>12962081</v>
      </c>
      <c r="P66" s="579">
        <f>'Inputs index (2)'!P31</f>
        <v>12962081</v>
      </c>
      <c r="Q66" s="396"/>
      <c r="R66" s="396"/>
    </row>
    <row r="67" spans="1:18" x14ac:dyDescent="0.25">
      <c r="A67" s="580"/>
      <c r="B67" s="620" t="s">
        <v>378</v>
      </c>
      <c r="C67" s="619"/>
      <c r="D67" s="619"/>
      <c r="E67" s="619"/>
      <c r="F67" s="619"/>
      <c r="G67" s="619"/>
      <c r="H67" s="619"/>
      <c r="I67" s="579">
        <f>'Inputs index (2)'!I32</f>
        <v>331183.30547743692</v>
      </c>
      <c r="J67" s="579">
        <f>'Inputs index (2)'!J32</f>
        <v>300985.91688492848</v>
      </c>
      <c r="K67" s="579">
        <f>'Inputs index (2)'!K32</f>
        <v>253688.98454382003</v>
      </c>
      <c r="L67" s="579">
        <f>'Inputs index (2)'!L32</f>
        <v>243309.57052000001</v>
      </c>
      <c r="M67" s="579">
        <f>'Inputs index (2)'!M32</f>
        <v>251747.7262339491</v>
      </c>
      <c r="N67" s="579">
        <f>'Inputs index (2)'!N32</f>
        <v>248856.16224529999</v>
      </c>
      <c r="O67" s="579">
        <f>'Inputs index (2)'!O32</f>
        <v>212245.30799999999</v>
      </c>
      <c r="P67" s="579">
        <f>'Inputs index (2)'!P32</f>
        <v>212245.30799999999</v>
      </c>
      <c r="Q67" s="396"/>
      <c r="R67" s="396"/>
    </row>
    <row r="68" spans="1:18" x14ac:dyDescent="0.25">
      <c r="A68" s="580"/>
      <c r="B68" s="620" t="s">
        <v>220</v>
      </c>
      <c r="C68" s="1078"/>
      <c r="D68" s="1078"/>
      <c r="E68" s="1078"/>
      <c r="F68" s="1078"/>
      <c r="G68" s="1078"/>
      <c r="H68" s="1078"/>
      <c r="I68" s="579">
        <f>SUM(I60:I67)</f>
        <v>82615438.244897187</v>
      </c>
      <c r="J68" s="579">
        <f t="shared" ref="J68:P68" si="12">SUM(J60:J67)</f>
        <v>90065928.741527244</v>
      </c>
      <c r="K68" s="579">
        <f t="shared" si="12"/>
        <v>92502052.268995181</v>
      </c>
      <c r="L68" s="579">
        <f t="shared" si="12"/>
        <v>98090910.719236344</v>
      </c>
      <c r="M68" s="579">
        <f t="shared" si="12"/>
        <v>102598362.94192268</v>
      </c>
      <c r="N68" s="579">
        <f t="shared" si="12"/>
        <v>109700705.70873302</v>
      </c>
      <c r="O68" s="579">
        <f t="shared" si="12"/>
        <v>111599076.652</v>
      </c>
      <c r="P68" s="579">
        <f t="shared" si="12"/>
        <v>111599076.652</v>
      </c>
      <c r="Q68" s="396"/>
      <c r="R68" s="396"/>
    </row>
    <row r="69" spans="1:18" ht="22.5" x14ac:dyDescent="0.3">
      <c r="A69" s="396"/>
      <c r="B69" s="396"/>
      <c r="C69" s="396"/>
      <c r="D69" s="396"/>
      <c r="E69" s="396"/>
      <c r="F69" s="396"/>
      <c r="G69" s="396"/>
      <c r="H69" s="396"/>
      <c r="I69" s="396"/>
      <c r="J69" s="622"/>
      <c r="K69" s="396"/>
      <c r="L69" s="396"/>
      <c r="M69" s="396"/>
      <c r="N69" s="396"/>
      <c r="O69" s="396"/>
      <c r="P69" s="396"/>
      <c r="Q69" s="396"/>
      <c r="R69" s="396"/>
    </row>
    <row r="70" spans="1:18" ht="22.5" x14ac:dyDescent="0.3">
      <c r="A70" s="396"/>
      <c r="B70" s="623" t="s">
        <v>390</v>
      </c>
      <c r="C70" s="396"/>
      <c r="D70" s="396"/>
      <c r="E70" s="396"/>
      <c r="F70" s="396"/>
      <c r="G70" s="396"/>
      <c r="H70" s="396"/>
      <c r="I70" s="396"/>
      <c r="J70" s="622"/>
      <c r="K70" s="396"/>
      <c r="L70" s="396"/>
      <c r="M70" s="396"/>
      <c r="N70" s="396"/>
      <c r="O70" s="396"/>
      <c r="P70" s="396"/>
      <c r="Q70" s="396"/>
      <c r="R70" s="396"/>
    </row>
    <row r="71" spans="1:18" ht="22.5" x14ac:dyDescent="0.3">
      <c r="A71" s="396"/>
      <c r="B71" s="396"/>
      <c r="C71" s="396"/>
      <c r="D71" s="396"/>
      <c r="E71" s="396"/>
      <c r="F71" s="396"/>
      <c r="G71" s="396"/>
      <c r="H71" s="396"/>
      <c r="I71" s="396"/>
      <c r="J71" s="622"/>
      <c r="K71" s="396"/>
      <c r="L71" s="396"/>
      <c r="M71" s="396"/>
      <c r="N71" s="396"/>
      <c r="O71" s="396"/>
      <c r="P71" s="396"/>
      <c r="Q71" s="396"/>
      <c r="R71" s="396"/>
    </row>
    <row r="72" spans="1:18" ht="22.5" x14ac:dyDescent="0.3">
      <c r="A72" s="580"/>
      <c r="B72" s="396"/>
      <c r="C72" s="396"/>
      <c r="D72" s="396"/>
      <c r="E72" s="396"/>
      <c r="F72" s="396"/>
      <c r="G72" s="396"/>
      <c r="H72" s="396"/>
      <c r="I72" s="396"/>
      <c r="J72" s="622"/>
      <c r="K72" s="396"/>
      <c r="L72" s="396"/>
      <c r="M72" s="396"/>
      <c r="N72" s="396"/>
      <c r="O72" s="396"/>
      <c r="P72" s="396"/>
      <c r="Q72" s="396"/>
      <c r="R72" s="396"/>
    </row>
    <row r="73" spans="1:18" x14ac:dyDescent="0.25">
      <c r="A73" s="580"/>
      <c r="B73" s="396" t="s">
        <v>45</v>
      </c>
      <c r="C73" s="396">
        <v>21158867.752</v>
      </c>
      <c r="D73" s="396">
        <v>22982939.964000002</v>
      </c>
      <c r="E73" s="396">
        <v>24796431.624000002</v>
      </c>
      <c r="F73" s="396">
        <v>25963064.805</v>
      </c>
      <c r="G73" s="396">
        <v>25941558.666999999</v>
      </c>
      <c r="H73" s="396">
        <v>27979451.223000001</v>
      </c>
      <c r="I73" s="1079">
        <f>I50+I51</f>
        <v>32891534.928840004</v>
      </c>
      <c r="J73" s="1079">
        <f t="shared" ref="J73:O73" si="13">J50+J51</f>
        <v>35386681.814999998</v>
      </c>
      <c r="K73" s="1079">
        <f t="shared" si="13"/>
        <v>36362753.125</v>
      </c>
      <c r="L73" s="1079">
        <f t="shared" si="13"/>
        <v>37894504</v>
      </c>
      <c r="M73" s="1079">
        <f t="shared" si="13"/>
        <v>41108905.532841034</v>
      </c>
      <c r="N73" s="1079">
        <f t="shared" si="13"/>
        <v>44340395.493059993</v>
      </c>
      <c r="O73" s="1079">
        <f t="shared" si="13"/>
        <v>45641728</v>
      </c>
      <c r="P73" s="396"/>
      <c r="Q73" s="396"/>
      <c r="R73" s="396"/>
    </row>
    <row r="74" spans="1:18" x14ac:dyDescent="0.25">
      <c r="A74" s="580"/>
      <c r="B74" s="396" t="s">
        <v>57</v>
      </c>
      <c r="C74" s="396">
        <v>10445008.787</v>
      </c>
      <c r="D74" s="396">
        <v>11641474.516000001</v>
      </c>
      <c r="E74" s="396">
        <v>11757118.103</v>
      </c>
      <c r="F74" s="396">
        <v>13321063.145</v>
      </c>
      <c r="G74" s="396">
        <v>14985078.725</v>
      </c>
      <c r="H74" s="396">
        <v>17301.167955000001</v>
      </c>
      <c r="I74" s="1079">
        <f>I52+I54+I55</f>
        <v>26422000.943999998</v>
      </c>
      <c r="J74" s="1079">
        <f t="shared" ref="J74:O74" si="14">J52+J54+J55</f>
        <v>29446968.226</v>
      </c>
      <c r="K74" s="1079">
        <f t="shared" si="14"/>
        <v>30838472.892999999</v>
      </c>
      <c r="L74" s="1079">
        <f t="shared" si="14"/>
        <v>33037339.917999998</v>
      </c>
      <c r="M74" s="1079">
        <f t="shared" si="14"/>
        <v>34442739.431999996</v>
      </c>
      <c r="N74" s="1079">
        <f t="shared" si="14"/>
        <v>36215913.130000003</v>
      </c>
      <c r="O74" s="1079">
        <f t="shared" si="14"/>
        <v>37920425.343999997</v>
      </c>
      <c r="P74" s="396"/>
      <c r="Q74" s="396"/>
      <c r="R74" s="396"/>
    </row>
    <row r="75" spans="1:18" x14ac:dyDescent="0.25">
      <c r="A75" s="580"/>
      <c r="B75" s="396" t="s">
        <v>47</v>
      </c>
      <c r="C75" s="396">
        <v>3395021.8480000002</v>
      </c>
      <c r="D75" s="396">
        <v>3544618.3663333301</v>
      </c>
      <c r="E75" s="396">
        <v>3815552.8220000002</v>
      </c>
      <c r="F75" s="396">
        <v>3626590.15366667</v>
      </c>
      <c r="G75" s="396">
        <v>3895972.3616666701</v>
      </c>
      <c r="H75" s="396">
        <v>4134506.085</v>
      </c>
      <c r="I75" s="1079">
        <f>I53</f>
        <v>5115514.2809764491</v>
      </c>
      <c r="J75" s="1079">
        <f t="shared" ref="J75:O75" si="15">J53</f>
        <v>5839664.3710000003</v>
      </c>
      <c r="K75" s="1079">
        <f t="shared" si="15"/>
        <v>6568362.6799999997</v>
      </c>
      <c r="L75" s="1079">
        <f t="shared" si="15"/>
        <v>7784592.0729</v>
      </c>
      <c r="M75" s="1079">
        <f t="shared" si="15"/>
        <v>7426030.9178999998</v>
      </c>
      <c r="N75" s="1079">
        <f t="shared" si="15"/>
        <v>7635390.1285600001</v>
      </c>
      <c r="O75" s="1079">
        <f t="shared" si="15"/>
        <v>8025361</v>
      </c>
      <c r="P75" s="396"/>
      <c r="Q75" s="396"/>
      <c r="R75" s="396"/>
    </row>
    <row r="76" spans="1:18" x14ac:dyDescent="0.25">
      <c r="A76" s="580"/>
      <c r="B76" s="396" t="s">
        <v>48</v>
      </c>
      <c r="C76" s="396">
        <f>SUM(C73:C75)</f>
        <v>34998898.387000002</v>
      </c>
      <c r="D76" s="396">
        <f t="shared" ref="D76:O76" si="16">SUM(D73:D75)</f>
        <v>38169032.846333332</v>
      </c>
      <c r="E76" s="396">
        <f t="shared" si="16"/>
        <v>40369102.548999995</v>
      </c>
      <c r="F76" s="396">
        <f t="shared" si="16"/>
        <v>42910718.103666671</v>
      </c>
      <c r="G76" s="396">
        <f t="shared" si="16"/>
        <v>44822609.753666669</v>
      </c>
      <c r="H76" s="396">
        <f t="shared" si="16"/>
        <v>32131258.475955002</v>
      </c>
      <c r="I76" s="396">
        <f t="shared" si="16"/>
        <v>64429050.153816454</v>
      </c>
      <c r="J76" s="396">
        <f t="shared" si="16"/>
        <v>70673314.412</v>
      </c>
      <c r="K76" s="396">
        <f t="shared" si="16"/>
        <v>73769588.698000014</v>
      </c>
      <c r="L76" s="396">
        <f t="shared" si="16"/>
        <v>78716435.990899995</v>
      </c>
      <c r="M76" s="396">
        <f t="shared" si="16"/>
        <v>82977675.882741034</v>
      </c>
      <c r="N76" s="396">
        <f t="shared" si="16"/>
        <v>88191698.751619995</v>
      </c>
      <c r="O76" s="396">
        <f t="shared" si="16"/>
        <v>91587514.343999997</v>
      </c>
      <c r="P76" s="396"/>
      <c r="Q76" s="396"/>
      <c r="R76" s="396"/>
    </row>
    <row r="77" spans="1:18" ht="22.5" x14ac:dyDescent="0.3">
      <c r="A77" s="580"/>
      <c r="B77" s="396"/>
      <c r="C77" s="396"/>
      <c r="D77" s="396"/>
      <c r="E77" s="396"/>
      <c r="F77" s="396"/>
      <c r="G77" s="396"/>
      <c r="H77" s="396"/>
      <c r="I77" s="396"/>
      <c r="J77" s="625"/>
      <c r="K77" s="396"/>
      <c r="L77" s="396"/>
      <c r="M77" s="396"/>
      <c r="N77" s="396"/>
      <c r="O77" s="396"/>
      <c r="P77" s="396"/>
      <c r="Q77" s="396"/>
      <c r="R77" s="396"/>
    </row>
    <row r="78" spans="1:18" x14ac:dyDescent="0.25">
      <c r="A78" s="396"/>
      <c r="B78" s="396"/>
      <c r="C78" s="396"/>
      <c r="D78" s="396"/>
      <c r="E78" s="396"/>
      <c r="F78" s="396"/>
      <c r="G78" s="396"/>
      <c r="H78" s="396"/>
      <c r="I78" s="396"/>
      <c r="J78" s="547"/>
      <c r="K78" s="396"/>
      <c r="L78" s="396"/>
      <c r="M78" s="396"/>
      <c r="N78" s="396"/>
      <c r="O78" s="396"/>
      <c r="P78" s="396"/>
      <c r="Q78" s="396"/>
      <c r="R78" s="396"/>
    </row>
    <row r="79" spans="1:18" x14ac:dyDescent="0.25">
      <c r="A79" s="396"/>
      <c r="B79" s="396"/>
      <c r="C79" s="396"/>
      <c r="D79" s="396"/>
      <c r="E79" s="396"/>
      <c r="F79" s="396"/>
      <c r="G79" s="396"/>
      <c r="H79" s="396"/>
      <c r="I79" s="396"/>
      <c r="J79" s="547"/>
      <c r="K79" s="396"/>
      <c r="L79" s="396"/>
      <c r="M79" s="396"/>
      <c r="N79" s="396"/>
      <c r="O79" s="396"/>
      <c r="P79" s="396"/>
      <c r="Q79" s="396"/>
      <c r="R79" s="396"/>
    </row>
    <row r="80" spans="1:18" x14ac:dyDescent="0.25">
      <c r="A80" s="396"/>
      <c r="B80" s="396"/>
      <c r="C80" s="396"/>
      <c r="D80" s="396"/>
      <c r="E80" s="396"/>
      <c r="F80" s="396"/>
      <c r="G80" s="396"/>
      <c r="H80" s="396"/>
      <c r="I80" s="396"/>
      <c r="J80" s="547"/>
      <c r="K80" s="396"/>
      <c r="L80" s="396"/>
      <c r="M80" s="396"/>
      <c r="N80" s="396"/>
      <c r="O80" s="396"/>
      <c r="P80" s="396"/>
      <c r="Q80" s="396"/>
      <c r="R80" s="396"/>
    </row>
    <row r="81" spans="1:18" x14ac:dyDescent="0.25">
      <c r="A81" s="396"/>
      <c r="B81" s="396"/>
      <c r="C81" s="396"/>
      <c r="D81" s="396"/>
      <c r="E81" s="396"/>
      <c r="F81" s="396"/>
      <c r="G81" s="396"/>
      <c r="H81" s="396"/>
      <c r="I81" s="396"/>
      <c r="J81" s="547"/>
      <c r="K81" s="396"/>
      <c r="L81" s="396"/>
      <c r="M81" s="396"/>
      <c r="N81" s="396"/>
      <c r="O81" s="396"/>
      <c r="P81" s="396"/>
      <c r="Q81" s="396"/>
      <c r="R81" s="396"/>
    </row>
    <row r="82" spans="1:18" x14ac:dyDescent="0.25">
      <c r="A82" s="396"/>
      <c r="B82" s="396"/>
      <c r="C82" s="396"/>
      <c r="D82" s="396"/>
      <c r="E82" s="396"/>
      <c r="F82" s="396"/>
      <c r="G82" s="396"/>
      <c r="H82" s="396"/>
      <c r="I82" s="396"/>
      <c r="J82" s="547"/>
      <c r="K82" s="396"/>
      <c r="L82" s="396"/>
      <c r="M82" s="396"/>
      <c r="N82" s="396"/>
      <c r="O82" s="396"/>
      <c r="P82" s="396"/>
      <c r="Q82" s="396"/>
      <c r="R82" s="396"/>
    </row>
    <row r="83" spans="1:18" x14ac:dyDescent="0.25">
      <c r="A83" s="396"/>
      <c r="B83" s="396"/>
      <c r="C83" s="396"/>
      <c r="D83" s="396"/>
      <c r="E83" s="396"/>
      <c r="F83" s="396"/>
      <c r="G83" s="396"/>
      <c r="H83" s="396"/>
      <c r="I83" s="396"/>
      <c r="J83" s="547"/>
      <c r="K83" s="396"/>
      <c r="L83" s="396"/>
      <c r="M83" s="396"/>
      <c r="N83" s="396"/>
      <c r="O83" s="396"/>
      <c r="P83" s="396"/>
      <c r="Q83" s="396"/>
      <c r="R83" s="396"/>
    </row>
    <row r="84" spans="1:18" x14ac:dyDescent="0.25">
      <c r="A84" s="396"/>
      <c r="B84" s="396"/>
      <c r="C84" s="396"/>
      <c r="D84" s="396"/>
      <c r="E84" s="396"/>
      <c r="F84" s="396"/>
      <c r="G84" s="396"/>
      <c r="H84" s="396"/>
      <c r="I84" s="396"/>
      <c r="J84" s="547"/>
      <c r="K84" s="396"/>
      <c r="L84" s="396"/>
      <c r="M84" s="396"/>
      <c r="N84" s="396"/>
      <c r="O84" s="396"/>
      <c r="P84" s="396"/>
      <c r="Q84" s="396"/>
      <c r="R84" s="396"/>
    </row>
    <row r="85" spans="1:18" x14ac:dyDescent="0.25">
      <c r="A85" s="378"/>
      <c r="B85" s="378"/>
      <c r="C85" s="378"/>
      <c r="D85" s="378"/>
      <c r="E85" s="378"/>
      <c r="F85" s="378"/>
      <c r="G85" s="378"/>
      <c r="H85" s="378"/>
      <c r="I85" s="378"/>
      <c r="J85" s="375"/>
      <c r="K85" s="378"/>
      <c r="L85" s="378"/>
      <c r="M85" s="378"/>
      <c r="N85" s="378"/>
      <c r="O85" s="378"/>
      <c r="P85" s="396"/>
      <c r="Q85" s="396"/>
      <c r="R85" s="396"/>
    </row>
    <row r="86" spans="1:18" x14ac:dyDescent="0.25">
      <c r="A86" s="378"/>
      <c r="B86" s="378"/>
      <c r="C86" s="378"/>
      <c r="D86" s="378"/>
      <c r="E86" s="378"/>
      <c r="F86" s="378"/>
      <c r="G86" s="378"/>
      <c r="H86" s="378"/>
      <c r="I86" s="378"/>
      <c r="J86" s="375"/>
      <c r="K86" s="378"/>
      <c r="L86" s="378"/>
      <c r="M86" s="378"/>
      <c r="N86" s="378"/>
      <c r="O86" s="378"/>
      <c r="P86" s="396"/>
      <c r="Q86" s="396"/>
      <c r="R86" s="396"/>
    </row>
    <row r="87" spans="1:18" x14ac:dyDescent="0.25">
      <c r="A87" s="378"/>
      <c r="B87" s="378"/>
      <c r="C87" s="378"/>
      <c r="D87" s="378"/>
      <c r="E87" s="378"/>
      <c r="F87" s="378"/>
      <c r="G87" s="378"/>
      <c r="H87" s="378"/>
      <c r="I87" s="378"/>
      <c r="J87" s="375"/>
      <c r="K87" s="378"/>
      <c r="L87" s="378"/>
      <c r="M87" s="378"/>
      <c r="N87" s="378"/>
      <c r="O87" s="378"/>
      <c r="P87" s="396"/>
      <c r="Q87" s="396"/>
      <c r="R87" s="396"/>
    </row>
    <row r="88" spans="1:18" x14ac:dyDescent="0.25">
      <c r="A88" s="378"/>
      <c r="B88" s="378"/>
      <c r="C88" s="378"/>
      <c r="D88" s="378"/>
      <c r="E88" s="378"/>
      <c r="F88" s="378"/>
      <c r="G88" s="378"/>
      <c r="H88" s="378"/>
      <c r="I88" s="378"/>
      <c r="J88" s="375"/>
      <c r="K88" s="378"/>
      <c r="L88" s="378"/>
      <c r="M88" s="378"/>
      <c r="N88" s="378"/>
      <c r="O88" s="378"/>
      <c r="P88" s="396"/>
      <c r="Q88" s="396"/>
      <c r="R88" s="396"/>
    </row>
    <row r="89" spans="1:18" x14ac:dyDescent="0.25">
      <c r="A89" s="378"/>
      <c r="B89" s="378"/>
      <c r="C89" s="378"/>
      <c r="D89" s="378"/>
      <c r="E89" s="378"/>
      <c r="F89" s="378"/>
      <c r="G89" s="378"/>
      <c r="H89" s="378"/>
      <c r="I89" s="378"/>
      <c r="J89" s="375"/>
      <c r="K89" s="378"/>
      <c r="L89" s="378"/>
      <c r="M89" s="378"/>
      <c r="N89" s="378"/>
      <c r="O89" s="378"/>
      <c r="P89" s="396"/>
      <c r="Q89" s="396"/>
      <c r="R89" s="396"/>
    </row>
    <row r="90" spans="1:18" x14ac:dyDescent="0.25">
      <c r="A90" s="378"/>
      <c r="B90" s="378"/>
      <c r="C90" s="378"/>
      <c r="D90" s="378"/>
      <c r="E90" s="378"/>
      <c r="F90" s="378"/>
      <c r="G90" s="378"/>
      <c r="H90" s="378"/>
      <c r="I90" s="378"/>
      <c r="J90" s="375"/>
      <c r="K90" s="378"/>
      <c r="L90" s="378"/>
      <c r="M90" s="378"/>
      <c r="N90" s="378"/>
      <c r="O90" s="378"/>
      <c r="P90" s="396"/>
      <c r="Q90" s="396"/>
      <c r="R90" s="396"/>
    </row>
    <row r="91" spans="1:18" x14ac:dyDescent="0.25">
      <c r="A91" s="378"/>
      <c r="B91" s="378"/>
      <c r="C91" s="378"/>
      <c r="D91" s="378"/>
      <c r="E91" s="378"/>
      <c r="F91" s="378"/>
      <c r="G91" s="378"/>
      <c r="H91" s="378"/>
      <c r="I91" s="378"/>
      <c r="J91" s="375"/>
      <c r="K91" s="378"/>
      <c r="L91" s="378"/>
      <c r="M91" s="378"/>
      <c r="N91" s="378"/>
      <c r="O91" s="378"/>
      <c r="P91" s="396"/>
      <c r="Q91" s="396"/>
      <c r="R91" s="396"/>
    </row>
    <row r="92" spans="1:18" x14ac:dyDescent="0.25">
      <c r="A92" s="378"/>
      <c r="B92" s="378"/>
      <c r="C92" s="378"/>
      <c r="D92" s="378"/>
      <c r="E92" s="378"/>
      <c r="F92" s="378"/>
      <c r="G92" s="378"/>
      <c r="H92" s="378"/>
      <c r="I92" s="378"/>
      <c r="J92" s="375"/>
      <c r="K92" s="378"/>
      <c r="L92" s="378"/>
      <c r="M92" s="378"/>
      <c r="N92" s="378"/>
      <c r="O92" s="378"/>
      <c r="P92" s="378"/>
      <c r="Q92" s="378"/>
    </row>
    <row r="93" spans="1:18" x14ac:dyDescent="0.25">
      <c r="A93" s="378"/>
      <c r="B93" s="378"/>
      <c r="C93" s="378"/>
      <c r="D93" s="378"/>
      <c r="E93" s="378"/>
      <c r="F93" s="378"/>
      <c r="G93" s="378"/>
      <c r="H93" s="378"/>
      <c r="I93" s="378"/>
      <c r="J93" s="375"/>
      <c r="K93" s="378"/>
      <c r="L93" s="378"/>
      <c r="M93" s="378"/>
      <c r="N93" s="378"/>
      <c r="O93" s="378"/>
      <c r="P93" s="378"/>
      <c r="Q93" s="378"/>
    </row>
    <row r="94" spans="1:18" x14ac:dyDescent="0.25">
      <c r="A94" s="378"/>
      <c r="B94" s="378"/>
      <c r="C94" s="378"/>
      <c r="D94" s="378"/>
      <c r="E94" s="378"/>
      <c r="F94" s="378"/>
      <c r="G94" s="378"/>
      <c r="H94" s="378"/>
      <c r="I94" s="378"/>
      <c r="J94" s="375"/>
      <c r="K94" s="378"/>
      <c r="L94" s="378"/>
      <c r="M94" s="378"/>
      <c r="N94" s="376"/>
      <c r="O94" s="376"/>
      <c r="Q94" s="376"/>
    </row>
    <row r="95" spans="1:18" x14ac:dyDescent="0.25">
      <c r="A95" s="378"/>
      <c r="B95" s="378"/>
      <c r="C95" s="378"/>
      <c r="D95" s="378"/>
      <c r="E95" s="378"/>
      <c r="F95" s="378"/>
      <c r="G95" s="378"/>
      <c r="H95" s="378"/>
      <c r="I95" s="231"/>
      <c r="J95" s="231"/>
      <c r="K95" s="231"/>
      <c r="L95" s="231"/>
      <c r="M95" s="231"/>
      <c r="Q95" s="376"/>
    </row>
  </sheetData>
  <conditionalFormatting sqref="I13:I20">
    <cfRule type="dataBar" priority="1">
      <dataBar>
        <cfvo type="min"/>
        <cfvo type="max"/>
        <color rgb="FF638EC6"/>
      </dataBar>
    </cfRule>
  </conditionalFormatting>
  <dataValidations count="2">
    <dataValidation allowBlank="1" showInputMessage="1" showErrorMessage="1" promptTitle="Current expenditure" prompt="Expenditure in current prices, without using deflation_x000a_" sqref="B50"/>
    <dataValidation allowBlank="1" showInputMessage="1" showErrorMessage="1" promptTitle="Constant expenditure" prompt="Expenditure, deflated using appropriate deflators for each of the different inputs_x000a_" sqref="B60"/>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161" r:id="rId4" name="Option Button 1">
              <controlPr defaultSize="0" autoFill="0" autoLine="0" autoPict="0">
                <anchor moveWithCells="1">
                  <from>
                    <xdr:col>1</xdr:col>
                    <xdr:colOff>0</xdr:colOff>
                    <xdr:row>7</xdr:row>
                    <xdr:rowOff>28575</xdr:rowOff>
                  </from>
                  <to>
                    <xdr:col>2</xdr:col>
                    <xdr:colOff>342900</xdr:colOff>
                    <xdr:row>8</xdr:row>
                    <xdr:rowOff>19050</xdr:rowOff>
                  </to>
                </anchor>
              </controlPr>
            </control>
          </mc:Choice>
        </mc:AlternateContent>
        <mc:AlternateContent xmlns:mc="http://schemas.openxmlformats.org/markup-compatibility/2006">
          <mc:Choice Requires="x14">
            <control shapeId="92162" r:id="rId5" name="Option Button 2">
              <controlPr defaultSize="0" autoFill="0" autoLine="0" autoPict="0">
                <anchor moveWithCells="1">
                  <from>
                    <xdr:col>1</xdr:col>
                    <xdr:colOff>0</xdr:colOff>
                    <xdr:row>8</xdr:row>
                    <xdr:rowOff>19050</xdr:rowOff>
                  </from>
                  <to>
                    <xdr:col>1</xdr:col>
                    <xdr:colOff>1257300</xdr:colOff>
                    <xdr:row>9</xdr:row>
                    <xdr:rowOff>9525</xdr:rowOff>
                  </to>
                </anchor>
              </controlPr>
            </control>
          </mc:Choice>
        </mc:AlternateContent>
        <mc:AlternateContent xmlns:mc="http://schemas.openxmlformats.org/markup-compatibility/2006">
          <mc:Choice Requires="x14">
            <control shapeId="92163" r:id="rId6" name="Check Box 3">
              <controlPr defaultSize="0" autoFill="0" autoLine="0" autoPict="0" altText="Show more data_x000a_">
                <anchor moveWithCells="1">
                  <from>
                    <xdr:col>0</xdr:col>
                    <xdr:colOff>657225</xdr:colOff>
                    <xdr:row>21</xdr:row>
                    <xdr:rowOff>133350</xdr:rowOff>
                  </from>
                  <to>
                    <xdr:col>1</xdr:col>
                    <xdr:colOff>1057275</xdr:colOff>
                    <xdr:row>23</xdr:row>
                    <xdr:rowOff>123825</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dimension ref="A1:R95"/>
  <sheetViews>
    <sheetView showGridLines="0" showRowColHeaders="0" topLeftCell="A4" zoomScaleNormal="100" workbookViewId="0">
      <selection activeCell="I8" sqref="I8"/>
    </sheetView>
  </sheetViews>
  <sheetFormatPr defaultRowHeight="15" x14ac:dyDescent="0.25"/>
  <cols>
    <col min="1" max="1" width="10.7109375" customWidth="1"/>
    <col min="2" max="2" width="20.7109375" customWidth="1"/>
    <col min="3" max="5" width="15.7109375" customWidth="1"/>
    <col min="6" max="6" width="6.5703125" customWidth="1"/>
    <col min="7" max="7" width="16.7109375" customWidth="1"/>
    <col min="8" max="8" width="6.5703125" customWidth="1"/>
    <col min="9" max="9" width="21.7109375" customWidth="1"/>
    <col min="10" max="10" width="16.7109375" customWidth="1"/>
    <col min="11" max="11" width="10" customWidth="1"/>
    <col min="12" max="12" width="9.7109375" customWidth="1"/>
    <col min="13" max="13" width="8.7109375" customWidth="1"/>
    <col min="14" max="16" width="12.42578125" bestFit="1" customWidth="1"/>
  </cols>
  <sheetData>
    <row r="1" spans="1:13" x14ac:dyDescent="0.25">
      <c r="A1" s="376"/>
      <c r="B1" s="378"/>
      <c r="C1" s="378"/>
      <c r="D1" s="378"/>
      <c r="E1" s="378"/>
    </row>
    <row r="2" spans="1:13" x14ac:dyDescent="0.25">
      <c r="A2" s="396"/>
      <c r="B2" s="378"/>
      <c r="C2" s="378"/>
      <c r="D2" s="378"/>
      <c r="E2" s="378"/>
    </row>
    <row r="3" spans="1:13" x14ac:dyDescent="0.25">
      <c r="A3" s="396"/>
      <c r="B3" s="376"/>
      <c r="C3" s="376"/>
      <c r="D3" s="376"/>
      <c r="E3" s="376"/>
    </row>
    <row r="4" spans="1:13" ht="31.5" x14ac:dyDescent="0.5">
      <c r="A4" s="396">
        <v>2</v>
      </c>
      <c r="B4" s="884" t="s">
        <v>228</v>
      </c>
      <c r="C4" s="376"/>
      <c r="D4" s="376"/>
      <c r="E4" s="376"/>
    </row>
    <row r="5" spans="1:13" ht="18" customHeight="1" x14ac:dyDescent="0.9">
      <c r="A5" s="396"/>
      <c r="B5" s="890"/>
      <c r="C5" s="376"/>
      <c r="D5" s="376"/>
      <c r="E5" s="376"/>
    </row>
    <row r="6" spans="1:13" ht="18" customHeight="1" x14ac:dyDescent="0.25">
      <c r="A6" s="396"/>
      <c r="B6" s="653" t="s">
        <v>393</v>
      </c>
      <c r="C6" s="380"/>
      <c r="D6" s="380"/>
      <c r="E6" s="380"/>
      <c r="F6" s="276"/>
      <c r="G6" s="276"/>
      <c r="H6" s="276"/>
      <c r="I6" s="276"/>
    </row>
    <row r="7" spans="1:13" ht="18" customHeight="1" x14ac:dyDescent="0.25">
      <c r="A7" s="396">
        <v>3</v>
      </c>
      <c r="B7" s="891" t="s">
        <v>434</v>
      </c>
      <c r="C7" s="892"/>
      <c r="D7" s="397"/>
      <c r="E7" s="397"/>
      <c r="F7" s="276"/>
      <c r="G7" s="276"/>
      <c r="H7" s="276"/>
      <c r="I7" s="276"/>
    </row>
    <row r="8" spans="1:13" ht="18" customHeight="1" x14ac:dyDescent="0.25">
      <c r="A8" s="396"/>
      <c r="B8" s="653"/>
      <c r="C8" s="380"/>
      <c r="D8" s="276"/>
      <c r="E8" s="276"/>
      <c r="F8" s="276"/>
      <c r="G8" s="276"/>
      <c r="H8" s="276"/>
      <c r="I8" s="276"/>
    </row>
    <row r="9" spans="1:13" ht="18" customHeight="1" x14ac:dyDescent="0.25">
      <c r="A9" s="396"/>
      <c r="B9" s="572"/>
      <c r="C9" s="436"/>
      <c r="D9" s="276"/>
      <c r="E9" s="276"/>
      <c r="F9" s="276"/>
      <c r="G9" s="276"/>
      <c r="H9" s="276"/>
      <c r="I9" s="276"/>
    </row>
    <row r="10" spans="1:13" ht="18" customHeight="1" x14ac:dyDescent="0.25">
      <c r="A10" s="396"/>
      <c r="B10" s="572"/>
      <c r="C10" s="436"/>
      <c r="D10" s="276"/>
      <c r="E10" s="276"/>
      <c r="F10" s="276"/>
      <c r="G10" s="276"/>
      <c r="H10" s="276"/>
      <c r="I10" s="276"/>
    </row>
    <row r="11" spans="1:13" ht="18" customHeight="1" x14ac:dyDescent="0.25">
      <c r="J11" s="5"/>
    </row>
    <row r="12" spans="1:13" ht="24" customHeight="1" x14ac:dyDescent="0.25">
      <c r="A12" s="537"/>
      <c r="B12" s="549"/>
      <c r="C12" s="549" t="s">
        <v>505</v>
      </c>
      <c r="D12" s="549" t="s">
        <v>506</v>
      </c>
      <c r="E12" s="549" t="s">
        <v>507</v>
      </c>
      <c r="F12" s="536" t="s">
        <v>68</v>
      </c>
      <c r="G12" s="534" t="s">
        <v>509</v>
      </c>
      <c r="H12" s="550" t="s">
        <v>489</v>
      </c>
      <c r="I12" s="603" t="s">
        <v>542</v>
      </c>
      <c r="J12" s="535" t="s">
        <v>510</v>
      </c>
      <c r="K12" s="535" t="s">
        <v>511</v>
      </c>
      <c r="L12" s="521"/>
      <c r="M12" s="520"/>
    </row>
    <row r="13" spans="1:13" ht="24" customHeight="1" x14ac:dyDescent="0.25">
      <c r="A13" s="558"/>
      <c r="B13" s="550" t="s">
        <v>215</v>
      </c>
      <c r="C13" s="551">
        <f>P50</f>
        <v>43513839</v>
      </c>
      <c r="D13" s="551">
        <f>MIN(C50:P50)</f>
        <v>31334252.480110005</v>
      </c>
      <c r="E13" s="551">
        <f>MAX(C50:P50)</f>
        <v>43513839</v>
      </c>
      <c r="F13" s="552">
        <f>I50/1000000</f>
        <v>31.334252480110006</v>
      </c>
      <c r="G13" s="537"/>
      <c r="H13" s="553">
        <f>P50/1000000</f>
        <v>43.513838999999997</v>
      </c>
      <c r="I13" s="1011">
        <f t="shared" ref="I13:I19" si="0">C13/C$21</f>
        <v>0.47431741473874511</v>
      </c>
      <c r="J13" s="559"/>
      <c r="K13" s="539">
        <f>E13/D13-1</f>
        <v>0.38869880580751737</v>
      </c>
      <c r="L13" s="5"/>
    </row>
    <row r="14" spans="1:13" ht="24" customHeight="1" x14ac:dyDescent="0.25">
      <c r="A14" s="558"/>
      <c r="B14" s="550" t="s">
        <v>216</v>
      </c>
      <c r="C14" s="551">
        <f t="shared" ref="C14:C19" si="1">P51</f>
        <v>2127889</v>
      </c>
      <c r="D14" s="551">
        <f t="shared" ref="D14:D19" si="2">MIN(C51:P51)</f>
        <v>1185244</v>
      </c>
      <c r="E14" s="551">
        <f t="shared" ref="E14:E19" si="3">MAX(C51:P51)</f>
        <v>2195295.3909299998</v>
      </c>
      <c r="F14" s="552">
        <f t="shared" ref="F14:F19" si="4">I51/1000000</f>
        <v>1.5572824487299999</v>
      </c>
      <c r="G14" s="537"/>
      <c r="H14" s="553">
        <f t="shared" ref="H14:H19" si="5">P51/1000000</f>
        <v>2.1278890000000001</v>
      </c>
      <c r="I14" s="1011">
        <f t="shared" si="0"/>
        <v>2.3194800379047541E-2</v>
      </c>
      <c r="J14" s="559"/>
      <c r="K14" s="539">
        <f t="shared" ref="K14:K19" si="6">E14/D14-1</f>
        <v>0.85218857123933955</v>
      </c>
      <c r="L14" s="5"/>
    </row>
    <row r="15" spans="1:13" ht="24" customHeight="1" x14ac:dyDescent="0.25">
      <c r="A15" s="558"/>
      <c r="B15" s="550" t="s">
        <v>217</v>
      </c>
      <c r="C15" s="551">
        <f t="shared" si="1"/>
        <v>16077609</v>
      </c>
      <c r="D15" s="551">
        <f t="shared" si="2"/>
        <v>8757990</v>
      </c>
      <c r="E15" s="551">
        <f t="shared" si="3"/>
        <v>16077609</v>
      </c>
      <c r="F15" s="552">
        <f t="shared" si="4"/>
        <v>8.7579899999999995</v>
      </c>
      <c r="G15" s="537"/>
      <c r="H15" s="553">
        <f t="shared" si="5"/>
        <v>16.077608999999999</v>
      </c>
      <c r="I15" s="1011">
        <f t="shared" si="0"/>
        <v>0.1752520602942062</v>
      </c>
      <c r="J15" s="559"/>
      <c r="K15" s="539">
        <f t="shared" si="6"/>
        <v>0.83576471313623335</v>
      </c>
      <c r="L15" s="531"/>
    </row>
    <row r="16" spans="1:13" ht="24" customHeight="1" x14ac:dyDescent="0.25">
      <c r="A16" s="537"/>
      <c r="B16" s="550" t="s">
        <v>47</v>
      </c>
      <c r="C16" s="551">
        <f t="shared" si="1"/>
        <v>8025361</v>
      </c>
      <c r="D16" s="551">
        <f t="shared" si="2"/>
        <v>5115514.2809764491</v>
      </c>
      <c r="E16" s="551">
        <f t="shared" si="3"/>
        <v>8025361</v>
      </c>
      <c r="F16" s="552">
        <f t="shared" si="4"/>
        <v>5.1155142809764493</v>
      </c>
      <c r="G16" s="537"/>
      <c r="H16" s="553">
        <f t="shared" si="5"/>
        <v>8.0253610000000002</v>
      </c>
      <c r="I16" s="1011">
        <f t="shared" si="0"/>
        <v>8.747949087795151E-2</v>
      </c>
      <c r="J16" s="559"/>
      <c r="K16" s="539">
        <f t="shared" si="6"/>
        <v>0.56882779701049313</v>
      </c>
      <c r="L16" s="5"/>
    </row>
    <row r="17" spans="1:17" ht="24" customHeight="1" x14ac:dyDescent="0.25">
      <c r="A17" s="537"/>
      <c r="B17" s="550" t="s">
        <v>136</v>
      </c>
      <c r="C17" s="551">
        <f t="shared" si="1"/>
        <v>8880735.3440000005</v>
      </c>
      <c r="D17" s="551">
        <f t="shared" si="2"/>
        <v>8013483.2259999998</v>
      </c>
      <c r="E17" s="551">
        <f t="shared" si="3"/>
        <v>8880735.3440000005</v>
      </c>
      <c r="F17" s="552">
        <f t="shared" si="4"/>
        <v>8.0941749440000006</v>
      </c>
      <c r="G17" s="537"/>
      <c r="H17" s="553">
        <f t="shared" si="5"/>
        <v>8.8807353439999996</v>
      </c>
      <c r="I17" s="1011">
        <f t="shared" si="0"/>
        <v>9.6803396945626438E-2</v>
      </c>
      <c r="J17" s="559"/>
      <c r="K17" s="539">
        <f t="shared" si="6"/>
        <v>0.10822411347741689</v>
      </c>
      <c r="L17" s="5"/>
    </row>
    <row r="18" spans="1:17" ht="24" customHeight="1" x14ac:dyDescent="0.25">
      <c r="A18" s="537"/>
      <c r="B18" s="550" t="s">
        <v>218</v>
      </c>
      <c r="C18" s="551">
        <f t="shared" si="1"/>
        <v>12902236</v>
      </c>
      <c r="D18" s="551">
        <f t="shared" si="2"/>
        <v>9569836</v>
      </c>
      <c r="E18" s="551">
        <f t="shared" si="3"/>
        <v>12962081</v>
      </c>
      <c r="F18" s="552">
        <f t="shared" si="4"/>
        <v>9.5698360000000005</v>
      </c>
      <c r="G18" s="537"/>
      <c r="H18" s="553">
        <f t="shared" si="5"/>
        <v>12.902236</v>
      </c>
      <c r="I18" s="1011">
        <f t="shared" si="0"/>
        <v>0.14063928544363019</v>
      </c>
      <c r="J18" s="559"/>
      <c r="K18" s="539">
        <f t="shared" si="6"/>
        <v>0.35447263673066076</v>
      </c>
      <c r="L18" s="5"/>
    </row>
    <row r="19" spans="1:17" ht="24" customHeight="1" x14ac:dyDescent="0.25">
      <c r="A19" s="558"/>
      <c r="B19" s="550" t="s">
        <v>378</v>
      </c>
      <c r="C19" s="551">
        <f t="shared" si="1"/>
        <v>212245</v>
      </c>
      <c r="D19" s="551">
        <f t="shared" si="2"/>
        <v>212245</v>
      </c>
      <c r="E19" s="551">
        <f t="shared" si="3"/>
        <v>278000</v>
      </c>
      <c r="F19" s="552">
        <f t="shared" si="4"/>
        <v>0.27800000000000002</v>
      </c>
      <c r="G19" s="537"/>
      <c r="H19" s="553">
        <f t="shared" si="5"/>
        <v>0.21224499999999999</v>
      </c>
      <c r="I19" s="1011">
        <f t="shared" si="0"/>
        <v>2.3135513207930233E-3</v>
      </c>
      <c r="J19" s="559"/>
      <c r="K19" s="539">
        <f t="shared" si="6"/>
        <v>0.30980706259275848</v>
      </c>
      <c r="L19" s="5"/>
    </row>
    <row r="20" spans="1:17" ht="24" customHeight="1" x14ac:dyDescent="0.25">
      <c r="A20" s="558"/>
      <c r="B20" s="550"/>
      <c r="C20" s="551"/>
      <c r="D20" s="551"/>
      <c r="E20" s="551"/>
      <c r="F20" s="552"/>
      <c r="G20" s="537"/>
      <c r="H20" s="553"/>
      <c r="I20" s="538"/>
      <c r="J20" s="559"/>
      <c r="K20" s="539"/>
      <c r="L20" s="5"/>
    </row>
    <row r="21" spans="1:17" ht="24" customHeight="1" x14ac:dyDescent="0.25">
      <c r="A21" s="560" t="b">
        <v>0</v>
      </c>
      <c r="B21" s="554" t="s">
        <v>220</v>
      </c>
      <c r="C21" s="555">
        <f>SUM(C13:C19)</f>
        <v>91739914.343999997</v>
      </c>
      <c r="D21" s="555"/>
      <c r="E21" s="556"/>
      <c r="F21" s="552">
        <f>I57/1000000</f>
        <v>64.707050153816454</v>
      </c>
      <c r="G21" s="537"/>
      <c r="H21" s="553">
        <f>P57/1000000</f>
        <v>91.739914343999999</v>
      </c>
      <c r="I21" s="557"/>
      <c r="J21" s="559"/>
      <c r="K21" s="539"/>
      <c r="L21" s="5"/>
    </row>
    <row r="22" spans="1:17" ht="18" customHeight="1" x14ac:dyDescent="0.25">
      <c r="A22" s="530"/>
      <c r="B22" s="376"/>
      <c r="C22" s="532"/>
      <c r="D22" s="376"/>
      <c r="E22" s="376"/>
      <c r="F22" s="518"/>
      <c r="J22" s="5"/>
    </row>
    <row r="23" spans="1:17" ht="18" customHeight="1" x14ac:dyDescent="0.25">
      <c r="A23" s="530"/>
      <c r="B23" s="376"/>
      <c r="C23" s="529">
        <v>1</v>
      </c>
      <c r="D23" s="529"/>
      <c r="E23" s="376"/>
      <c r="J23" s="5"/>
    </row>
    <row r="24" spans="1:17" ht="18" customHeight="1" x14ac:dyDescent="0.25">
      <c r="A24" s="527"/>
      <c r="B24" s="526"/>
      <c r="C24" s="529"/>
      <c r="D24" s="529"/>
      <c r="E24" s="526"/>
      <c r="F24" s="116"/>
      <c r="G24" s="116"/>
      <c r="H24" s="116"/>
      <c r="I24" s="116"/>
      <c r="J24" s="519"/>
      <c r="K24" s="116"/>
      <c r="L24" s="116"/>
      <c r="M24" s="116"/>
      <c r="N24" s="116"/>
      <c r="O24" s="116"/>
      <c r="P24" s="116"/>
      <c r="Q24" s="116"/>
    </row>
    <row r="25" spans="1:17" x14ac:dyDescent="0.25">
      <c r="A25" s="527"/>
      <c r="B25" s="893"/>
      <c r="C25" s="894" t="str">
        <f t="shared" ref="C25:J25" si="7">IF($A$21=TRUE,I48,"")</f>
        <v/>
      </c>
      <c r="D25" s="894" t="str">
        <f t="shared" si="7"/>
        <v/>
      </c>
      <c r="E25" s="894" t="str">
        <f t="shared" si="7"/>
        <v/>
      </c>
      <c r="F25" s="894" t="str">
        <f t="shared" si="7"/>
        <v/>
      </c>
      <c r="G25" s="894" t="str">
        <f t="shared" si="7"/>
        <v/>
      </c>
      <c r="H25" s="894" t="str">
        <f t="shared" si="7"/>
        <v/>
      </c>
      <c r="I25" s="894" t="str">
        <f t="shared" si="7"/>
        <v/>
      </c>
      <c r="J25" s="894" t="str">
        <f t="shared" si="7"/>
        <v/>
      </c>
      <c r="K25" s="526"/>
      <c r="L25" s="376"/>
    </row>
    <row r="26" spans="1:17" ht="18" customHeight="1" x14ac:dyDescent="0.25">
      <c r="A26" s="526"/>
      <c r="B26" s="894" t="str">
        <f t="shared" ref="B26:B43" si="8">IF($A$21=TRUE,B50,"")</f>
        <v/>
      </c>
      <c r="C26" s="895"/>
      <c r="D26" s="895"/>
      <c r="E26" s="895"/>
      <c r="F26" s="895"/>
      <c r="G26" s="895"/>
      <c r="H26" s="895"/>
      <c r="I26" s="895"/>
      <c r="J26" s="895"/>
      <c r="K26" s="561"/>
      <c r="L26" s="376"/>
    </row>
    <row r="27" spans="1:17" ht="18" customHeight="1" x14ac:dyDescent="0.25">
      <c r="A27" s="526"/>
      <c r="B27" s="895" t="str">
        <f t="shared" si="8"/>
        <v/>
      </c>
      <c r="C27" s="895" t="str">
        <f t="shared" ref="C27:J32" si="9">IF($A$21=TRUE,I50,"")</f>
        <v/>
      </c>
      <c r="D27" s="895" t="str">
        <f t="shared" si="9"/>
        <v/>
      </c>
      <c r="E27" s="895" t="str">
        <f t="shared" si="9"/>
        <v/>
      </c>
      <c r="F27" s="895" t="str">
        <f t="shared" si="9"/>
        <v/>
      </c>
      <c r="G27" s="895" t="str">
        <f t="shared" si="9"/>
        <v/>
      </c>
      <c r="H27" s="895" t="str">
        <f t="shared" si="9"/>
        <v/>
      </c>
      <c r="I27" s="895" t="str">
        <f t="shared" si="9"/>
        <v/>
      </c>
      <c r="J27" s="895" t="str">
        <f t="shared" si="9"/>
        <v/>
      </c>
      <c r="K27" s="561"/>
      <c r="L27" s="376"/>
    </row>
    <row r="28" spans="1:17" ht="18" customHeight="1" x14ac:dyDescent="0.25">
      <c r="A28" s="526"/>
      <c r="B28" s="893" t="str">
        <f t="shared" si="8"/>
        <v/>
      </c>
      <c r="C28" s="895" t="str">
        <f t="shared" si="9"/>
        <v/>
      </c>
      <c r="D28" s="895" t="str">
        <f t="shared" si="9"/>
        <v/>
      </c>
      <c r="E28" s="895" t="str">
        <f t="shared" si="9"/>
        <v/>
      </c>
      <c r="F28" s="895" t="str">
        <f t="shared" si="9"/>
        <v/>
      </c>
      <c r="G28" s="895" t="str">
        <f t="shared" si="9"/>
        <v/>
      </c>
      <c r="H28" s="895" t="str">
        <f t="shared" si="9"/>
        <v/>
      </c>
      <c r="I28" s="895" t="str">
        <f t="shared" si="9"/>
        <v/>
      </c>
      <c r="J28" s="895" t="str">
        <f t="shared" si="9"/>
        <v/>
      </c>
      <c r="K28" s="523"/>
    </row>
    <row r="29" spans="1:17" ht="18" customHeight="1" x14ac:dyDescent="0.25">
      <c r="A29" s="533"/>
      <c r="B29" s="893" t="str">
        <f t="shared" si="8"/>
        <v/>
      </c>
      <c r="C29" s="895" t="str">
        <f t="shared" si="9"/>
        <v/>
      </c>
      <c r="D29" s="895" t="str">
        <f t="shared" si="9"/>
        <v/>
      </c>
      <c r="E29" s="895" t="str">
        <f t="shared" si="9"/>
        <v/>
      </c>
      <c r="F29" s="895" t="str">
        <f t="shared" si="9"/>
        <v/>
      </c>
      <c r="G29" s="895" t="str">
        <f t="shared" si="9"/>
        <v/>
      </c>
      <c r="H29" s="895" t="str">
        <f t="shared" si="9"/>
        <v/>
      </c>
      <c r="I29" s="895" t="str">
        <f t="shared" si="9"/>
        <v/>
      </c>
      <c r="J29" s="895" t="str">
        <f t="shared" si="9"/>
        <v/>
      </c>
      <c r="K29" s="523"/>
    </row>
    <row r="30" spans="1:17" ht="18" customHeight="1" x14ac:dyDescent="0.25">
      <c r="A30" s="896"/>
      <c r="B30" s="893" t="str">
        <f t="shared" si="8"/>
        <v/>
      </c>
      <c r="C30" s="895" t="str">
        <f t="shared" si="9"/>
        <v/>
      </c>
      <c r="D30" s="895" t="str">
        <f t="shared" si="9"/>
        <v/>
      </c>
      <c r="E30" s="895" t="str">
        <f t="shared" si="9"/>
        <v/>
      </c>
      <c r="F30" s="895" t="str">
        <f t="shared" si="9"/>
        <v/>
      </c>
      <c r="G30" s="895" t="str">
        <f t="shared" si="9"/>
        <v/>
      </c>
      <c r="H30" s="895" t="str">
        <f t="shared" si="9"/>
        <v/>
      </c>
      <c r="I30" s="895" t="str">
        <f t="shared" si="9"/>
        <v/>
      </c>
      <c r="J30" s="895" t="str">
        <f t="shared" si="9"/>
        <v/>
      </c>
      <c r="K30" s="523"/>
    </row>
    <row r="31" spans="1:17" ht="18" customHeight="1" x14ac:dyDescent="0.25">
      <c r="A31" s="657"/>
      <c r="B31" s="893" t="str">
        <f t="shared" si="8"/>
        <v/>
      </c>
      <c r="C31" s="895" t="str">
        <f t="shared" si="9"/>
        <v/>
      </c>
      <c r="D31" s="895" t="str">
        <f t="shared" si="9"/>
        <v/>
      </c>
      <c r="E31" s="895" t="str">
        <f t="shared" si="9"/>
        <v/>
      </c>
      <c r="F31" s="895" t="str">
        <f t="shared" si="9"/>
        <v/>
      </c>
      <c r="G31" s="895" t="str">
        <f t="shared" si="9"/>
        <v/>
      </c>
      <c r="H31" s="895" t="str">
        <f t="shared" si="9"/>
        <v/>
      </c>
      <c r="I31" s="895" t="str">
        <f t="shared" si="9"/>
        <v/>
      </c>
      <c r="J31" s="895" t="str">
        <f t="shared" si="9"/>
        <v/>
      </c>
      <c r="K31" s="523"/>
    </row>
    <row r="32" spans="1:17" ht="18" customHeight="1" x14ac:dyDescent="0.25">
      <c r="A32" s="657"/>
      <c r="B32" s="893" t="str">
        <f t="shared" si="8"/>
        <v/>
      </c>
      <c r="C32" s="895" t="str">
        <f t="shared" si="9"/>
        <v/>
      </c>
      <c r="D32" s="895" t="str">
        <f t="shared" si="9"/>
        <v/>
      </c>
      <c r="E32" s="895" t="str">
        <f t="shared" si="9"/>
        <v/>
      </c>
      <c r="F32" s="895" t="str">
        <f t="shared" si="9"/>
        <v/>
      </c>
      <c r="G32" s="895" t="str">
        <f t="shared" si="9"/>
        <v/>
      </c>
      <c r="H32" s="895" t="str">
        <f t="shared" si="9"/>
        <v/>
      </c>
      <c r="I32" s="895" t="str">
        <f t="shared" si="9"/>
        <v/>
      </c>
      <c r="J32" s="895" t="str">
        <f t="shared" si="9"/>
        <v/>
      </c>
      <c r="K32" s="523"/>
    </row>
    <row r="33" spans="1:18" ht="18" customHeight="1" x14ac:dyDescent="0.25">
      <c r="A33" s="657"/>
      <c r="B33" s="893" t="str">
        <f t="shared" si="8"/>
        <v/>
      </c>
      <c r="C33" s="897" t="str">
        <f>IF($A$21=TRUE,I56,"")</f>
        <v/>
      </c>
      <c r="D33" s="897" t="str">
        <f t="shared" ref="D33:J33" si="10">IF($A$21=TRUE,J56,"")</f>
        <v/>
      </c>
      <c r="E33" s="897" t="str">
        <f t="shared" si="10"/>
        <v/>
      </c>
      <c r="F33" s="897" t="str">
        <f t="shared" si="10"/>
        <v/>
      </c>
      <c r="G33" s="897" t="str">
        <f t="shared" si="10"/>
        <v/>
      </c>
      <c r="H33" s="897" t="str">
        <f t="shared" si="10"/>
        <v/>
      </c>
      <c r="I33" s="897" t="str">
        <f t="shared" si="10"/>
        <v/>
      </c>
      <c r="J33" s="897" t="str">
        <f t="shared" si="10"/>
        <v/>
      </c>
      <c r="K33" s="523"/>
    </row>
    <row r="34" spans="1:18" ht="18" customHeight="1" x14ac:dyDescent="0.25">
      <c r="A34" s="657"/>
      <c r="B34" s="894" t="str">
        <f t="shared" si="8"/>
        <v/>
      </c>
      <c r="C34" s="897" t="str">
        <f>IF($A$21=TRUE,I57,"")</f>
        <v/>
      </c>
      <c r="D34" s="897" t="str">
        <f t="shared" ref="D34:J34" si="11">IF($A$21=TRUE,J57,"")</f>
        <v/>
      </c>
      <c r="E34" s="897" t="str">
        <f t="shared" si="11"/>
        <v/>
      </c>
      <c r="F34" s="897" t="str">
        <f t="shared" si="11"/>
        <v/>
      </c>
      <c r="G34" s="897" t="str">
        <f t="shared" si="11"/>
        <v/>
      </c>
      <c r="H34" s="897" t="str">
        <f t="shared" si="11"/>
        <v/>
      </c>
      <c r="I34" s="897" t="str">
        <f t="shared" si="11"/>
        <v/>
      </c>
      <c r="J34" s="897" t="str">
        <f t="shared" si="11"/>
        <v/>
      </c>
      <c r="K34" s="523"/>
    </row>
    <row r="35" spans="1:18" ht="18" customHeight="1" x14ac:dyDescent="0.25">
      <c r="A35" s="657"/>
      <c r="B35" s="893"/>
      <c r="C35" s="895"/>
      <c r="D35" s="895"/>
      <c r="E35" s="895"/>
      <c r="F35" s="895"/>
      <c r="G35" s="895"/>
      <c r="H35" s="895"/>
      <c r="I35" s="895"/>
      <c r="J35" s="895"/>
      <c r="K35" s="523"/>
    </row>
    <row r="36" spans="1:18" ht="18" customHeight="1" x14ac:dyDescent="0.25">
      <c r="A36" s="657"/>
      <c r="B36" s="894" t="str">
        <f t="shared" si="8"/>
        <v/>
      </c>
      <c r="C36" s="895" t="str">
        <f t="shared" ref="C36:J43" si="12">IF($A$21=TRUE,I59,"")</f>
        <v/>
      </c>
      <c r="D36" s="895" t="str">
        <f t="shared" si="12"/>
        <v/>
      </c>
      <c r="E36" s="895" t="str">
        <f t="shared" si="12"/>
        <v/>
      </c>
      <c r="F36" s="895" t="str">
        <f t="shared" si="12"/>
        <v/>
      </c>
      <c r="G36" s="895" t="str">
        <f t="shared" si="12"/>
        <v/>
      </c>
      <c r="H36" s="895" t="str">
        <f t="shared" si="12"/>
        <v/>
      </c>
      <c r="I36" s="895" t="str">
        <f t="shared" si="12"/>
        <v/>
      </c>
      <c r="J36" s="895" t="str">
        <f t="shared" si="12"/>
        <v/>
      </c>
      <c r="K36" s="523"/>
    </row>
    <row r="37" spans="1:18" ht="18" customHeight="1" x14ac:dyDescent="0.25">
      <c r="A37" s="898"/>
      <c r="B37" s="893" t="str">
        <f t="shared" si="8"/>
        <v/>
      </c>
      <c r="C37" s="895" t="str">
        <f t="shared" si="12"/>
        <v/>
      </c>
      <c r="D37" s="895" t="str">
        <f t="shared" si="12"/>
        <v/>
      </c>
      <c r="E37" s="895" t="str">
        <f t="shared" si="12"/>
        <v/>
      </c>
      <c r="F37" s="895" t="str">
        <f t="shared" si="12"/>
        <v/>
      </c>
      <c r="G37" s="895" t="str">
        <f t="shared" si="12"/>
        <v/>
      </c>
      <c r="H37" s="895" t="str">
        <f t="shared" si="12"/>
        <v/>
      </c>
      <c r="I37" s="895" t="str">
        <f t="shared" si="12"/>
        <v/>
      </c>
      <c r="J37" s="895" t="str">
        <f t="shared" si="12"/>
        <v/>
      </c>
      <c r="K37" s="523"/>
    </row>
    <row r="38" spans="1:18" ht="18" customHeight="1" x14ac:dyDescent="0.25">
      <c r="A38" s="898"/>
      <c r="B38" s="893" t="str">
        <f t="shared" si="8"/>
        <v/>
      </c>
      <c r="C38" s="895" t="str">
        <f t="shared" si="12"/>
        <v/>
      </c>
      <c r="D38" s="895" t="str">
        <f t="shared" si="12"/>
        <v/>
      </c>
      <c r="E38" s="895" t="str">
        <f t="shared" si="12"/>
        <v/>
      </c>
      <c r="F38" s="895" t="str">
        <f t="shared" si="12"/>
        <v/>
      </c>
      <c r="G38" s="895" t="str">
        <f t="shared" si="12"/>
        <v/>
      </c>
      <c r="H38" s="895" t="str">
        <f t="shared" si="12"/>
        <v/>
      </c>
      <c r="I38" s="895" t="str">
        <f t="shared" si="12"/>
        <v/>
      </c>
      <c r="J38" s="895" t="str">
        <f t="shared" si="12"/>
        <v/>
      </c>
      <c r="K38" s="523"/>
    </row>
    <row r="39" spans="1:18" ht="18" customHeight="1" x14ac:dyDescent="0.25">
      <c r="A39" s="898"/>
      <c r="B39" s="893" t="str">
        <f t="shared" si="8"/>
        <v/>
      </c>
      <c r="C39" s="895" t="str">
        <f t="shared" si="12"/>
        <v/>
      </c>
      <c r="D39" s="895" t="str">
        <f t="shared" si="12"/>
        <v/>
      </c>
      <c r="E39" s="895" t="str">
        <f t="shared" si="12"/>
        <v/>
      </c>
      <c r="F39" s="895" t="str">
        <f t="shared" si="12"/>
        <v/>
      </c>
      <c r="G39" s="895" t="str">
        <f t="shared" si="12"/>
        <v/>
      </c>
      <c r="H39" s="895" t="str">
        <f t="shared" si="12"/>
        <v/>
      </c>
      <c r="I39" s="895" t="str">
        <f t="shared" si="12"/>
        <v/>
      </c>
      <c r="J39" s="895" t="str">
        <f t="shared" si="12"/>
        <v/>
      </c>
      <c r="K39" s="523"/>
    </row>
    <row r="40" spans="1:18" ht="18" customHeight="1" x14ac:dyDescent="0.25">
      <c r="A40" s="898"/>
      <c r="B40" s="893" t="str">
        <f t="shared" si="8"/>
        <v/>
      </c>
      <c r="C40" s="895" t="str">
        <f t="shared" si="12"/>
        <v/>
      </c>
      <c r="D40" s="895" t="str">
        <f t="shared" si="12"/>
        <v/>
      </c>
      <c r="E40" s="895" t="str">
        <f t="shared" si="12"/>
        <v/>
      </c>
      <c r="F40" s="895" t="str">
        <f t="shared" si="12"/>
        <v/>
      </c>
      <c r="G40" s="895" t="str">
        <f t="shared" si="12"/>
        <v/>
      </c>
      <c r="H40" s="895" t="str">
        <f t="shared" si="12"/>
        <v/>
      </c>
      <c r="I40" s="895" t="str">
        <f t="shared" si="12"/>
        <v/>
      </c>
      <c r="J40" s="895" t="str">
        <f t="shared" si="12"/>
        <v/>
      </c>
      <c r="K40" s="523"/>
    </row>
    <row r="41" spans="1:18" ht="18" customHeight="1" x14ac:dyDescent="0.25">
      <c r="A41" s="898"/>
      <c r="B41" s="893" t="str">
        <f t="shared" si="8"/>
        <v/>
      </c>
      <c r="C41" s="895" t="str">
        <f t="shared" si="12"/>
        <v/>
      </c>
      <c r="D41" s="895" t="str">
        <f t="shared" si="12"/>
        <v/>
      </c>
      <c r="E41" s="895" t="str">
        <f t="shared" si="12"/>
        <v/>
      </c>
      <c r="F41" s="895" t="str">
        <f t="shared" si="12"/>
        <v/>
      </c>
      <c r="G41" s="895" t="str">
        <f t="shared" si="12"/>
        <v/>
      </c>
      <c r="H41" s="895" t="str">
        <f t="shared" si="12"/>
        <v/>
      </c>
      <c r="I41" s="895" t="str">
        <f t="shared" si="12"/>
        <v/>
      </c>
      <c r="J41" s="895" t="str">
        <f t="shared" si="12"/>
        <v/>
      </c>
      <c r="K41" s="523"/>
    </row>
    <row r="42" spans="1:18" ht="18" customHeight="1" x14ac:dyDescent="0.3">
      <c r="A42" s="657"/>
      <c r="B42" s="893" t="str">
        <f t="shared" si="8"/>
        <v/>
      </c>
      <c r="C42" s="895" t="str">
        <f t="shared" si="12"/>
        <v/>
      </c>
      <c r="D42" s="895" t="str">
        <f t="shared" si="12"/>
        <v/>
      </c>
      <c r="E42" s="895" t="str">
        <f t="shared" si="12"/>
        <v/>
      </c>
      <c r="F42" s="895" t="str">
        <f t="shared" si="12"/>
        <v/>
      </c>
      <c r="G42" s="895" t="str">
        <f t="shared" si="12"/>
        <v/>
      </c>
      <c r="H42" s="895" t="str">
        <f t="shared" si="12"/>
        <v/>
      </c>
      <c r="I42" s="895" t="str">
        <f t="shared" si="12"/>
        <v/>
      </c>
      <c r="J42" s="895" t="str">
        <f t="shared" si="12"/>
        <v/>
      </c>
      <c r="K42" s="524"/>
    </row>
    <row r="43" spans="1:18" ht="18" customHeight="1" x14ac:dyDescent="0.3">
      <c r="A43" s="657"/>
      <c r="B43" s="893" t="str">
        <f t="shared" si="8"/>
        <v/>
      </c>
      <c r="C43" s="897" t="str">
        <f t="shared" si="12"/>
        <v/>
      </c>
      <c r="D43" s="897" t="str">
        <f t="shared" si="12"/>
        <v/>
      </c>
      <c r="E43" s="897" t="str">
        <f t="shared" si="12"/>
        <v/>
      </c>
      <c r="F43" s="897" t="str">
        <f t="shared" si="12"/>
        <v/>
      </c>
      <c r="G43" s="897" t="str">
        <f t="shared" si="12"/>
        <v/>
      </c>
      <c r="H43" s="897" t="str">
        <f t="shared" si="12"/>
        <v/>
      </c>
      <c r="I43" s="897" t="str">
        <f t="shared" si="12"/>
        <v/>
      </c>
      <c r="J43" s="897" t="str">
        <f t="shared" si="12"/>
        <v/>
      </c>
      <c r="K43" s="524"/>
    </row>
    <row r="44" spans="1:18" ht="18" customHeight="1" x14ac:dyDescent="0.3">
      <c r="A44" s="526"/>
      <c r="B44" s="522"/>
      <c r="C44" s="897"/>
      <c r="D44" s="526"/>
      <c r="E44" s="526"/>
      <c r="F44" s="526"/>
      <c r="G44" s="526"/>
      <c r="H44" s="526"/>
      <c r="I44" s="526"/>
      <c r="J44" s="526"/>
      <c r="K44" s="524"/>
    </row>
    <row r="45" spans="1:18" ht="18" customHeight="1" x14ac:dyDescent="0.3">
      <c r="A45" s="378"/>
      <c r="B45" s="378"/>
      <c r="C45" s="378"/>
      <c r="D45" s="378"/>
      <c r="E45" s="378"/>
      <c r="F45" s="378"/>
      <c r="G45" s="378"/>
      <c r="H45" s="378"/>
      <c r="I45" s="378"/>
      <c r="J45" s="378"/>
      <c r="K45" s="378"/>
      <c r="L45" s="378"/>
      <c r="M45" s="378"/>
      <c r="N45" s="376"/>
      <c r="O45" s="376"/>
      <c r="P45" s="376"/>
      <c r="Q45" s="568"/>
    </row>
    <row r="46" spans="1:18" ht="18" customHeight="1" x14ac:dyDescent="0.3">
      <c r="A46" s="396"/>
      <c r="B46" s="396"/>
      <c r="C46" s="396"/>
      <c r="D46" s="396"/>
      <c r="E46" s="396"/>
      <c r="F46" s="396"/>
      <c r="G46" s="396"/>
      <c r="H46" s="396"/>
      <c r="I46" s="396"/>
      <c r="J46" s="396"/>
      <c r="K46" s="396"/>
      <c r="L46" s="396"/>
      <c r="M46" s="396"/>
      <c r="N46" s="396"/>
      <c r="O46" s="396"/>
      <c r="P46" s="396"/>
      <c r="Q46" s="573"/>
      <c r="R46" s="396"/>
    </row>
    <row r="47" spans="1:18" ht="18" customHeight="1" x14ac:dyDescent="0.3">
      <c r="A47" s="567"/>
      <c r="B47" s="396"/>
      <c r="C47" s="396"/>
      <c r="D47" s="396"/>
      <c r="E47" s="396"/>
      <c r="F47" s="396"/>
      <c r="G47" s="396"/>
      <c r="H47" s="396"/>
      <c r="I47" s="606">
        <v>2004</v>
      </c>
      <c r="J47" s="396">
        <v>2005</v>
      </c>
      <c r="K47" s="396">
        <v>2006</v>
      </c>
      <c r="L47" s="396">
        <v>2007</v>
      </c>
      <c r="M47" s="396">
        <v>2008</v>
      </c>
      <c r="N47" s="396">
        <v>2009</v>
      </c>
      <c r="O47" s="396">
        <v>2010</v>
      </c>
      <c r="P47" s="396">
        <v>2011</v>
      </c>
      <c r="Q47" s="573"/>
      <c r="R47" s="396"/>
    </row>
    <row r="48" spans="1:18" ht="18" customHeight="1" x14ac:dyDescent="0.3">
      <c r="A48" s="567"/>
      <c r="B48" s="607"/>
      <c r="C48" s="608"/>
      <c r="D48" s="608"/>
      <c r="E48" s="607"/>
      <c r="F48" s="607"/>
      <c r="G48" s="607"/>
      <c r="H48" s="607"/>
      <c r="I48" s="609" t="s">
        <v>192</v>
      </c>
      <c r="J48" s="609" t="s">
        <v>193</v>
      </c>
      <c r="K48" s="609" t="s">
        <v>194</v>
      </c>
      <c r="L48" s="609" t="s">
        <v>195</v>
      </c>
      <c r="M48" s="574" t="s">
        <v>196</v>
      </c>
      <c r="N48" s="574" t="s">
        <v>6</v>
      </c>
      <c r="O48" s="575" t="s">
        <v>7</v>
      </c>
      <c r="P48" s="576" t="s">
        <v>489</v>
      </c>
      <c r="Q48" s="573"/>
      <c r="R48" s="396"/>
    </row>
    <row r="49" spans="1:18" ht="18" customHeight="1" x14ac:dyDescent="0.25">
      <c r="A49" s="567"/>
      <c r="B49" s="610"/>
      <c r="C49" s="609" t="s">
        <v>68</v>
      </c>
      <c r="D49" s="609" t="s">
        <v>69</v>
      </c>
      <c r="E49" s="609" t="s">
        <v>70</v>
      </c>
      <c r="F49" s="609" t="s">
        <v>71</v>
      </c>
      <c r="G49" s="574" t="s">
        <v>72</v>
      </c>
      <c r="H49" s="574" t="s">
        <v>73</v>
      </c>
      <c r="I49" s="611"/>
      <c r="J49" s="611"/>
      <c r="K49" s="611"/>
      <c r="L49" s="611"/>
      <c r="M49" s="577"/>
      <c r="N49" s="577"/>
      <c r="O49" s="578"/>
      <c r="P49" s="578"/>
      <c r="Q49" s="396"/>
      <c r="R49" s="396"/>
    </row>
    <row r="50" spans="1:18" x14ac:dyDescent="0.25">
      <c r="A50" s="567"/>
      <c r="B50" s="612" t="s">
        <v>392</v>
      </c>
      <c r="C50" s="611"/>
      <c r="D50" s="611"/>
      <c r="E50" s="611"/>
      <c r="F50" s="611"/>
      <c r="G50" s="577"/>
      <c r="H50" s="577"/>
      <c r="I50" s="579">
        <f>'Inputs index (2)'!I14</f>
        <v>31334252.480110005</v>
      </c>
      <c r="J50" s="579">
        <f>'Inputs index (2)'!J14</f>
        <v>33926746.314999998</v>
      </c>
      <c r="K50" s="579">
        <f>'Inputs index (2)'!K14</f>
        <v>35177509.125</v>
      </c>
      <c r="L50" s="579">
        <f>'Inputs index (2)'!L14</f>
        <v>36539983.701629996</v>
      </c>
      <c r="M50" s="579">
        <f>'Inputs index (2)'!M14</f>
        <v>39213453.649081036</v>
      </c>
      <c r="N50" s="579">
        <f>'Inputs index (2)'!N14</f>
        <v>42145100.102129996</v>
      </c>
      <c r="O50" s="579">
        <f>'Inputs index (2)'!O14</f>
        <v>43513839</v>
      </c>
      <c r="P50" s="579">
        <f>'Inputs index (2)'!P14</f>
        <v>43513839</v>
      </c>
      <c r="Q50" s="396"/>
      <c r="R50" s="396"/>
    </row>
    <row r="51" spans="1:18" x14ac:dyDescent="0.25">
      <c r="A51" s="567"/>
      <c r="B51" s="613" t="s">
        <v>215</v>
      </c>
      <c r="C51" s="579"/>
      <c r="D51" s="579"/>
      <c r="E51" s="579"/>
      <c r="F51" s="579"/>
      <c r="G51" s="614"/>
      <c r="H51" s="614"/>
      <c r="I51" s="579">
        <f>'Inputs index (2)'!I15</f>
        <v>1557282.4487299998</v>
      </c>
      <c r="J51" s="579">
        <f>'Inputs index (2)'!J15</f>
        <v>1459935.5</v>
      </c>
      <c r="K51" s="579">
        <f>'Inputs index (2)'!K15</f>
        <v>1185244</v>
      </c>
      <c r="L51" s="579">
        <f>'Inputs index (2)'!L15</f>
        <v>1354520.29837</v>
      </c>
      <c r="M51" s="579">
        <f>'Inputs index (2)'!M15</f>
        <v>1895451.8837600001</v>
      </c>
      <c r="N51" s="579">
        <f>'Inputs index (2)'!N15</f>
        <v>2195295.3909299998</v>
      </c>
      <c r="O51" s="579">
        <f>'Inputs index (2)'!O15</f>
        <v>2127889</v>
      </c>
      <c r="P51" s="579">
        <f>'Inputs index (2)'!P15</f>
        <v>2127889</v>
      </c>
      <c r="Q51" s="396"/>
      <c r="R51" s="396"/>
    </row>
    <row r="52" spans="1:18" x14ac:dyDescent="0.25">
      <c r="A52" s="567"/>
      <c r="B52" s="613" t="s">
        <v>216</v>
      </c>
      <c r="C52" s="579"/>
      <c r="D52" s="579"/>
      <c r="E52" s="579"/>
      <c r="F52" s="579"/>
      <c r="G52" s="614"/>
      <c r="H52" s="614"/>
      <c r="I52" s="579">
        <f>IF(A4=1,'Inputs index (2)'!I16,'Inputs index (2)'!I17)</f>
        <v>8757990</v>
      </c>
      <c r="J52" s="579">
        <f>IF(B4=1,'Inputs index (2)'!J16,'Inputs index (2)'!J17)</f>
        <v>10271344</v>
      </c>
      <c r="K52" s="579">
        <f>IF(C4=1,'Inputs index (2)'!K16,'Inputs index (2)'!K17)</f>
        <v>11378727</v>
      </c>
      <c r="L52" s="579">
        <f>IF(D4=1,'Inputs index (2)'!L16,'Inputs index (2)'!L17)</f>
        <v>13036200</v>
      </c>
      <c r="M52" s="579">
        <f>IF(E4=1,'Inputs index (2)'!M16,'Inputs index (2)'!M17)</f>
        <v>13991803</v>
      </c>
      <c r="N52" s="579">
        <f>IF(F4=1,'Inputs index (2)'!N16,'Inputs index (2)'!N17)</f>
        <v>14911074</v>
      </c>
      <c r="O52" s="579">
        <f>IF(G4=1,'Inputs index (2)'!O16,'Inputs index (2)'!O17)</f>
        <v>16077609</v>
      </c>
      <c r="P52" s="579">
        <f>IF(H4=1,'Inputs index (2)'!P16,'Inputs index (2)'!P17)</f>
        <v>16077609</v>
      </c>
      <c r="Q52" s="396"/>
      <c r="R52" s="396"/>
    </row>
    <row r="53" spans="1:18" x14ac:dyDescent="0.25">
      <c r="A53" s="567"/>
      <c r="B53" s="613" t="str">
        <f>IF($A$7=1, 'Inputs index (2)'!B16,'Inputs index (2)'!B17)</f>
        <v>Intermediates (RC)</v>
      </c>
      <c r="C53" s="614"/>
      <c r="D53" s="614"/>
      <c r="E53" s="614"/>
      <c r="F53" s="614"/>
      <c r="G53" s="614"/>
      <c r="H53" s="614"/>
      <c r="I53" s="579">
        <f>'Inputs index (2)'!I18</f>
        <v>5115514.2809764491</v>
      </c>
      <c r="J53" s="579">
        <f>'Inputs index (2)'!J18</f>
        <v>5839664.3710000003</v>
      </c>
      <c r="K53" s="579">
        <f>'Inputs index (2)'!K18</f>
        <v>6568362.6799999997</v>
      </c>
      <c r="L53" s="579">
        <f>'Inputs index (2)'!L18</f>
        <v>7784592.0729</v>
      </c>
      <c r="M53" s="579">
        <f>'Inputs index (2)'!M18</f>
        <v>7426030.9178999998</v>
      </c>
      <c r="N53" s="579">
        <f>'Inputs index (2)'!N18</f>
        <v>7635390.1285600001</v>
      </c>
      <c r="O53" s="579">
        <f>'Inputs index (2)'!O18</f>
        <v>8025361</v>
      </c>
      <c r="P53" s="579">
        <f>'Inputs index (2)'!P18</f>
        <v>8025361</v>
      </c>
      <c r="Q53" s="396"/>
      <c r="R53" s="396"/>
    </row>
    <row r="54" spans="1:18" x14ac:dyDescent="0.25">
      <c r="A54" s="567"/>
      <c r="B54" s="613" t="s">
        <v>47</v>
      </c>
      <c r="C54" s="579"/>
      <c r="D54" s="579"/>
      <c r="E54" s="579"/>
      <c r="F54" s="579"/>
      <c r="G54" s="614"/>
      <c r="H54" s="614"/>
      <c r="I54" s="579">
        <f>'Inputs index (2)'!I19</f>
        <v>8094174.9440000001</v>
      </c>
      <c r="J54" s="579">
        <f>'Inputs index (2)'!J19</f>
        <v>8013483.2259999998</v>
      </c>
      <c r="K54" s="579">
        <f>'Inputs index (2)'!K19</f>
        <v>8250323.8930000002</v>
      </c>
      <c r="L54" s="579">
        <f>'Inputs index (2)'!L19</f>
        <v>8303500.9179999996</v>
      </c>
      <c r="M54" s="579">
        <f>'Inputs index (2)'!M19</f>
        <v>8376264.432</v>
      </c>
      <c r="N54" s="579">
        <f>'Inputs index (2)'!N19</f>
        <v>8621421.1300000008</v>
      </c>
      <c r="O54" s="579">
        <f>'Inputs index (2)'!O19</f>
        <v>8880735.3440000005</v>
      </c>
      <c r="P54" s="579">
        <f>'Inputs index (2)'!P19</f>
        <v>8880735.3440000005</v>
      </c>
      <c r="Q54" s="396"/>
      <c r="R54" s="396"/>
    </row>
    <row r="55" spans="1:18" x14ac:dyDescent="0.25">
      <c r="A55" s="567"/>
      <c r="B55" s="613" t="s">
        <v>136</v>
      </c>
      <c r="C55" s="579"/>
      <c r="D55" s="579"/>
      <c r="E55" s="579"/>
      <c r="F55" s="579"/>
      <c r="G55" s="614"/>
      <c r="H55" s="614"/>
      <c r="I55" s="579">
        <f>'Inputs index (2)'!I20</f>
        <v>9569836</v>
      </c>
      <c r="J55" s="579">
        <f>'Inputs index (2)'!J20</f>
        <v>11162141</v>
      </c>
      <c r="K55" s="579">
        <f>'Inputs index (2)'!K20</f>
        <v>11209422</v>
      </c>
      <c r="L55" s="579">
        <f>'Inputs index (2)'!L20</f>
        <v>11697639</v>
      </c>
      <c r="M55" s="579">
        <f>'Inputs index (2)'!M20</f>
        <v>12074672</v>
      </c>
      <c r="N55" s="579">
        <f>'Inputs index (2)'!N20</f>
        <v>12683418</v>
      </c>
      <c r="O55" s="579">
        <f>'Inputs index (2)'!O20</f>
        <v>12962081</v>
      </c>
      <c r="P55" s="579">
        <f>'Inputs index (2)'!P20</f>
        <v>12902236</v>
      </c>
      <c r="Q55" s="396"/>
      <c r="R55" s="396"/>
    </row>
    <row r="56" spans="1:18" x14ac:dyDescent="0.25">
      <c r="A56" s="396"/>
      <c r="B56" s="613" t="s">
        <v>218</v>
      </c>
      <c r="C56" s="579"/>
      <c r="D56" s="579"/>
      <c r="E56" s="615"/>
      <c r="F56" s="615"/>
      <c r="G56" s="615"/>
      <c r="H56" s="615"/>
      <c r="I56" s="579">
        <f>'Inputs index (2)'!I21</f>
        <v>278000</v>
      </c>
      <c r="J56" s="579">
        <f>'Inputs index (2)'!J21</f>
        <v>262000</v>
      </c>
      <c r="K56" s="579">
        <f>'Inputs index (2)'!K21</f>
        <v>229000</v>
      </c>
      <c r="L56" s="579">
        <f>'Inputs index (2)'!L21</f>
        <v>226000</v>
      </c>
      <c r="M56" s="579">
        <f>'Inputs index (2)'!M21</f>
        <v>242958</v>
      </c>
      <c r="N56" s="579">
        <f>'Inputs index (2)'!N21</f>
        <v>241608</v>
      </c>
      <c r="O56" s="579">
        <f>'Inputs index (2)'!O21</f>
        <v>212245</v>
      </c>
      <c r="P56" s="579">
        <f>'Inputs index (2)'!P21</f>
        <v>212245</v>
      </c>
      <c r="Q56" s="396"/>
      <c r="R56" s="396"/>
    </row>
    <row r="57" spans="1:18" x14ac:dyDescent="0.25">
      <c r="A57" s="396"/>
      <c r="B57" s="613" t="s">
        <v>378</v>
      </c>
      <c r="C57" s="579"/>
      <c r="D57" s="579"/>
      <c r="E57" s="615"/>
      <c r="F57" s="615"/>
      <c r="G57" s="615"/>
      <c r="H57" s="615"/>
      <c r="I57" s="579">
        <f>SUM(I50:I56)</f>
        <v>64707050.153816454</v>
      </c>
      <c r="J57" s="579">
        <f t="shared" ref="J57:P57" si="13">SUM(J50:J56)</f>
        <v>70935314.412</v>
      </c>
      <c r="K57" s="579">
        <f t="shared" si="13"/>
        <v>73998588.697999999</v>
      </c>
      <c r="L57" s="579">
        <f t="shared" si="13"/>
        <v>78942435.990899995</v>
      </c>
      <c r="M57" s="579">
        <f t="shared" si="13"/>
        <v>83220633.882741034</v>
      </c>
      <c r="N57" s="579">
        <f t="shared" si="13"/>
        <v>88433306.751619995</v>
      </c>
      <c r="O57" s="579">
        <f t="shared" si="13"/>
        <v>91799759.343999997</v>
      </c>
      <c r="P57" s="579">
        <f t="shared" si="13"/>
        <v>91739914.343999997</v>
      </c>
      <c r="Q57" s="396"/>
      <c r="R57" s="396"/>
    </row>
    <row r="58" spans="1:18" x14ac:dyDescent="0.25">
      <c r="A58" s="396"/>
      <c r="B58" s="613" t="s">
        <v>220</v>
      </c>
      <c r="C58" s="616"/>
      <c r="D58" s="616"/>
      <c r="E58" s="616"/>
      <c r="F58" s="616"/>
      <c r="G58" s="616"/>
      <c r="H58" s="616"/>
      <c r="I58" s="579">
        <f>'Inputs index (2)'!I23</f>
        <v>0</v>
      </c>
      <c r="J58" s="579">
        <f>'Inputs index (2)'!J23</f>
        <v>0</v>
      </c>
      <c r="K58" s="579">
        <f>'Inputs index (2)'!K23</f>
        <v>0</v>
      </c>
      <c r="L58" s="579">
        <f>'Inputs index (2)'!L23</f>
        <v>0</v>
      </c>
      <c r="M58" s="579">
        <f>'Inputs index (2)'!M23</f>
        <v>0</v>
      </c>
      <c r="N58" s="579">
        <f>'Inputs index (2)'!N23</f>
        <v>0</v>
      </c>
      <c r="O58" s="579">
        <f>'Inputs index (2)'!O23</f>
        <v>0</v>
      </c>
      <c r="P58" s="579">
        <f>'Inputs index (2)'!P23</f>
        <v>0</v>
      </c>
      <c r="Q58" s="396"/>
      <c r="R58" s="396"/>
    </row>
    <row r="59" spans="1:18" x14ac:dyDescent="0.25">
      <c r="A59" s="396"/>
      <c r="B59" s="613"/>
      <c r="C59" s="616"/>
      <c r="D59" s="616"/>
      <c r="E59" s="615"/>
      <c r="F59" s="615"/>
      <c r="G59" s="615"/>
      <c r="H59" s="615"/>
      <c r="I59" s="579">
        <f>'Inputs index (2)'!I24</f>
        <v>0</v>
      </c>
      <c r="J59" s="579">
        <f>'Inputs index (2)'!J24</f>
        <v>0</v>
      </c>
      <c r="K59" s="579">
        <f>'Inputs index (2)'!K24</f>
        <v>0</v>
      </c>
      <c r="L59" s="579">
        <f>'Inputs index (2)'!L24</f>
        <v>0</v>
      </c>
      <c r="M59" s="579">
        <f>'Inputs index (2)'!M24</f>
        <v>0</v>
      </c>
      <c r="N59" s="579">
        <f>'Inputs index (2)'!N24</f>
        <v>0</v>
      </c>
      <c r="O59" s="579">
        <f>'Inputs index (2)'!O24</f>
        <v>0</v>
      </c>
      <c r="P59" s="579">
        <f>'Inputs index (2)'!P24</f>
        <v>0</v>
      </c>
      <c r="Q59" s="396"/>
      <c r="R59" s="396"/>
    </row>
    <row r="60" spans="1:18" x14ac:dyDescent="0.25">
      <c r="A60" s="396"/>
      <c r="B60" s="617" t="s">
        <v>391</v>
      </c>
      <c r="C60" s="616"/>
      <c r="D60" s="616"/>
      <c r="E60" s="615"/>
      <c r="F60" s="615"/>
      <c r="G60" s="615"/>
      <c r="H60" s="615"/>
      <c r="I60" s="579">
        <f>'Inputs index (2)'!I25</f>
        <v>38212088</v>
      </c>
      <c r="J60" s="579">
        <f>'Inputs index (2)'!J25</f>
        <v>39516362</v>
      </c>
      <c r="K60" s="579">
        <f>'Inputs index (2)'!K25</f>
        <v>39359457</v>
      </c>
      <c r="L60" s="579">
        <f>'Inputs index (2)'!L25</f>
        <v>39525586</v>
      </c>
      <c r="M60" s="579">
        <f>'Inputs index (2)'!M25</f>
        <v>41200614</v>
      </c>
      <c r="N60" s="579">
        <f>'Inputs index (2)'!N25</f>
        <v>43406879</v>
      </c>
      <c r="O60" s="579">
        <f>'Inputs index (2)'!O25</f>
        <v>43513839</v>
      </c>
      <c r="P60" s="579">
        <f>'Inputs index (2)'!P25</f>
        <v>43513839</v>
      </c>
      <c r="Q60" s="396"/>
      <c r="R60" s="396"/>
    </row>
    <row r="61" spans="1:18" x14ac:dyDescent="0.25">
      <c r="A61" s="396"/>
      <c r="B61" s="618" t="s">
        <v>215</v>
      </c>
      <c r="C61" s="619"/>
      <c r="D61" s="619"/>
      <c r="E61" s="615"/>
      <c r="F61" s="615"/>
      <c r="G61" s="615"/>
      <c r="H61" s="615"/>
      <c r="I61" s="579">
        <f>'Inputs index (2)'!I26</f>
        <v>1669078</v>
      </c>
      <c r="J61" s="579">
        <f>'Inputs index (2)'!J26</f>
        <v>1440740</v>
      </c>
      <c r="K61" s="579">
        <f>'Inputs index (2)'!K26</f>
        <v>1089513</v>
      </c>
      <c r="L61" s="579">
        <f>'Inputs index (2)'!L26</f>
        <v>1305572</v>
      </c>
      <c r="M61" s="579">
        <f>'Inputs index (2)'!M26</f>
        <v>1988902</v>
      </c>
      <c r="N61" s="579">
        <f>'Inputs index (2)'!N26</f>
        <v>2373791</v>
      </c>
      <c r="O61" s="579">
        <f>'Inputs index (2)'!O26</f>
        <v>2127889</v>
      </c>
      <c r="P61" s="579">
        <f>'Inputs index (2)'!P26</f>
        <v>2127889</v>
      </c>
      <c r="Q61" s="396"/>
      <c r="R61" s="396"/>
    </row>
    <row r="62" spans="1:18" x14ac:dyDescent="0.25">
      <c r="A62" s="396"/>
      <c r="B62" s="618" t="s">
        <v>216</v>
      </c>
      <c r="C62" s="619"/>
      <c r="D62" s="619"/>
      <c r="E62" s="619"/>
      <c r="F62" s="619"/>
      <c r="G62" s="619"/>
      <c r="H62" s="619"/>
      <c r="I62" s="579">
        <f>'Inputs index (2)'!I27</f>
        <v>12585219</v>
      </c>
      <c r="J62" s="579">
        <f>'Inputs index (2)'!J27</f>
        <v>15063465</v>
      </c>
      <c r="K62" s="579">
        <f>'Inputs index (2)'!K27</f>
        <v>16481702</v>
      </c>
      <c r="L62" s="579">
        <f>'Inputs index (2)'!L27</f>
        <v>19256774</v>
      </c>
      <c r="M62" s="579">
        <f>'Inputs index (2)'!M27</f>
        <v>20421390</v>
      </c>
      <c r="N62" s="579">
        <f>'Inputs index (2)'!N27</f>
        <v>22731361</v>
      </c>
      <c r="O62" s="579">
        <f>'Inputs index (2)'!O27</f>
        <v>23931309</v>
      </c>
      <c r="P62" s="579">
        <f>'Inputs index (2)'!P27</f>
        <v>23931309</v>
      </c>
      <c r="Q62" s="396"/>
      <c r="R62" s="396"/>
    </row>
    <row r="63" spans="1:18" x14ac:dyDescent="0.25">
      <c r="A63" s="396"/>
      <c r="B63" s="613" t="str">
        <f>IF($A$7=1, 'Inputs index (2)'!B27,'Inputs index (2)'!B28)</f>
        <v>Intermediates (RC)</v>
      </c>
      <c r="C63" s="614"/>
      <c r="D63" s="614"/>
      <c r="E63" s="614"/>
      <c r="F63" s="614"/>
      <c r="G63" s="614"/>
      <c r="H63" s="614"/>
      <c r="I63" s="579">
        <f>'Inputs index (2)'!I28</f>
        <v>8908327</v>
      </c>
      <c r="J63" s="579">
        <f>'Inputs index (2)'!J28</f>
        <v>10650038</v>
      </c>
      <c r="K63" s="579">
        <f>'Inputs index (2)'!K28</f>
        <v>11640863</v>
      </c>
      <c r="L63" s="579">
        <f>'Inputs index (2)'!L28</f>
        <v>13367264.856002657</v>
      </c>
      <c r="M63" s="579">
        <f>'Inputs index (2)'!M28</f>
        <v>14140508.469508</v>
      </c>
      <c r="N63" s="579">
        <f>'Inputs index (2)'!N28</f>
        <v>15427876.675999999</v>
      </c>
      <c r="O63" s="579">
        <f>'Inputs index (2)'!O28</f>
        <v>16077604</v>
      </c>
      <c r="P63" s="579">
        <f>'Inputs index (2)'!P28</f>
        <v>16077604</v>
      </c>
      <c r="Q63" s="396"/>
      <c r="R63" s="396"/>
    </row>
    <row r="64" spans="1:18" x14ac:dyDescent="0.25">
      <c r="A64" s="396"/>
      <c r="B64" s="620" t="s">
        <v>47</v>
      </c>
      <c r="C64" s="619"/>
      <c r="D64" s="619"/>
      <c r="E64" s="619"/>
      <c r="F64" s="619"/>
      <c r="G64" s="619"/>
      <c r="H64" s="619"/>
      <c r="I64" s="579">
        <f>'Inputs index (2)'!I29</f>
        <v>3308036</v>
      </c>
      <c r="J64" s="579">
        <f>'Inputs index (2)'!J29</f>
        <v>3578676</v>
      </c>
      <c r="K64" s="579">
        <f>'Inputs index (2)'!K29</f>
        <v>4190683</v>
      </c>
      <c r="L64" s="579">
        <f>'Inputs index (2)'!L29</f>
        <v>4292293</v>
      </c>
      <c r="M64" s="579">
        <f>'Inputs index (2)'!M29</f>
        <v>3994568</v>
      </c>
      <c r="N64" s="579">
        <f>'Inputs index (2)'!N29</f>
        <v>3958031</v>
      </c>
      <c r="O64" s="579">
        <f>'Inputs index (2)'!O29</f>
        <v>3893374</v>
      </c>
      <c r="P64" s="579">
        <f>'Inputs index (2)'!P29</f>
        <v>3893374</v>
      </c>
      <c r="Q64" s="396"/>
      <c r="R64" s="396"/>
    </row>
    <row r="65" spans="1:18" x14ac:dyDescent="0.25">
      <c r="A65" s="396"/>
      <c r="B65" s="620" t="s">
        <v>136</v>
      </c>
      <c r="C65" s="619"/>
      <c r="D65" s="619"/>
      <c r="E65" s="619"/>
      <c r="F65" s="619"/>
      <c r="G65" s="619"/>
      <c r="H65" s="619"/>
      <c r="I65" s="579">
        <f>'Inputs index (2)'!I30</f>
        <v>5931102.0326811802</v>
      </c>
      <c r="J65" s="579">
        <f>'Inputs index (2)'!J30</f>
        <v>6514497.3790748697</v>
      </c>
      <c r="K65" s="579">
        <f>'Inputs index (2)'!K30</f>
        <v>6944132.5587071804</v>
      </c>
      <c r="L65" s="579">
        <f>'Inputs index (2)'!L30</f>
        <v>7454440.1813448202</v>
      </c>
      <c r="M65" s="579">
        <f>'Inputs index (2)'!M30</f>
        <v>7927564.2930153301</v>
      </c>
      <c r="N65" s="579">
        <f>'Inputs index (2)'!N30</f>
        <v>8477306.9124877099</v>
      </c>
      <c r="O65" s="579">
        <f>'Inputs index (2)'!O30</f>
        <v>8880735.3440000005</v>
      </c>
      <c r="P65" s="579">
        <f>'Inputs index (2)'!P30</f>
        <v>8880735.3440000005</v>
      </c>
      <c r="Q65" s="396"/>
      <c r="R65" s="396"/>
    </row>
    <row r="66" spans="1:18" x14ac:dyDescent="0.25">
      <c r="A66" s="580"/>
      <c r="B66" s="620" t="s">
        <v>218</v>
      </c>
      <c r="C66" s="619"/>
      <c r="D66" s="619"/>
      <c r="E66" s="619"/>
      <c r="F66" s="619"/>
      <c r="G66" s="619"/>
      <c r="H66" s="619"/>
      <c r="I66" s="579">
        <f>'Inputs index (2)'!I31</f>
        <v>11670404.906738559</v>
      </c>
      <c r="J66" s="579">
        <f>'Inputs index (2)'!J31</f>
        <v>13001164.445567448</v>
      </c>
      <c r="K66" s="579">
        <f>'Inputs index (2)'!K31</f>
        <v>12542012.72574419</v>
      </c>
      <c r="L66" s="579">
        <f>'Inputs index (2)'!L31</f>
        <v>12645671.111368861</v>
      </c>
      <c r="M66" s="579">
        <f>'Inputs index (2)'!M31</f>
        <v>12673068.453165414</v>
      </c>
      <c r="N66" s="579">
        <f>'Inputs index (2)'!N31</f>
        <v>13076603.958000001</v>
      </c>
      <c r="O66" s="579">
        <f>'Inputs index (2)'!O31</f>
        <v>12962081</v>
      </c>
      <c r="P66" s="579">
        <f>'Inputs index (2)'!P31</f>
        <v>12962081</v>
      </c>
      <c r="Q66" s="396"/>
      <c r="R66" s="396"/>
    </row>
    <row r="67" spans="1:18" x14ac:dyDescent="0.25">
      <c r="A67" s="580"/>
      <c r="B67" s="620" t="s">
        <v>378</v>
      </c>
      <c r="C67" s="619"/>
      <c r="D67" s="619"/>
      <c r="E67" s="619"/>
      <c r="F67" s="619"/>
      <c r="G67" s="619"/>
      <c r="H67" s="619"/>
      <c r="I67" s="579">
        <f>'Inputs index (2)'!I32</f>
        <v>331183.30547743692</v>
      </c>
      <c r="J67" s="579">
        <f>'Inputs index (2)'!J32</f>
        <v>300985.91688492848</v>
      </c>
      <c r="K67" s="579">
        <f>'Inputs index (2)'!K32</f>
        <v>253688.98454382003</v>
      </c>
      <c r="L67" s="579">
        <f>'Inputs index (2)'!L32</f>
        <v>243309.57052000001</v>
      </c>
      <c r="M67" s="579">
        <f>'Inputs index (2)'!M32</f>
        <v>251747.7262339491</v>
      </c>
      <c r="N67" s="579">
        <f>'Inputs index (2)'!N32</f>
        <v>248856.16224529999</v>
      </c>
      <c r="O67" s="579">
        <f>'Inputs index (2)'!O32</f>
        <v>212245.30799999999</v>
      </c>
      <c r="P67" s="579">
        <f>'Inputs index (2)'!P32</f>
        <v>212245.30799999999</v>
      </c>
      <c r="Q67" s="396"/>
      <c r="R67" s="396"/>
    </row>
    <row r="68" spans="1:18" x14ac:dyDescent="0.25">
      <c r="A68" s="580"/>
      <c r="B68" s="620" t="s">
        <v>220</v>
      </c>
      <c r="C68" s="621"/>
      <c r="D68" s="621"/>
      <c r="E68" s="621"/>
      <c r="F68" s="621"/>
      <c r="G68" s="621"/>
      <c r="H68" s="621"/>
      <c r="I68" s="579">
        <f>SUM(I60:I67)</f>
        <v>82615438.244897187</v>
      </c>
      <c r="J68" s="579">
        <f t="shared" ref="J68:P68" si="14">SUM(J60:J67)</f>
        <v>90065928.741527244</v>
      </c>
      <c r="K68" s="579">
        <f t="shared" si="14"/>
        <v>92502052.268995181</v>
      </c>
      <c r="L68" s="579">
        <f t="shared" si="14"/>
        <v>98090910.719236344</v>
      </c>
      <c r="M68" s="579">
        <f t="shared" si="14"/>
        <v>102598362.94192268</v>
      </c>
      <c r="N68" s="579">
        <f t="shared" si="14"/>
        <v>109700705.70873302</v>
      </c>
      <c r="O68" s="579">
        <f t="shared" si="14"/>
        <v>111599076.652</v>
      </c>
      <c r="P68" s="579">
        <f t="shared" si="14"/>
        <v>111599076.652</v>
      </c>
      <c r="Q68" s="396"/>
      <c r="R68" s="396"/>
    </row>
    <row r="69" spans="1:18" ht="22.5" x14ac:dyDescent="0.3">
      <c r="A69" s="396"/>
      <c r="B69" s="396"/>
      <c r="C69" s="396"/>
      <c r="D69" s="396"/>
      <c r="E69" s="396"/>
      <c r="F69" s="396"/>
      <c r="G69" s="396"/>
      <c r="H69" s="396"/>
      <c r="I69" s="396"/>
      <c r="J69" s="622"/>
      <c r="K69" s="396"/>
      <c r="L69" s="396"/>
      <c r="M69" s="396"/>
      <c r="N69" s="396"/>
      <c r="O69" s="396"/>
      <c r="P69" s="396"/>
      <c r="Q69" s="396"/>
      <c r="R69" s="396"/>
    </row>
    <row r="70" spans="1:18" ht="22.5" x14ac:dyDescent="0.3">
      <c r="A70" s="396"/>
      <c r="B70" s="623" t="s">
        <v>390</v>
      </c>
      <c r="C70" s="396"/>
      <c r="D70" s="396"/>
      <c r="E70" s="396"/>
      <c r="F70" s="396"/>
      <c r="G70" s="396"/>
      <c r="H70" s="396"/>
      <c r="I70" s="396"/>
      <c r="J70" s="622"/>
      <c r="K70" s="396"/>
      <c r="L70" s="396"/>
      <c r="M70" s="396"/>
      <c r="N70" s="396"/>
      <c r="O70" s="396"/>
      <c r="P70" s="396"/>
      <c r="Q70" s="396"/>
      <c r="R70" s="396"/>
    </row>
    <row r="71" spans="1:18" ht="22.5" x14ac:dyDescent="0.3">
      <c r="A71" s="396"/>
      <c r="B71" s="396"/>
      <c r="C71" s="396"/>
      <c r="D71" s="396"/>
      <c r="E71" s="396"/>
      <c r="F71" s="396"/>
      <c r="G71" s="396"/>
      <c r="H71" s="396"/>
      <c r="I71" s="396"/>
      <c r="J71" s="622"/>
      <c r="K71" s="396"/>
      <c r="L71" s="396"/>
      <c r="M71" s="396"/>
      <c r="N71" s="396"/>
      <c r="O71" s="396"/>
      <c r="P71" s="396"/>
      <c r="Q71" s="396"/>
      <c r="R71" s="396"/>
    </row>
    <row r="72" spans="1:18" ht="22.5" x14ac:dyDescent="0.3">
      <c r="A72" s="580"/>
      <c r="B72" s="396"/>
      <c r="C72" s="396"/>
      <c r="D72" s="396"/>
      <c r="E72" s="396"/>
      <c r="F72" s="396"/>
      <c r="G72" s="396"/>
      <c r="H72" s="396"/>
      <c r="I72" s="396"/>
      <c r="J72" s="622"/>
      <c r="K72" s="396"/>
      <c r="L72" s="396"/>
      <c r="M72" s="396"/>
      <c r="N72" s="396"/>
      <c r="O72" s="396"/>
      <c r="P72" s="396"/>
      <c r="Q72" s="396"/>
      <c r="R72" s="396"/>
    </row>
    <row r="73" spans="1:18" ht="22.5" x14ac:dyDescent="0.3">
      <c r="A73" s="580"/>
      <c r="B73" s="396"/>
      <c r="C73" s="396"/>
      <c r="D73" s="396"/>
      <c r="E73" s="396"/>
      <c r="F73" s="396"/>
      <c r="G73" s="396"/>
      <c r="H73" s="396"/>
      <c r="I73" s="396"/>
      <c r="J73" s="622"/>
      <c r="K73" s="396"/>
      <c r="L73" s="396"/>
      <c r="M73" s="396"/>
      <c r="N73" s="396"/>
      <c r="O73" s="396"/>
      <c r="P73" s="396"/>
      <c r="Q73" s="396"/>
      <c r="R73" s="396"/>
    </row>
    <row r="74" spans="1:18" ht="22.5" x14ac:dyDescent="0.3">
      <c r="A74" s="580"/>
      <c r="B74" s="396"/>
      <c r="C74" s="396"/>
      <c r="D74" s="396"/>
      <c r="E74" s="396"/>
      <c r="F74" s="396"/>
      <c r="G74" s="396"/>
      <c r="H74" s="396"/>
      <c r="I74" s="396"/>
      <c r="J74" s="622"/>
      <c r="K74" s="396"/>
      <c r="L74" s="396"/>
      <c r="M74" s="396"/>
      <c r="N74" s="396"/>
      <c r="O74" s="396"/>
      <c r="P74" s="396"/>
      <c r="Q74" s="396"/>
      <c r="R74" s="396"/>
    </row>
    <row r="75" spans="1:18" ht="22.5" x14ac:dyDescent="0.3">
      <c r="A75" s="580"/>
      <c r="B75" s="396"/>
      <c r="C75" s="396"/>
      <c r="D75" s="396"/>
      <c r="E75" s="396"/>
      <c r="F75" s="396"/>
      <c r="G75" s="396"/>
      <c r="H75" s="396"/>
      <c r="I75" s="396"/>
      <c r="J75" s="624"/>
      <c r="K75" s="396"/>
      <c r="L75" s="396"/>
      <c r="M75" s="396"/>
      <c r="N75" s="396"/>
      <c r="O75" s="396"/>
      <c r="P75" s="396"/>
      <c r="Q75" s="396"/>
      <c r="R75" s="396"/>
    </row>
    <row r="76" spans="1:18" ht="22.5" x14ac:dyDescent="0.3">
      <c r="A76" s="580"/>
      <c r="B76" s="396"/>
      <c r="C76" s="396"/>
      <c r="D76" s="396"/>
      <c r="E76" s="396"/>
      <c r="F76" s="396"/>
      <c r="G76" s="396"/>
      <c r="H76" s="396"/>
      <c r="I76" s="396"/>
      <c r="J76" s="625"/>
      <c r="K76" s="396"/>
      <c r="L76" s="396"/>
      <c r="M76" s="396"/>
      <c r="N76" s="396"/>
      <c r="O76" s="396"/>
      <c r="P76" s="396"/>
      <c r="Q76" s="396"/>
      <c r="R76" s="396"/>
    </row>
    <row r="77" spans="1:18" ht="22.5" x14ac:dyDescent="0.3">
      <c r="A77" s="580"/>
      <c r="B77" s="396"/>
      <c r="C77" s="396"/>
      <c r="D77" s="396"/>
      <c r="E77" s="396"/>
      <c r="F77" s="396"/>
      <c r="G77" s="396"/>
      <c r="H77" s="396"/>
      <c r="I77" s="396"/>
      <c r="J77" s="625"/>
      <c r="K77" s="396"/>
      <c r="L77" s="396"/>
      <c r="M77" s="396"/>
      <c r="N77" s="396"/>
      <c r="O77" s="396"/>
      <c r="P77" s="396"/>
      <c r="Q77" s="396"/>
      <c r="R77" s="396"/>
    </row>
    <row r="78" spans="1:18" x14ac:dyDescent="0.25">
      <c r="A78" s="396"/>
      <c r="B78" s="396"/>
      <c r="C78" s="396"/>
      <c r="D78" s="396"/>
      <c r="E78" s="396"/>
      <c r="F78" s="396"/>
      <c r="G78" s="396"/>
      <c r="H78" s="396"/>
      <c r="I78" s="396"/>
      <c r="J78" s="547"/>
      <c r="K78" s="396"/>
      <c r="L78" s="396"/>
      <c r="M78" s="396"/>
      <c r="N78" s="396"/>
      <c r="O78" s="396"/>
      <c r="P78" s="396"/>
      <c r="Q78" s="396"/>
      <c r="R78" s="396"/>
    </row>
    <row r="79" spans="1:18" x14ac:dyDescent="0.25">
      <c r="A79" s="396"/>
      <c r="B79" s="396"/>
      <c r="C79" s="396"/>
      <c r="D79" s="396"/>
      <c r="E79" s="396"/>
      <c r="F79" s="396"/>
      <c r="G79" s="396"/>
      <c r="H79" s="396"/>
      <c r="I79" s="396"/>
      <c r="J79" s="547"/>
      <c r="K79" s="396"/>
      <c r="L79" s="396"/>
      <c r="M79" s="396"/>
      <c r="N79" s="396"/>
      <c r="O79" s="396"/>
      <c r="P79" s="396"/>
      <c r="Q79" s="396"/>
      <c r="R79" s="396"/>
    </row>
    <row r="80" spans="1:18" x14ac:dyDescent="0.25">
      <c r="A80" s="396"/>
      <c r="B80" s="396"/>
      <c r="C80" s="396"/>
      <c r="D80" s="396"/>
      <c r="E80" s="396"/>
      <c r="F80" s="396"/>
      <c r="G80" s="396"/>
      <c r="H80" s="396"/>
      <c r="I80" s="396"/>
      <c r="J80" s="547"/>
      <c r="K80" s="396"/>
      <c r="L80" s="396"/>
      <c r="M80" s="396"/>
      <c r="N80" s="396"/>
      <c r="O80" s="396"/>
      <c r="P80" s="396"/>
      <c r="Q80" s="396"/>
      <c r="R80" s="396"/>
    </row>
    <row r="81" spans="1:18" x14ac:dyDescent="0.25">
      <c r="A81" s="396"/>
      <c r="B81" s="396"/>
      <c r="C81" s="396"/>
      <c r="D81" s="396"/>
      <c r="E81" s="396"/>
      <c r="F81" s="396"/>
      <c r="G81" s="396"/>
      <c r="H81" s="396"/>
      <c r="I81" s="396"/>
      <c r="J81" s="547"/>
      <c r="K81" s="396"/>
      <c r="L81" s="396"/>
      <c r="M81" s="396"/>
      <c r="N81" s="396"/>
      <c r="O81" s="396"/>
      <c r="P81" s="396"/>
      <c r="Q81" s="396"/>
      <c r="R81" s="396"/>
    </row>
    <row r="82" spans="1:18" x14ac:dyDescent="0.25">
      <c r="A82" s="396"/>
      <c r="B82" s="396"/>
      <c r="C82" s="396"/>
      <c r="D82" s="396"/>
      <c r="E82" s="396"/>
      <c r="F82" s="396"/>
      <c r="G82" s="396"/>
      <c r="H82" s="396"/>
      <c r="I82" s="396"/>
      <c r="J82" s="547"/>
      <c r="K82" s="396"/>
      <c r="L82" s="396"/>
      <c r="M82" s="396"/>
      <c r="N82" s="396"/>
      <c r="O82" s="396"/>
      <c r="P82" s="396"/>
      <c r="Q82" s="396"/>
      <c r="R82" s="396"/>
    </row>
    <row r="83" spans="1:18" x14ac:dyDescent="0.25">
      <c r="A83" s="396"/>
      <c r="B83" s="396"/>
      <c r="C83" s="396"/>
      <c r="D83" s="396"/>
      <c r="E83" s="396"/>
      <c r="F83" s="396"/>
      <c r="G83" s="396"/>
      <c r="H83" s="396"/>
      <c r="I83" s="396"/>
      <c r="J83" s="547"/>
      <c r="K83" s="396"/>
      <c r="L83" s="396"/>
      <c r="M83" s="396"/>
      <c r="N83" s="396"/>
      <c r="O83" s="396"/>
      <c r="P83" s="396"/>
      <c r="Q83" s="396"/>
      <c r="R83" s="396"/>
    </row>
    <row r="84" spans="1:18" x14ac:dyDescent="0.25">
      <c r="A84" s="396"/>
      <c r="B84" s="396"/>
      <c r="C84" s="396"/>
      <c r="D84" s="396"/>
      <c r="E84" s="396"/>
      <c r="F84" s="396"/>
      <c r="G84" s="396"/>
      <c r="H84" s="396"/>
      <c r="I84" s="396"/>
      <c r="J84" s="547"/>
      <c r="K84" s="396"/>
      <c r="L84" s="396"/>
      <c r="M84" s="396"/>
      <c r="N84" s="396"/>
      <c r="O84" s="396"/>
      <c r="P84" s="396"/>
      <c r="Q84" s="396"/>
      <c r="R84" s="396"/>
    </row>
    <row r="85" spans="1:18" x14ac:dyDescent="0.25">
      <c r="A85" s="396"/>
      <c r="B85" s="396"/>
      <c r="C85" s="396"/>
      <c r="D85" s="396"/>
      <c r="E85" s="396"/>
      <c r="F85" s="396"/>
      <c r="G85" s="396"/>
      <c r="H85" s="396"/>
      <c r="I85" s="396"/>
      <c r="J85" s="547"/>
      <c r="K85" s="396"/>
      <c r="L85" s="396"/>
      <c r="M85" s="396"/>
      <c r="N85" s="396"/>
      <c r="O85" s="396"/>
      <c r="P85" s="396"/>
      <c r="Q85" s="396"/>
      <c r="R85" s="396"/>
    </row>
    <row r="86" spans="1:18" x14ac:dyDescent="0.25">
      <c r="A86" s="396"/>
      <c r="B86" s="396"/>
      <c r="C86" s="396"/>
      <c r="D86" s="396"/>
      <c r="E86" s="396"/>
      <c r="F86" s="396"/>
      <c r="G86" s="396"/>
      <c r="H86" s="396"/>
      <c r="I86" s="396"/>
      <c r="J86" s="547"/>
      <c r="K86" s="396"/>
      <c r="L86" s="396"/>
      <c r="M86" s="396"/>
      <c r="N86" s="396"/>
      <c r="O86" s="396"/>
      <c r="P86" s="396"/>
      <c r="Q86" s="396"/>
      <c r="R86" s="396"/>
    </row>
    <row r="87" spans="1:18" x14ac:dyDescent="0.25">
      <c r="A87" s="396"/>
      <c r="B87" s="396"/>
      <c r="C87" s="396"/>
      <c r="D87" s="396"/>
      <c r="E87" s="396"/>
      <c r="F87" s="396"/>
      <c r="G87" s="396"/>
      <c r="H87" s="396"/>
      <c r="I87" s="396"/>
      <c r="J87" s="547"/>
      <c r="K87" s="396"/>
      <c r="L87" s="396"/>
      <c r="M87" s="396"/>
      <c r="N87" s="396"/>
      <c r="O87" s="396"/>
      <c r="P87" s="396"/>
      <c r="Q87" s="396"/>
      <c r="R87" s="396"/>
    </row>
    <row r="88" spans="1:18" x14ac:dyDescent="0.25">
      <c r="A88" s="396"/>
      <c r="B88" s="396"/>
      <c r="C88" s="396"/>
      <c r="D88" s="396"/>
      <c r="E88" s="396"/>
      <c r="F88" s="396"/>
      <c r="G88" s="396"/>
      <c r="H88" s="396"/>
      <c r="I88" s="396"/>
      <c r="J88" s="547"/>
      <c r="K88" s="396"/>
      <c r="L88" s="396"/>
      <c r="M88" s="396"/>
      <c r="N88" s="396"/>
      <c r="O88" s="396"/>
      <c r="P88" s="396"/>
      <c r="Q88" s="396"/>
      <c r="R88" s="396"/>
    </row>
    <row r="89" spans="1:18" x14ac:dyDescent="0.25">
      <c r="A89" s="396"/>
      <c r="B89" s="396"/>
      <c r="C89" s="396"/>
      <c r="D89" s="396"/>
      <c r="E89" s="396"/>
      <c r="F89" s="396"/>
      <c r="G89" s="396"/>
      <c r="H89" s="396"/>
      <c r="I89" s="396"/>
      <c r="J89" s="547"/>
      <c r="K89" s="396"/>
      <c r="L89" s="396"/>
      <c r="M89" s="396"/>
      <c r="N89" s="396"/>
      <c r="O89" s="396"/>
      <c r="P89" s="396"/>
      <c r="Q89" s="396"/>
      <c r="R89" s="396"/>
    </row>
    <row r="90" spans="1:18" x14ac:dyDescent="0.25">
      <c r="A90" s="396"/>
      <c r="B90" s="396"/>
      <c r="C90" s="396"/>
      <c r="D90" s="396"/>
      <c r="E90" s="396"/>
      <c r="F90" s="396"/>
      <c r="G90" s="396"/>
      <c r="H90" s="396"/>
      <c r="I90" s="396"/>
      <c r="J90" s="547"/>
      <c r="K90" s="396"/>
      <c r="L90" s="396"/>
      <c r="M90" s="396"/>
      <c r="N90" s="396"/>
      <c r="O90" s="396"/>
      <c r="P90" s="396"/>
      <c r="Q90" s="396"/>
      <c r="R90" s="396"/>
    </row>
    <row r="91" spans="1:18" x14ac:dyDescent="0.25">
      <c r="A91" s="396"/>
      <c r="B91" s="396"/>
      <c r="C91" s="396"/>
      <c r="D91" s="396"/>
      <c r="E91" s="396"/>
      <c r="F91" s="396"/>
      <c r="G91" s="396"/>
      <c r="H91" s="396"/>
      <c r="I91" s="396"/>
      <c r="J91" s="547"/>
      <c r="K91" s="396"/>
      <c r="L91" s="396"/>
      <c r="M91" s="396"/>
      <c r="N91" s="396"/>
      <c r="O91" s="396"/>
      <c r="P91" s="396"/>
      <c r="Q91" s="396"/>
      <c r="R91" s="396"/>
    </row>
    <row r="92" spans="1:18" x14ac:dyDescent="0.25">
      <c r="A92" s="378"/>
      <c r="B92" s="378"/>
      <c r="C92" s="378"/>
      <c r="D92" s="378"/>
      <c r="E92" s="378"/>
      <c r="F92" s="378"/>
      <c r="G92" s="378"/>
      <c r="H92" s="378"/>
      <c r="I92" s="378"/>
      <c r="J92" s="375"/>
      <c r="K92" s="378"/>
      <c r="L92" s="378"/>
      <c r="M92" s="378"/>
      <c r="N92" s="376"/>
      <c r="O92" s="376"/>
      <c r="P92" s="376"/>
      <c r="Q92" s="376"/>
    </row>
    <row r="93" spans="1:18" x14ac:dyDescent="0.25">
      <c r="A93" s="378"/>
      <c r="B93" s="378"/>
      <c r="C93" s="378"/>
      <c r="D93" s="378"/>
      <c r="E93" s="378"/>
      <c r="F93" s="378"/>
      <c r="G93" s="378"/>
      <c r="H93" s="378"/>
      <c r="I93" s="378"/>
      <c r="J93" s="375"/>
      <c r="K93" s="378"/>
      <c r="L93" s="378"/>
      <c r="M93" s="378"/>
      <c r="N93" s="376"/>
      <c r="O93" s="376"/>
      <c r="P93" s="376"/>
      <c r="Q93" s="376"/>
    </row>
    <row r="94" spans="1:18" x14ac:dyDescent="0.25">
      <c r="A94" s="378"/>
      <c r="B94" s="378"/>
      <c r="C94" s="378"/>
      <c r="D94" s="378"/>
      <c r="E94" s="378"/>
      <c r="F94" s="378"/>
      <c r="G94" s="378"/>
      <c r="H94" s="378"/>
      <c r="I94" s="231"/>
      <c r="J94" s="330"/>
      <c r="K94" s="231"/>
      <c r="L94" s="231"/>
      <c r="M94" s="231"/>
      <c r="Q94" s="376"/>
    </row>
    <row r="95" spans="1:18" x14ac:dyDescent="0.25">
      <c r="A95" s="378"/>
      <c r="B95" s="378"/>
      <c r="C95" s="378"/>
      <c r="D95" s="378"/>
      <c r="E95" s="378"/>
      <c r="F95" s="378"/>
      <c r="G95" s="378"/>
      <c r="H95" s="378"/>
      <c r="I95" s="231"/>
      <c r="J95" s="231"/>
      <c r="K95" s="231"/>
      <c r="L95" s="231"/>
      <c r="M95" s="231"/>
      <c r="Q95" s="376"/>
    </row>
  </sheetData>
  <conditionalFormatting sqref="I13:I20">
    <cfRule type="dataBar" priority="5">
      <dataBar>
        <cfvo type="min"/>
        <cfvo type="max"/>
        <color theme="0"/>
      </dataBar>
    </cfRule>
  </conditionalFormatting>
  <dataValidations disablePrompts="1" count="2">
    <dataValidation allowBlank="1" showInputMessage="1" showErrorMessage="1" promptTitle="Constant expenditure" prompt="Expenditure, deflated using appropriate deflators for each of the different inputs_x000a_" sqref="B60"/>
    <dataValidation allowBlank="1" showInputMessage="1" showErrorMessage="1" promptTitle="Current expenditure" prompt="Expenditure in current prices, without using deflation_x000a_" sqref="B50"/>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7890" r:id="rId4" name="Option Button 2">
              <controlPr defaultSize="0" autoFill="0" autoLine="0" autoPict="0">
                <anchor moveWithCells="1">
                  <from>
                    <xdr:col>1</xdr:col>
                    <xdr:colOff>0</xdr:colOff>
                    <xdr:row>7</xdr:row>
                    <xdr:rowOff>28575</xdr:rowOff>
                  </from>
                  <to>
                    <xdr:col>2</xdr:col>
                    <xdr:colOff>342900</xdr:colOff>
                    <xdr:row>8</xdr:row>
                    <xdr:rowOff>19050</xdr:rowOff>
                  </to>
                </anchor>
              </controlPr>
            </control>
          </mc:Choice>
        </mc:AlternateContent>
        <mc:AlternateContent xmlns:mc="http://schemas.openxmlformats.org/markup-compatibility/2006">
          <mc:Choice Requires="x14">
            <control shapeId="37891" r:id="rId5" name="Option Button 3">
              <controlPr defaultSize="0" autoFill="0" autoLine="0" autoPict="0">
                <anchor moveWithCells="1">
                  <from>
                    <xdr:col>1</xdr:col>
                    <xdr:colOff>0</xdr:colOff>
                    <xdr:row>8</xdr:row>
                    <xdr:rowOff>19050</xdr:rowOff>
                  </from>
                  <to>
                    <xdr:col>1</xdr:col>
                    <xdr:colOff>1257300</xdr:colOff>
                    <xdr:row>9</xdr:row>
                    <xdr:rowOff>9525</xdr:rowOff>
                  </to>
                </anchor>
              </controlPr>
            </control>
          </mc:Choice>
        </mc:AlternateContent>
        <mc:AlternateContent xmlns:mc="http://schemas.openxmlformats.org/markup-compatibility/2006">
          <mc:Choice Requires="x14">
            <control shapeId="37899" r:id="rId6" name="Check Box 11">
              <controlPr defaultSize="0" autoFill="0" autoLine="0" autoPict="0" altText="Show more data_x000a_">
                <anchor moveWithCells="1">
                  <from>
                    <xdr:col>0</xdr:col>
                    <xdr:colOff>657225</xdr:colOff>
                    <xdr:row>21</xdr:row>
                    <xdr:rowOff>133350</xdr:rowOff>
                  </from>
                  <to>
                    <xdr:col>1</xdr:col>
                    <xdr:colOff>1057275</xdr:colOff>
                    <xdr:row>23</xdr:row>
                    <xdr:rowOff>123825</xdr:rowOff>
                  </to>
                </anchor>
              </controlPr>
            </control>
          </mc:Choice>
        </mc:AlternateContent>
      </controls>
    </mc:Choice>
  </mc:AlternateContent>
  <extLst>
    <ext xmlns:x14="http://schemas.microsoft.com/office/spreadsheetml/2009/9/main" uri="{05C60535-1F16-4fd2-B633-F4F36F0B64E0}">
      <x14:sparklineGroups xmlns:xm="http://schemas.microsoft.com/office/excel/2006/main">
        <x14:sparklineGroup manualMax="0" manualMin="0" displayEmptyCellsAs="gap" markers="1" high="1">
          <x14:colorSeries theme="8"/>
          <x14:colorNegative theme="9"/>
          <x14:colorAxis rgb="FF000000"/>
          <x14:colorMarkers theme="8" tint="-0.249977111117893"/>
          <x14:colorFirst theme="8" tint="-0.249977111117893"/>
          <x14:colorLast theme="8" tint="-0.249977111117893"/>
          <x14:colorHigh rgb="FFFF0000"/>
          <x14:colorLow theme="8" tint="-0.249977111117893"/>
          <x14:sparklines>
            <x14:sparkline>
              <xm:f>'Total indirect inputs - recent'!C34:J34</xm:f>
              <xm:sqref>G21</xm:sqref>
            </x14:sparkline>
          </x14:sparklines>
        </x14:sparklineGroup>
        <x14:sparklineGroup manualMax="0" manualMin="0" dateAxis="1" markers="1" high="1" negative="1" displayHidden="1">
          <x14:colorSeries theme="8" tint="-0.249977111117893"/>
          <x14:colorNegative theme="9"/>
          <x14:colorAxis rgb="FF000000"/>
          <x14:colorMarkers theme="3" tint="0.39997558519241921"/>
          <x14:colorFirst theme="9" tint="-0.249977111117893"/>
          <x14:colorLast theme="9" tint="-0.249977111117893"/>
          <x14:colorHigh rgb="FFFF0000"/>
          <x14:colorLow theme="9" tint="-0.249977111117893"/>
          <xm:f>'Total indirect inputs - recent'!I47:P47</xm:f>
          <x14:sparklines>
            <x14:sparkline>
              <xm:f>'Total indirect inputs - recent'!I50:P50</xm:f>
              <xm:sqref>G13</xm:sqref>
            </x14:sparkline>
            <x14:sparkline>
              <xm:f>'Total indirect inputs - recent'!I51:P51</xm:f>
              <xm:sqref>G14</xm:sqref>
            </x14:sparkline>
            <x14:sparkline>
              <xm:f>'Total indirect inputs - recent'!I52:P52</xm:f>
              <xm:sqref>G15</xm:sqref>
            </x14:sparkline>
            <x14:sparkline>
              <xm:f>'Total indirect inputs - recent'!I53:P53</xm:f>
              <xm:sqref>G16</xm:sqref>
            </x14:sparkline>
            <x14:sparkline>
              <xm:f>'Total indirect inputs - recent'!I54:P54</xm:f>
              <xm:sqref>G17</xm:sqref>
            </x14:sparkline>
            <x14:sparkline>
              <xm:f>'Total indirect inputs - recent'!I55:P55</xm:f>
              <xm:sqref>G18</xm:sqref>
            </x14:sparkline>
            <x14:sparkline>
              <xm:f>'Total indirect inputs - recent'!I56:P56</xm:f>
              <xm:sqref>G19</xm:sqref>
            </x14:sparkline>
          </x14:sparklines>
        </x14:sparklineGroup>
        <x14:sparklineGroup manualMax="0" manualMin="0" displayEmptyCellsAs="gap" markers="1" high="1">
          <x14:colorSeries theme="8"/>
          <x14:colorNegative theme="9"/>
          <x14:colorAxis rgb="FF000000"/>
          <x14:colorMarkers theme="8" tint="-0.249977111117893"/>
          <x14:colorFirst theme="8" tint="-0.249977111117893"/>
          <x14:colorLast theme="8" tint="-0.249977111117893"/>
          <x14:colorHigh rgb="FFFF0000"/>
          <x14:colorLow theme="8" tint="-0.249977111117893"/>
          <x14:sparklines>
            <x14:sparkline>
              <xm:f>'Total indirect inputs - recent'!I59:P59</xm:f>
              <xm:sqref>J13</xm:sqref>
            </x14:sparkline>
            <x14:sparkline>
              <xm:f>'Total indirect inputs - recent'!I60:P60</xm:f>
              <xm:sqref>J14</xm:sqref>
            </x14:sparkline>
            <x14:sparkline>
              <xm:f>'Total indirect inputs - recent'!I61:P61</xm:f>
              <xm:sqref>J15</xm:sqref>
            </x14:sparkline>
            <x14:sparkline>
              <xm:f>'Total indirect inputs - recent'!I62:P62</xm:f>
              <xm:sqref>J16</xm:sqref>
            </x14:sparkline>
            <x14:sparkline>
              <xm:f>'Total indirect inputs - recent'!I63:P63</xm:f>
              <xm:sqref>J17</xm:sqref>
            </x14:sparkline>
            <x14:sparkline>
              <xm:f>'Total indirect inputs - recent'!I64:P64</xm:f>
              <xm:sqref>J18</xm:sqref>
            </x14:sparkline>
            <x14:sparkline>
              <xm:f>'Total indirect inputs - recent'!I65:P65</xm:f>
              <xm:sqref>J19</xm:sqref>
            </x14:sparkline>
            <x14:sparkline>
              <xm:f>'Total indirect inputs - recent'!I66:P66</xm:f>
              <xm:sqref>J21</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4:K67"/>
  <sheetViews>
    <sheetView showGridLines="0" showRowColHeaders="0" zoomScale="60" zoomScaleNormal="60" workbookViewId="0">
      <selection activeCell="D5" sqref="D5:F10"/>
    </sheetView>
  </sheetViews>
  <sheetFormatPr defaultRowHeight="15" x14ac:dyDescent="0.25"/>
  <cols>
    <col min="4" max="4" width="37.7109375" customWidth="1"/>
    <col min="5" max="10" width="24.85546875" customWidth="1"/>
    <col min="11" max="11" width="24.85546875" bestFit="1" customWidth="1"/>
  </cols>
  <sheetData>
    <row r="4" spans="2:11" ht="59.25" x14ac:dyDescent="0.75">
      <c r="D4" s="4" t="s">
        <v>228</v>
      </c>
    </row>
    <row r="5" spans="2:11" ht="59.25" x14ac:dyDescent="0.75">
      <c r="D5" s="4"/>
    </row>
    <row r="6" spans="2:11" ht="22.5" x14ac:dyDescent="0.3">
      <c r="D6" s="12" t="s">
        <v>227</v>
      </c>
    </row>
    <row r="7" spans="2:11" ht="22.5" x14ac:dyDescent="0.3">
      <c r="D7" s="11"/>
      <c r="E7" s="11"/>
    </row>
    <row r="8" spans="2:11" ht="22.5" x14ac:dyDescent="0.3">
      <c r="D8" s="12" t="s">
        <v>224</v>
      </c>
      <c r="E8" s="11"/>
    </row>
    <row r="9" spans="2:11" ht="23.25" x14ac:dyDescent="0.35">
      <c r="C9" s="10"/>
      <c r="D9" s="11" t="s">
        <v>225</v>
      </c>
      <c r="E9" s="11"/>
    </row>
    <row r="10" spans="2:11" ht="23.25" x14ac:dyDescent="0.35">
      <c r="B10" s="5"/>
      <c r="C10" s="20"/>
      <c r="D10" s="226" t="s">
        <v>2</v>
      </c>
      <c r="E10" s="11"/>
      <c r="G10" s="5"/>
      <c r="H10" s="5"/>
      <c r="I10" s="5"/>
      <c r="J10" s="5"/>
      <c r="K10" s="5"/>
    </row>
    <row r="11" spans="2:11" ht="23.25" x14ac:dyDescent="0.35">
      <c r="B11" s="5"/>
      <c r="C11" s="20"/>
      <c r="D11" s="68"/>
      <c r="E11" s="210" t="s">
        <v>192</v>
      </c>
      <c r="F11" s="210" t="s">
        <v>193</v>
      </c>
      <c r="G11" s="210" t="s">
        <v>194</v>
      </c>
      <c r="H11" s="210" t="s">
        <v>195</v>
      </c>
      <c r="I11" s="211" t="s">
        <v>196</v>
      </c>
      <c r="J11" s="211" t="s">
        <v>6</v>
      </c>
      <c r="K11" s="211" t="s">
        <v>7</v>
      </c>
    </row>
    <row r="12" spans="2:11" ht="23.25" x14ac:dyDescent="0.35">
      <c r="B12" s="5"/>
      <c r="C12" s="20"/>
      <c r="D12" s="68"/>
      <c r="E12" s="68"/>
      <c r="F12" s="68"/>
      <c r="G12" s="68"/>
      <c r="H12" s="68"/>
      <c r="I12" s="68"/>
      <c r="J12" s="68"/>
      <c r="K12" s="68"/>
    </row>
    <row r="13" spans="2:11" ht="23.25" x14ac:dyDescent="0.35">
      <c r="B13" s="5"/>
      <c r="C13" s="20"/>
      <c r="D13" s="207" t="s">
        <v>215</v>
      </c>
      <c r="E13" s="208">
        <v>66054</v>
      </c>
      <c r="F13" s="208">
        <v>92667.776519999999</v>
      </c>
      <c r="G13" s="208">
        <v>113276.61309</v>
      </c>
      <c r="H13" s="208">
        <v>101122</v>
      </c>
      <c r="I13" s="208">
        <v>0</v>
      </c>
      <c r="J13" s="208">
        <v>0</v>
      </c>
      <c r="K13" s="208">
        <v>0</v>
      </c>
    </row>
    <row r="14" spans="2:11" ht="23.25" x14ac:dyDescent="0.35">
      <c r="B14" s="5"/>
      <c r="C14" s="20"/>
      <c r="D14" s="207" t="s">
        <v>216</v>
      </c>
      <c r="E14" s="208">
        <v>0</v>
      </c>
      <c r="F14" s="208">
        <v>0</v>
      </c>
      <c r="G14" s="208">
        <v>0</v>
      </c>
      <c r="H14" s="208">
        <v>0</v>
      </c>
      <c r="I14" s="208">
        <v>0</v>
      </c>
      <c r="J14" s="208">
        <v>0</v>
      </c>
      <c r="K14" s="208">
        <v>0</v>
      </c>
    </row>
    <row r="15" spans="2:11" ht="22.5" x14ac:dyDescent="0.3">
      <c r="B15" s="5"/>
      <c r="C15" s="5"/>
      <c r="D15" s="207" t="s">
        <v>217</v>
      </c>
      <c r="E15" s="208">
        <v>0</v>
      </c>
      <c r="F15" s="208">
        <v>0</v>
      </c>
      <c r="G15" s="208">
        <v>0</v>
      </c>
      <c r="H15" s="208">
        <v>0</v>
      </c>
      <c r="I15" s="208">
        <v>0</v>
      </c>
      <c r="J15" s="208">
        <v>0</v>
      </c>
      <c r="K15" s="208">
        <v>0</v>
      </c>
    </row>
    <row r="16" spans="2:11" ht="22.5" x14ac:dyDescent="0.3">
      <c r="B16" s="5"/>
      <c r="C16" s="5"/>
      <c r="D16" s="207" t="s">
        <v>47</v>
      </c>
      <c r="E16" s="208">
        <v>0</v>
      </c>
      <c r="F16" s="208">
        <v>0</v>
      </c>
      <c r="G16" s="208">
        <v>0</v>
      </c>
      <c r="H16" s="208">
        <v>0</v>
      </c>
      <c r="I16" s="208">
        <v>0</v>
      </c>
      <c r="J16" s="208">
        <v>0</v>
      </c>
      <c r="K16" s="208">
        <v>0</v>
      </c>
    </row>
    <row r="17" spans="1:11" ht="22.5" x14ac:dyDescent="0.3">
      <c r="B17" s="5"/>
      <c r="C17" s="5"/>
      <c r="D17" s="207" t="s">
        <v>136</v>
      </c>
      <c r="E17" s="208">
        <v>8094174.9440000001</v>
      </c>
      <c r="F17" s="208">
        <v>8013483.2259999998</v>
      </c>
      <c r="G17" s="208">
        <v>8250323.8930000002</v>
      </c>
      <c r="H17" s="208">
        <v>8303500.9179999996</v>
      </c>
      <c r="I17" s="208">
        <v>8376264.432</v>
      </c>
      <c r="J17" s="208">
        <v>8621421.1300000008</v>
      </c>
      <c r="K17" s="208">
        <v>8880735.3440000005</v>
      </c>
    </row>
    <row r="18" spans="1:11" ht="22.5" x14ac:dyDescent="0.3">
      <c r="B18" s="5"/>
      <c r="C18" s="5"/>
      <c r="D18" s="207" t="s">
        <v>218</v>
      </c>
      <c r="E18" s="208">
        <v>9569836</v>
      </c>
      <c r="F18" s="208">
        <v>11162141</v>
      </c>
      <c r="G18" s="208">
        <v>11209422</v>
      </c>
      <c r="H18" s="208">
        <v>11697639</v>
      </c>
      <c r="I18" s="208">
        <v>12074672</v>
      </c>
      <c r="J18" s="208">
        <v>12683418</v>
      </c>
      <c r="K18" s="208">
        <v>12962081</v>
      </c>
    </row>
    <row r="19" spans="1:11" ht="22.5" x14ac:dyDescent="0.3">
      <c r="B19" s="5"/>
      <c r="C19" s="5"/>
      <c r="D19" s="207" t="s">
        <v>219</v>
      </c>
      <c r="E19" s="208">
        <v>278000</v>
      </c>
      <c r="F19" s="208">
        <v>262000</v>
      </c>
      <c r="G19" s="208">
        <v>229000</v>
      </c>
      <c r="H19" s="208">
        <v>226000</v>
      </c>
      <c r="I19" s="208">
        <v>242958</v>
      </c>
      <c r="J19" s="208">
        <v>241608</v>
      </c>
      <c r="K19" s="208">
        <v>212245</v>
      </c>
    </row>
    <row r="20" spans="1:11" ht="22.5" x14ac:dyDescent="0.3">
      <c r="B20" s="5"/>
      <c r="C20" s="5"/>
      <c r="D20" s="207" t="s">
        <v>220</v>
      </c>
      <c r="E20" s="209">
        <f>SUM(E13:E19)</f>
        <v>18008064.943999998</v>
      </c>
      <c r="F20" s="209">
        <f t="shared" ref="F20:K20" si="0">SUM(F13:F19)</f>
        <v>19530292.002519999</v>
      </c>
      <c r="G20" s="209">
        <f t="shared" si="0"/>
        <v>19802022.50609</v>
      </c>
      <c r="H20" s="209">
        <f t="shared" si="0"/>
        <v>20328261.917999998</v>
      </c>
      <c r="I20" s="209">
        <f t="shared" si="0"/>
        <v>20693894.432</v>
      </c>
      <c r="J20" s="209">
        <f t="shared" si="0"/>
        <v>21546447.130000003</v>
      </c>
      <c r="K20" s="209">
        <f t="shared" si="0"/>
        <v>22055061.344000001</v>
      </c>
    </row>
    <row r="21" spans="1:11" ht="15.75" x14ac:dyDescent="0.25">
      <c r="B21" s="5"/>
      <c r="C21" s="5"/>
      <c r="D21" s="201"/>
      <c r="E21" s="201"/>
      <c r="F21" s="201"/>
      <c r="G21" s="201"/>
      <c r="H21" s="201"/>
      <c r="I21" s="201"/>
      <c r="J21" s="201"/>
      <c r="K21" s="201"/>
    </row>
    <row r="22" spans="1:11" ht="15.75" x14ac:dyDescent="0.25">
      <c r="B22" s="5"/>
      <c r="C22" s="5"/>
      <c r="D22" s="201"/>
      <c r="E22" s="201"/>
      <c r="F22" s="201"/>
      <c r="G22" s="201"/>
      <c r="H22" s="201"/>
      <c r="I22" s="201"/>
      <c r="J22" s="201"/>
      <c r="K22" s="201"/>
    </row>
    <row r="23" spans="1:11" ht="15.75" x14ac:dyDescent="0.25">
      <c r="B23" s="5"/>
      <c r="C23" s="5"/>
      <c r="D23" s="201"/>
      <c r="E23" s="196"/>
      <c r="F23" s="196"/>
      <c r="G23" s="196"/>
      <c r="H23" s="196"/>
      <c r="I23" s="196"/>
      <c r="J23" s="196"/>
      <c r="K23" s="196"/>
    </row>
    <row r="24" spans="1:11" ht="15.75" x14ac:dyDescent="0.25">
      <c r="B24" s="5"/>
      <c r="C24" s="5"/>
      <c r="D24" s="201"/>
      <c r="E24" s="196"/>
      <c r="F24" s="196"/>
      <c r="G24" s="196"/>
      <c r="H24" s="196"/>
      <c r="I24" s="196"/>
      <c r="J24" s="196"/>
      <c r="K24" s="196"/>
    </row>
    <row r="25" spans="1:11" ht="15.75" x14ac:dyDescent="0.25">
      <c r="B25" s="5"/>
      <c r="C25" s="5"/>
      <c r="D25" s="201"/>
      <c r="E25" s="196"/>
      <c r="F25" s="196"/>
      <c r="G25" s="196"/>
      <c r="H25" s="196"/>
      <c r="I25" s="196"/>
      <c r="J25" s="196"/>
      <c r="K25" s="196"/>
    </row>
    <row r="26" spans="1:11" ht="15.75" x14ac:dyDescent="0.25">
      <c r="A26" s="5"/>
      <c r="B26" s="5"/>
      <c r="C26" s="5"/>
      <c r="D26" s="201"/>
      <c r="E26" s="196"/>
      <c r="F26" s="196"/>
      <c r="G26" s="196"/>
      <c r="H26" s="196"/>
      <c r="I26" s="196"/>
      <c r="J26" s="196"/>
      <c r="K26" s="196"/>
    </row>
    <row r="27" spans="1:11" ht="15.75" x14ac:dyDescent="0.25">
      <c r="A27" s="5"/>
      <c r="B27" s="5"/>
      <c r="C27" s="5"/>
      <c r="D27" s="201"/>
      <c r="E27" s="196"/>
      <c r="F27" s="196"/>
      <c r="G27" s="196"/>
      <c r="H27" s="196"/>
      <c r="I27" s="196"/>
      <c r="J27" s="196"/>
      <c r="K27" s="196"/>
    </row>
    <row r="28" spans="1:11" ht="15.75" x14ac:dyDescent="0.25">
      <c r="B28" s="5"/>
      <c r="C28" s="5"/>
      <c r="D28" s="201"/>
      <c r="E28" s="196"/>
      <c r="F28" s="196"/>
      <c r="G28" s="196"/>
      <c r="H28" s="196"/>
      <c r="I28" s="196"/>
      <c r="J28" s="196"/>
      <c r="K28" s="196"/>
    </row>
    <row r="29" spans="1:11" ht="15.75" x14ac:dyDescent="0.25">
      <c r="B29" s="5"/>
      <c r="C29" s="5"/>
      <c r="D29" s="201"/>
      <c r="E29" s="196"/>
      <c r="F29" s="196"/>
      <c r="G29" s="196"/>
      <c r="H29" s="196"/>
      <c r="I29" s="196"/>
      <c r="J29" s="196"/>
      <c r="K29" s="196"/>
    </row>
    <row r="30" spans="1:11" ht="15.75" x14ac:dyDescent="0.25">
      <c r="B30" s="5"/>
      <c r="C30" s="5"/>
      <c r="D30" s="206"/>
      <c r="E30" s="199"/>
      <c r="F30" s="199"/>
      <c r="G30" s="199"/>
      <c r="H30" s="199"/>
      <c r="I30" s="199"/>
      <c r="J30" s="199"/>
      <c r="K30" s="199"/>
    </row>
    <row r="34" spans="1:3" x14ac:dyDescent="0.25">
      <c r="A34" s="5"/>
      <c r="B34" s="5"/>
      <c r="C34" s="5"/>
    </row>
    <row r="55" spans="4:5" x14ac:dyDescent="0.25">
      <c r="D55" s="154">
        <v>72444.2</v>
      </c>
      <c r="E55" s="154">
        <v>71817.399999999994</v>
      </c>
    </row>
    <row r="56" spans="4:5" x14ac:dyDescent="0.25">
      <c r="D56" s="154">
        <v>5654.2</v>
      </c>
      <c r="E56" s="154">
        <v>5812.9</v>
      </c>
    </row>
    <row r="57" spans="4:5" x14ac:dyDescent="0.25">
      <c r="D57" s="154">
        <v>5329.7</v>
      </c>
      <c r="E57" s="154">
        <v>5467.7</v>
      </c>
    </row>
    <row r="58" spans="4:5" x14ac:dyDescent="0.25">
      <c r="D58">
        <v>157.80000000000001</v>
      </c>
      <c r="E58">
        <v>159</v>
      </c>
    </row>
    <row r="59" spans="4:5" x14ac:dyDescent="0.25">
      <c r="D59">
        <v>74.7</v>
      </c>
      <c r="E59">
        <v>78.099999999999994</v>
      </c>
    </row>
    <row r="60" spans="4:5" x14ac:dyDescent="0.25">
      <c r="D60">
        <v>92</v>
      </c>
      <c r="E60">
        <v>108.2</v>
      </c>
    </row>
    <row r="61" spans="4:5" x14ac:dyDescent="0.25">
      <c r="D61" s="154">
        <v>1428.6</v>
      </c>
      <c r="E61" s="154">
        <v>1458.2</v>
      </c>
    </row>
    <row r="62" spans="4:5" x14ac:dyDescent="0.25">
      <c r="D62" s="154">
        <v>15502.1</v>
      </c>
      <c r="E62" s="154">
        <v>15229.5</v>
      </c>
    </row>
    <row r="63" spans="4:5" x14ac:dyDescent="0.25">
      <c r="D63" s="154">
        <v>3568.8</v>
      </c>
      <c r="E63" s="154">
        <v>3474.6</v>
      </c>
    </row>
    <row r="64" spans="4:5" x14ac:dyDescent="0.25">
      <c r="D64" s="154">
        <v>6480.2</v>
      </c>
      <c r="E64" s="154">
        <v>6236.1</v>
      </c>
    </row>
    <row r="65" spans="4:5" x14ac:dyDescent="0.25">
      <c r="D65" s="154">
        <v>28168.400000000001</v>
      </c>
      <c r="E65" s="154">
        <v>27998.799999999999</v>
      </c>
    </row>
    <row r="66" spans="4:5" x14ac:dyDescent="0.25">
      <c r="D66" s="154">
        <v>11483.2</v>
      </c>
      <c r="E66" s="154">
        <v>11450.3</v>
      </c>
    </row>
    <row r="67" spans="4:5" x14ac:dyDescent="0.25">
      <c r="D67">
        <v>144.6</v>
      </c>
      <c r="E67">
        <v>143.80000000000001</v>
      </c>
    </row>
  </sheetData>
  <customSheetViews>
    <customSheetView guid="{9EA95E61-FCA5-4867-AEB4-B8C24058ACDD}" scale="60" showGridLines="0" showRowCol="0" state="hidden">
      <selection activeCell="D5" sqref="D5:F10"/>
      <pageMargins left="0.7" right="0.7" top="0.75" bottom="0.75" header="0.3" footer="0.3"/>
      <pageSetup paperSize="9" orientation="portrait" r:id="rId1"/>
    </customSheetView>
  </customSheetViews>
  <dataValidations count="1">
    <dataValidation type="list" allowBlank="1" showInputMessage="1" showErrorMessage="1" sqref="D10">
      <formula1>view</formula1>
    </dataValidation>
  </dataValidations>
  <pageMargins left="0.7" right="0.7" top="0.75" bottom="0.75" header="0.3" footer="0.3"/>
  <pageSetup paperSize="9" orientation="portrait" r:id="rId2"/>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4:U110"/>
  <sheetViews>
    <sheetView showGridLines="0" showRowColHeaders="0" zoomScaleNormal="100" workbookViewId="0">
      <selection activeCell="C37" sqref="C37"/>
    </sheetView>
  </sheetViews>
  <sheetFormatPr defaultRowHeight="15" x14ac:dyDescent="0.25"/>
  <cols>
    <col min="2" max="2" width="18.42578125" customWidth="1"/>
    <col min="3" max="3" width="20.140625" customWidth="1"/>
    <col min="4" max="7" width="25.42578125" customWidth="1"/>
    <col min="8" max="8" width="43.42578125" customWidth="1"/>
    <col min="9" max="9" width="39.42578125" customWidth="1"/>
    <col min="10" max="10" width="28.28515625" customWidth="1"/>
    <col min="11" max="11" width="32.7109375" customWidth="1"/>
    <col min="12" max="12" width="16.28515625" customWidth="1"/>
    <col min="13" max="13" width="26.28515625" bestFit="1" customWidth="1"/>
    <col min="14" max="14" width="16.28515625" bestFit="1" customWidth="1"/>
    <col min="15" max="15" width="22.5703125" bestFit="1" customWidth="1"/>
    <col min="16" max="16" width="21.28515625" bestFit="1" customWidth="1"/>
    <col min="17" max="17" width="22.28515625" bestFit="1" customWidth="1"/>
  </cols>
  <sheetData>
    <row r="4" spans="2:21" ht="30" x14ac:dyDescent="0.4">
      <c r="B4" s="2" t="s">
        <v>154</v>
      </c>
    </row>
    <row r="5" spans="2:21" x14ac:dyDescent="0.25">
      <c r="B5" s="274"/>
      <c r="C5" s="276"/>
      <c r="D5" s="276"/>
      <c r="E5" s="276"/>
      <c r="F5" s="276"/>
      <c r="G5" s="276"/>
      <c r="H5" s="276"/>
      <c r="I5" s="276"/>
      <c r="J5" s="276"/>
    </row>
    <row r="6" spans="2:21" ht="18" customHeight="1" x14ac:dyDescent="0.25">
      <c r="B6" s="275" t="s">
        <v>240</v>
      </c>
      <c r="C6" s="276"/>
      <c r="D6" s="276"/>
      <c r="E6" s="276"/>
      <c r="F6" s="276"/>
      <c r="G6" s="276"/>
      <c r="H6" s="276"/>
      <c r="I6" s="276"/>
      <c r="J6" s="276"/>
    </row>
    <row r="7" spans="2:21" ht="18" customHeight="1" x14ac:dyDescent="0.25">
      <c r="B7" s="275" t="s">
        <v>239</v>
      </c>
      <c r="C7" s="274"/>
      <c r="D7" s="276"/>
      <c r="E7" s="276"/>
      <c r="F7" s="276"/>
      <c r="G7" s="276"/>
      <c r="H7" s="276"/>
      <c r="I7" s="276"/>
      <c r="J7" s="276"/>
      <c r="R7" s="8"/>
      <c r="S7" s="8"/>
      <c r="T7" s="8"/>
      <c r="U7" s="8"/>
    </row>
    <row r="8" spans="2:21" x14ac:dyDescent="0.25">
      <c r="B8" s="276"/>
      <c r="C8" s="276"/>
      <c r="D8" s="276"/>
      <c r="E8" s="276"/>
      <c r="F8" s="276"/>
      <c r="G8" s="276"/>
      <c r="H8" s="276"/>
      <c r="I8" s="274"/>
      <c r="J8" s="274"/>
      <c r="K8" s="8"/>
      <c r="L8" s="8"/>
    </row>
    <row r="9" spans="2:21" x14ac:dyDescent="0.25">
      <c r="B9" s="275" t="s">
        <v>261</v>
      </c>
      <c r="C9" s="276"/>
      <c r="D9" s="276"/>
      <c r="E9" s="276"/>
      <c r="F9" s="276"/>
      <c r="G9" s="276"/>
      <c r="H9" s="276"/>
      <c r="I9" s="274"/>
      <c r="J9" s="274"/>
      <c r="K9" s="8"/>
      <c r="L9" s="8"/>
    </row>
    <row r="10" spans="2:21" x14ac:dyDescent="0.25">
      <c r="B10" s="276"/>
      <c r="C10" s="276"/>
      <c r="D10" s="276"/>
      <c r="E10" s="276"/>
      <c r="F10" s="276"/>
      <c r="G10" s="276"/>
      <c r="H10" s="276"/>
      <c r="I10" s="274"/>
      <c r="J10" s="274"/>
      <c r="K10" s="8"/>
      <c r="L10" s="8"/>
    </row>
    <row r="11" spans="2:21" x14ac:dyDescent="0.25">
      <c r="B11" s="276"/>
      <c r="C11" s="276"/>
      <c r="D11" s="276"/>
      <c r="E11" s="276"/>
      <c r="F11" s="276"/>
      <c r="G11" s="276"/>
      <c r="H11" s="276"/>
      <c r="I11" s="274"/>
      <c r="J11" s="274"/>
      <c r="K11" s="8"/>
      <c r="L11" s="8"/>
    </row>
    <row r="12" spans="2:21" x14ac:dyDescent="0.25">
      <c r="B12" s="276"/>
      <c r="C12" s="276"/>
      <c r="D12" s="276"/>
      <c r="E12" s="276"/>
      <c r="F12" s="276"/>
      <c r="G12" s="276"/>
      <c r="H12" s="276"/>
      <c r="I12" s="274"/>
      <c r="J12" s="274"/>
      <c r="K12" s="8"/>
      <c r="L12" s="8"/>
    </row>
    <row r="13" spans="2:21" x14ac:dyDescent="0.25">
      <c r="B13" s="276"/>
      <c r="C13" s="276"/>
      <c r="D13" s="276"/>
      <c r="E13" s="276"/>
      <c r="F13" s="276"/>
      <c r="G13" s="276"/>
      <c r="H13" s="276"/>
      <c r="I13" s="274"/>
      <c r="J13" s="274"/>
      <c r="K13" s="8"/>
      <c r="L13" s="8"/>
    </row>
    <row r="14" spans="2:21" x14ac:dyDescent="0.25">
      <c r="B14" s="276"/>
      <c r="C14" s="276"/>
      <c r="D14" s="276"/>
      <c r="E14" s="276"/>
      <c r="F14" s="276"/>
      <c r="G14" s="276"/>
      <c r="H14" s="276"/>
      <c r="I14" s="274"/>
      <c r="J14" s="274"/>
      <c r="K14" s="8"/>
      <c r="L14" s="8"/>
    </row>
    <row r="15" spans="2:21" x14ac:dyDescent="0.25">
      <c r="B15" s="276"/>
      <c r="C15" s="276"/>
      <c r="D15" s="276"/>
      <c r="E15" s="276"/>
      <c r="F15" s="276"/>
      <c r="G15" s="276"/>
      <c r="H15" s="276"/>
      <c r="I15" s="274"/>
      <c r="J15" s="274"/>
      <c r="K15" s="8"/>
      <c r="L15" s="8"/>
    </row>
    <row r="16" spans="2:21" x14ac:dyDescent="0.25">
      <c r="B16" s="274"/>
      <c r="C16" s="276"/>
      <c r="D16" s="276"/>
      <c r="E16" s="276"/>
      <c r="F16" s="276"/>
      <c r="G16" s="276"/>
      <c r="H16" s="276"/>
      <c r="I16" s="276"/>
      <c r="J16" s="276"/>
    </row>
    <row r="17" spans="1:12" x14ac:dyDescent="0.25">
      <c r="B17" s="274"/>
      <c r="C17" s="276"/>
      <c r="D17" s="276"/>
      <c r="E17" s="276"/>
      <c r="F17" s="276"/>
      <c r="G17" s="276"/>
      <c r="H17" s="276"/>
      <c r="I17" s="276"/>
      <c r="J17" s="276"/>
    </row>
    <row r="18" spans="1:12" x14ac:dyDescent="0.25">
      <c r="B18" s="274"/>
      <c r="C18" s="276"/>
      <c r="D18" s="276"/>
      <c r="E18" s="276"/>
      <c r="F18" s="276"/>
      <c r="G18" s="276"/>
      <c r="H18" s="276"/>
      <c r="I18" s="276"/>
      <c r="J18" s="276"/>
    </row>
    <row r="19" spans="1:12" x14ac:dyDescent="0.25">
      <c r="B19" s="274"/>
      <c r="C19" s="276"/>
      <c r="D19" s="276"/>
      <c r="E19" s="276"/>
      <c r="F19" s="276"/>
      <c r="G19" s="276"/>
      <c r="H19" s="276"/>
      <c r="I19" s="276"/>
      <c r="J19" s="276"/>
    </row>
    <row r="20" spans="1:12" x14ac:dyDescent="0.25">
      <c r="B20" s="274"/>
      <c r="C20" s="276"/>
      <c r="D20" s="276"/>
      <c r="E20" s="276"/>
      <c r="F20" s="276"/>
      <c r="G20" s="276"/>
      <c r="H20" s="276"/>
      <c r="I20" s="276"/>
      <c r="J20" s="276"/>
    </row>
    <row r="21" spans="1:12" x14ac:dyDescent="0.25">
      <c r="B21" s="274"/>
      <c r="C21" s="276"/>
      <c r="D21" s="276"/>
      <c r="E21" s="276"/>
      <c r="F21" s="276"/>
      <c r="G21" s="276"/>
      <c r="H21" s="276"/>
      <c r="I21" s="276"/>
      <c r="J21" s="276"/>
    </row>
    <row r="22" spans="1:12" ht="23.25" customHeight="1" x14ac:dyDescent="0.25">
      <c r="B22" s="274"/>
      <c r="C22" s="276"/>
      <c r="D22" s="276"/>
      <c r="E22" s="276"/>
      <c r="F22" s="276"/>
      <c r="G22" s="276"/>
      <c r="H22" s="276"/>
      <c r="I22" s="276"/>
      <c r="J22" s="276"/>
    </row>
    <row r="23" spans="1:12" x14ac:dyDescent="0.25">
      <c r="B23" s="276"/>
      <c r="C23" s="276"/>
      <c r="D23" s="276"/>
      <c r="E23" s="276"/>
      <c r="F23" s="276"/>
      <c r="G23" s="276"/>
      <c r="H23" s="276"/>
      <c r="I23" s="274"/>
      <c r="J23" s="274"/>
      <c r="K23" s="8"/>
      <c r="L23" s="8"/>
    </row>
    <row r="24" spans="1:12" x14ac:dyDescent="0.25">
      <c r="B24" s="276"/>
      <c r="C24" s="276"/>
      <c r="D24" s="276"/>
      <c r="E24" s="276"/>
      <c r="F24" s="276"/>
      <c r="G24" s="276"/>
      <c r="H24" s="276"/>
      <c r="I24" s="274"/>
      <c r="J24" s="274"/>
      <c r="K24" s="8"/>
      <c r="L24" s="8"/>
    </row>
    <row r="25" spans="1:12" x14ac:dyDescent="0.25">
      <c r="A25" s="6"/>
      <c r="B25" s="276"/>
      <c r="C25" s="276"/>
      <c r="D25" s="276"/>
      <c r="E25" s="276"/>
      <c r="F25" s="276"/>
      <c r="G25" s="276"/>
      <c r="H25" s="276"/>
      <c r="I25" s="274"/>
      <c r="J25" s="274"/>
      <c r="K25" s="8"/>
      <c r="L25" s="8"/>
    </row>
    <row r="26" spans="1:12" x14ac:dyDescent="0.25">
      <c r="A26" s="5"/>
      <c r="B26" s="276"/>
      <c r="C26" s="276"/>
      <c r="D26" s="276"/>
      <c r="E26" s="276"/>
      <c r="F26" s="276"/>
      <c r="G26" s="276"/>
      <c r="H26" s="276"/>
      <c r="I26" s="274"/>
      <c r="J26" s="274"/>
      <c r="K26" s="8"/>
      <c r="L26" s="8"/>
    </row>
    <row r="27" spans="1:12" x14ac:dyDescent="0.25">
      <c r="A27" s="5"/>
      <c r="B27" s="276"/>
      <c r="C27" s="276"/>
      <c r="D27" s="276"/>
      <c r="E27" s="276"/>
      <c r="F27" s="276"/>
      <c r="G27" s="276"/>
      <c r="H27" s="276"/>
      <c r="I27" s="274"/>
      <c r="J27" s="274"/>
      <c r="K27" s="8"/>
      <c r="L27" s="8"/>
    </row>
    <row r="28" spans="1:12" x14ac:dyDescent="0.25">
      <c r="A28" s="5"/>
      <c r="B28" s="276"/>
      <c r="C28" s="276"/>
      <c r="D28" s="276"/>
      <c r="E28" s="276"/>
      <c r="F28" s="276"/>
      <c r="G28" s="276"/>
      <c r="H28" s="276"/>
      <c r="I28" s="276"/>
      <c r="J28" s="276"/>
    </row>
    <row r="29" spans="1:12" ht="23.25" customHeight="1" x14ac:dyDescent="0.25">
      <c r="A29" s="5"/>
      <c r="B29" s="276"/>
      <c r="C29" s="276"/>
      <c r="D29" s="276"/>
      <c r="E29" s="276"/>
      <c r="F29" s="276"/>
      <c r="G29" s="276"/>
      <c r="H29" s="276"/>
      <c r="I29" s="276"/>
      <c r="J29" s="276"/>
    </row>
    <row r="30" spans="1:12" x14ac:dyDescent="0.25">
      <c r="A30" s="5"/>
      <c r="B30" s="276"/>
      <c r="C30" s="276"/>
      <c r="D30" s="276"/>
      <c r="E30" s="276"/>
      <c r="F30" s="276"/>
      <c r="G30" s="276"/>
      <c r="H30" s="276"/>
      <c r="I30" s="276"/>
      <c r="J30" s="276"/>
    </row>
    <row r="31" spans="1:12" x14ac:dyDescent="0.25">
      <c r="A31" s="5"/>
      <c r="B31" s="276"/>
      <c r="C31" s="276"/>
      <c r="D31" s="276"/>
      <c r="E31" s="276"/>
      <c r="F31" s="276"/>
      <c r="G31" s="276"/>
      <c r="H31" s="276"/>
      <c r="I31" s="276"/>
      <c r="J31" s="276"/>
    </row>
    <row r="32" spans="1:12" x14ac:dyDescent="0.25">
      <c r="A32" s="5"/>
      <c r="B32" s="276"/>
      <c r="C32" s="276"/>
      <c r="D32" s="276"/>
      <c r="E32" s="276"/>
      <c r="F32" s="276"/>
      <c r="G32" s="276"/>
      <c r="H32" s="276"/>
      <c r="I32" s="276"/>
      <c r="J32" s="276"/>
    </row>
    <row r="33" spans="1:10" x14ac:dyDescent="0.25">
      <c r="A33" s="5"/>
      <c r="B33" s="276"/>
      <c r="C33" s="276"/>
      <c r="D33" s="276"/>
      <c r="E33" s="276"/>
      <c r="F33" s="276"/>
      <c r="G33" s="276"/>
      <c r="H33" s="276"/>
      <c r="I33" s="276"/>
      <c r="J33" s="276"/>
    </row>
    <row r="34" spans="1:10" x14ac:dyDescent="0.25">
      <c r="A34" s="5"/>
      <c r="B34" s="276"/>
      <c r="C34" s="276"/>
      <c r="D34" s="276"/>
      <c r="E34" s="276"/>
      <c r="F34" s="276"/>
      <c r="G34" s="276"/>
      <c r="H34" s="276"/>
      <c r="I34" s="276"/>
      <c r="J34" s="276"/>
    </row>
    <row r="35" spans="1:10" x14ac:dyDescent="0.25">
      <c r="A35" s="5"/>
      <c r="B35" s="276"/>
      <c r="C35" s="276"/>
      <c r="D35" s="276"/>
      <c r="E35" s="276"/>
      <c r="F35" s="276"/>
      <c r="G35" s="276"/>
      <c r="H35" s="276"/>
      <c r="I35" s="276"/>
      <c r="J35" s="276"/>
    </row>
    <row r="36" spans="1:10" ht="23.25" customHeight="1" x14ac:dyDescent="0.25">
      <c r="B36" s="276"/>
      <c r="C36" s="276"/>
      <c r="D36" s="276"/>
      <c r="E36" s="276"/>
      <c r="F36" s="276"/>
      <c r="G36" s="276"/>
      <c r="H36" s="276"/>
      <c r="I36" s="276"/>
      <c r="J36" s="276"/>
    </row>
    <row r="37" spans="1:10" x14ac:dyDescent="0.25">
      <c r="B37" s="276"/>
      <c r="C37" s="276"/>
      <c r="D37" s="276"/>
      <c r="E37" s="276"/>
      <c r="F37" s="276"/>
      <c r="G37" s="276"/>
      <c r="H37" s="276"/>
      <c r="I37" s="276"/>
      <c r="J37" s="276"/>
    </row>
    <row r="38" spans="1:10" x14ac:dyDescent="0.25">
      <c r="B38" s="275" t="s">
        <v>262</v>
      </c>
      <c r="C38" s="276"/>
      <c r="D38" s="276"/>
      <c r="E38" s="276"/>
      <c r="F38" s="276"/>
      <c r="G38" s="276"/>
      <c r="H38" s="276"/>
      <c r="I38" s="276"/>
      <c r="J38" s="276"/>
    </row>
    <row r="39" spans="1:10" x14ac:dyDescent="0.25">
      <c r="B39" s="276"/>
      <c r="C39" s="276"/>
      <c r="D39" s="276"/>
      <c r="E39" s="276"/>
      <c r="F39" s="276"/>
      <c r="G39" s="276"/>
      <c r="H39" s="276"/>
      <c r="I39" s="276"/>
      <c r="J39" s="276"/>
    </row>
    <row r="40" spans="1:10" x14ac:dyDescent="0.25">
      <c r="B40" s="276"/>
      <c r="C40" s="276"/>
      <c r="D40" s="276"/>
      <c r="E40" s="276"/>
      <c r="F40" s="276"/>
      <c r="G40" s="276"/>
      <c r="H40" s="276"/>
      <c r="I40" s="276"/>
      <c r="J40" s="276"/>
    </row>
    <row r="41" spans="1:10" x14ac:dyDescent="0.25">
      <c r="B41" s="276"/>
      <c r="C41" s="276"/>
      <c r="D41" s="276"/>
      <c r="E41" s="276"/>
      <c r="F41" s="276"/>
      <c r="G41" s="276"/>
      <c r="H41" s="276"/>
      <c r="I41" s="276"/>
      <c r="J41" s="276"/>
    </row>
    <row r="42" spans="1:10" x14ac:dyDescent="0.25">
      <c r="B42" s="276"/>
      <c r="C42" s="276"/>
      <c r="D42" s="276"/>
      <c r="E42" s="276"/>
      <c r="F42" s="276"/>
      <c r="G42" s="276"/>
      <c r="H42" s="276"/>
      <c r="I42" s="276"/>
      <c r="J42" s="276"/>
    </row>
    <row r="43" spans="1:10" x14ac:dyDescent="0.25">
      <c r="B43" s="276"/>
      <c r="C43" s="276"/>
      <c r="D43" s="276"/>
      <c r="E43" s="276"/>
      <c r="F43" s="276"/>
      <c r="G43" s="276"/>
      <c r="H43" s="276"/>
      <c r="I43" s="276"/>
      <c r="J43" s="276"/>
    </row>
    <row r="44" spans="1:10" x14ac:dyDescent="0.25">
      <c r="B44" s="276"/>
      <c r="C44" s="276"/>
      <c r="D44" s="276"/>
      <c r="E44" s="276"/>
      <c r="F44" s="276"/>
      <c r="G44" s="276"/>
      <c r="H44" s="276"/>
      <c r="I44" s="276"/>
      <c r="J44" s="276"/>
    </row>
    <row r="45" spans="1:10" x14ac:dyDescent="0.25">
      <c r="B45" s="276"/>
      <c r="C45" s="276"/>
      <c r="D45" s="276"/>
      <c r="E45" s="276"/>
      <c r="F45" s="276"/>
      <c r="G45" s="276"/>
      <c r="H45" s="276"/>
      <c r="I45" s="276"/>
      <c r="J45" s="276"/>
    </row>
    <row r="46" spans="1:10" x14ac:dyDescent="0.25">
      <c r="B46" s="276"/>
      <c r="C46" s="276"/>
      <c r="D46" s="276"/>
      <c r="E46" s="276"/>
      <c r="F46" s="276"/>
      <c r="G46" s="276"/>
      <c r="H46" s="276"/>
      <c r="I46" s="276"/>
      <c r="J46" s="276"/>
    </row>
    <row r="47" spans="1:10" ht="23.25" customHeight="1" x14ac:dyDescent="0.25">
      <c r="B47" s="276"/>
      <c r="C47" s="276"/>
      <c r="D47" s="276"/>
      <c r="E47" s="276"/>
      <c r="F47" s="276"/>
      <c r="G47" s="276"/>
      <c r="H47" s="276"/>
      <c r="I47" s="276"/>
      <c r="J47" s="276"/>
    </row>
    <row r="48" spans="1:10" x14ac:dyDescent="0.25">
      <c r="B48" s="276"/>
      <c r="C48" s="276"/>
      <c r="D48" s="276"/>
      <c r="E48" s="276"/>
      <c r="F48" s="276"/>
      <c r="G48" s="276"/>
      <c r="H48" s="276"/>
      <c r="I48" s="276"/>
      <c r="J48" s="276"/>
    </row>
    <row r="49" spans="2:10" x14ac:dyDescent="0.25">
      <c r="B49" s="276"/>
      <c r="C49" s="276"/>
      <c r="D49" s="276"/>
      <c r="E49" s="276"/>
      <c r="F49" s="276"/>
      <c r="G49" s="276"/>
      <c r="H49" s="276"/>
      <c r="I49" s="276"/>
      <c r="J49" s="276"/>
    </row>
    <row r="50" spans="2:10" x14ac:dyDescent="0.25">
      <c r="B50" s="276"/>
      <c r="C50" s="276"/>
      <c r="D50" s="276"/>
      <c r="E50" s="276"/>
      <c r="F50" s="276"/>
      <c r="G50" s="276"/>
      <c r="H50" s="276"/>
      <c r="I50" s="276"/>
      <c r="J50" s="276"/>
    </row>
    <row r="51" spans="2:10" x14ac:dyDescent="0.25">
      <c r="B51" s="276"/>
      <c r="C51" s="276"/>
      <c r="D51" s="276"/>
      <c r="E51" s="276"/>
      <c r="F51" s="276"/>
      <c r="G51" s="276"/>
      <c r="H51" s="276"/>
      <c r="I51" s="276"/>
      <c r="J51" s="276"/>
    </row>
    <row r="52" spans="2:10" x14ac:dyDescent="0.25">
      <c r="B52" s="276"/>
      <c r="C52" s="276"/>
      <c r="D52" s="276"/>
      <c r="E52" s="276"/>
      <c r="F52" s="276"/>
      <c r="G52" s="276"/>
      <c r="H52" s="276"/>
      <c r="I52" s="276"/>
      <c r="J52" s="276"/>
    </row>
    <row r="53" spans="2:10" x14ac:dyDescent="0.25">
      <c r="B53" s="276"/>
      <c r="C53" s="276"/>
      <c r="D53" s="276"/>
      <c r="E53" s="276"/>
      <c r="F53" s="276"/>
      <c r="G53" s="276"/>
      <c r="H53" s="276"/>
      <c r="I53" s="276"/>
      <c r="J53" s="276"/>
    </row>
    <row r="54" spans="2:10" ht="23.25" customHeight="1" x14ac:dyDescent="0.25">
      <c r="B54" s="276"/>
      <c r="C54" s="276"/>
      <c r="D54" s="276"/>
      <c r="E54" s="276"/>
      <c r="F54" s="276"/>
      <c r="G54" s="276"/>
      <c r="H54" s="276"/>
      <c r="I54" s="276"/>
      <c r="J54" s="276"/>
    </row>
    <row r="55" spans="2:10" x14ac:dyDescent="0.25">
      <c r="B55" s="276"/>
      <c r="C55" s="276"/>
      <c r="D55" s="276"/>
      <c r="E55" s="276"/>
      <c r="F55" s="276"/>
      <c r="G55" s="276"/>
      <c r="H55" s="276"/>
      <c r="I55" s="276"/>
      <c r="J55" s="276"/>
    </row>
    <row r="56" spans="2:10" x14ac:dyDescent="0.25">
      <c r="B56" s="276"/>
      <c r="C56" s="276"/>
      <c r="D56" s="276"/>
      <c r="E56" s="276"/>
      <c r="F56" s="276"/>
      <c r="G56" s="276"/>
      <c r="H56" s="276"/>
      <c r="I56" s="276"/>
      <c r="J56" s="276"/>
    </row>
    <row r="57" spans="2:10" x14ac:dyDescent="0.25">
      <c r="B57" s="276"/>
      <c r="C57" s="276"/>
      <c r="D57" s="276"/>
      <c r="E57" s="276"/>
      <c r="F57" s="276"/>
      <c r="G57" s="276"/>
      <c r="H57" s="276"/>
      <c r="I57" s="276"/>
      <c r="J57" s="276"/>
    </row>
    <row r="58" spans="2:10" x14ac:dyDescent="0.25">
      <c r="B58" s="276"/>
      <c r="C58" s="276"/>
      <c r="D58" s="276"/>
      <c r="E58" s="276"/>
      <c r="F58" s="276"/>
      <c r="G58" s="276"/>
      <c r="H58" s="276"/>
      <c r="I58" s="276"/>
      <c r="J58" s="276"/>
    </row>
    <row r="59" spans="2:10" x14ac:dyDescent="0.25">
      <c r="B59" s="276"/>
      <c r="C59" s="276"/>
      <c r="D59" s="276"/>
      <c r="E59" s="276"/>
      <c r="F59" s="276"/>
      <c r="G59" s="276"/>
      <c r="H59" s="276"/>
      <c r="I59" s="276"/>
      <c r="J59" s="276"/>
    </row>
    <row r="60" spans="2:10" x14ac:dyDescent="0.25">
      <c r="B60" s="276"/>
      <c r="C60" s="276"/>
      <c r="D60" s="276"/>
      <c r="E60" s="276"/>
      <c r="F60" s="276"/>
      <c r="G60" s="276"/>
      <c r="H60" s="276"/>
      <c r="I60" s="276"/>
      <c r="J60" s="276"/>
    </row>
    <row r="61" spans="2:10" ht="23.25" customHeight="1" x14ac:dyDescent="0.25">
      <c r="B61" s="276"/>
      <c r="C61" s="276"/>
      <c r="D61" s="276"/>
      <c r="E61" s="276"/>
      <c r="F61" s="276"/>
      <c r="G61" s="276"/>
      <c r="H61" s="276"/>
      <c r="I61" s="276"/>
      <c r="J61" s="276"/>
    </row>
    <row r="62" spans="2:10" x14ac:dyDescent="0.25">
      <c r="B62" s="276"/>
      <c r="C62" s="276"/>
      <c r="D62" s="276"/>
      <c r="E62" s="276"/>
      <c r="F62" s="276"/>
      <c r="G62" s="276"/>
      <c r="H62" s="276"/>
      <c r="I62" s="276"/>
      <c r="J62" s="276"/>
    </row>
    <row r="63" spans="2:10" x14ac:dyDescent="0.25">
      <c r="B63" s="276"/>
      <c r="C63" s="276"/>
      <c r="D63" s="276"/>
      <c r="E63" s="276"/>
      <c r="F63" s="276"/>
      <c r="G63" s="276"/>
      <c r="H63" s="276"/>
      <c r="I63" s="276"/>
      <c r="J63" s="276"/>
    </row>
    <row r="64" spans="2:10" x14ac:dyDescent="0.25">
      <c r="B64" s="276"/>
      <c r="C64" s="276"/>
      <c r="D64" s="276"/>
      <c r="E64" s="276"/>
      <c r="F64" s="276"/>
      <c r="G64" s="276"/>
      <c r="H64" s="276"/>
      <c r="I64" s="276"/>
      <c r="J64" s="276"/>
    </row>
    <row r="65" spans="2:10" x14ac:dyDescent="0.25">
      <c r="B65" s="276"/>
      <c r="C65" s="276"/>
      <c r="D65" s="276"/>
      <c r="E65" s="276"/>
      <c r="F65" s="276"/>
      <c r="G65" s="276"/>
      <c r="H65" s="276"/>
      <c r="I65" s="276"/>
      <c r="J65" s="276"/>
    </row>
    <row r="66" spans="2:10" x14ac:dyDescent="0.25">
      <c r="B66" s="276"/>
      <c r="C66" s="276"/>
      <c r="D66" s="276"/>
      <c r="E66" s="276"/>
      <c r="F66" s="276"/>
      <c r="G66" s="276"/>
      <c r="H66" s="276"/>
      <c r="I66" s="276"/>
      <c r="J66" s="276"/>
    </row>
    <row r="67" spans="2:10" x14ac:dyDescent="0.25">
      <c r="B67" s="276"/>
      <c r="C67" s="276"/>
      <c r="D67" s="276"/>
      <c r="E67" s="276"/>
      <c r="F67" s="276"/>
      <c r="G67" s="276"/>
      <c r="H67" s="276"/>
      <c r="I67" s="276"/>
      <c r="J67" s="276"/>
    </row>
    <row r="68" spans="2:10" ht="23.25" customHeight="1" x14ac:dyDescent="0.25">
      <c r="B68" s="276"/>
      <c r="C68" s="276"/>
      <c r="D68" s="276"/>
      <c r="E68" s="276"/>
      <c r="F68" s="276"/>
      <c r="G68" s="276"/>
      <c r="H68" s="276"/>
      <c r="I68" s="276"/>
      <c r="J68" s="276"/>
    </row>
    <row r="69" spans="2:10" x14ac:dyDescent="0.25">
      <c r="B69" s="276"/>
      <c r="C69" s="276"/>
      <c r="D69" s="276"/>
      <c r="E69" s="276"/>
      <c r="F69" s="276"/>
      <c r="G69" s="276"/>
      <c r="H69" s="276"/>
      <c r="I69" s="276"/>
      <c r="J69" s="276"/>
    </row>
    <row r="70" spans="2:10" x14ac:dyDescent="0.25">
      <c r="B70" s="276"/>
      <c r="C70" s="276"/>
      <c r="D70" s="276"/>
      <c r="E70" s="276"/>
      <c r="F70" s="276"/>
      <c r="G70" s="276"/>
      <c r="H70" s="276"/>
      <c r="I70" s="276"/>
      <c r="J70" s="276"/>
    </row>
    <row r="71" spans="2:10" x14ac:dyDescent="0.25">
      <c r="B71" s="276"/>
      <c r="C71" s="276"/>
      <c r="D71" s="276"/>
      <c r="E71" s="276"/>
      <c r="F71" s="276"/>
      <c r="G71" s="276"/>
      <c r="H71" s="276"/>
      <c r="I71" s="276"/>
      <c r="J71" s="276"/>
    </row>
    <row r="72" spans="2:10" x14ac:dyDescent="0.25">
      <c r="B72" s="276"/>
      <c r="C72" s="276"/>
      <c r="D72" s="276"/>
      <c r="E72" s="276"/>
      <c r="F72" s="276"/>
      <c r="G72" s="276"/>
      <c r="H72" s="276"/>
      <c r="I72" s="276"/>
      <c r="J72" s="276"/>
    </row>
    <row r="73" spans="2:10" x14ac:dyDescent="0.25">
      <c r="B73" s="276"/>
      <c r="C73" s="276"/>
      <c r="D73" s="276"/>
      <c r="E73" s="276"/>
      <c r="F73" s="276"/>
      <c r="G73" s="276"/>
      <c r="H73" s="276"/>
      <c r="I73" s="276"/>
      <c r="J73" s="276"/>
    </row>
    <row r="74" spans="2:10" x14ac:dyDescent="0.25">
      <c r="B74" s="276"/>
      <c r="C74" s="276"/>
      <c r="D74" s="276"/>
      <c r="E74" s="276"/>
      <c r="F74" s="276"/>
      <c r="G74" s="276"/>
      <c r="H74" s="276"/>
      <c r="I74" s="276"/>
      <c r="J74" s="276"/>
    </row>
    <row r="75" spans="2:10" ht="23.25" customHeight="1" x14ac:dyDescent="0.25">
      <c r="B75" s="276"/>
      <c r="C75" s="276"/>
      <c r="D75" s="276"/>
      <c r="E75" s="276"/>
      <c r="F75" s="276"/>
      <c r="G75" s="276"/>
      <c r="H75" s="276"/>
      <c r="I75" s="276"/>
      <c r="J75" s="276"/>
    </row>
    <row r="76" spans="2:10" x14ac:dyDescent="0.25">
      <c r="B76" s="276"/>
      <c r="C76" s="276"/>
      <c r="D76" s="276"/>
      <c r="E76" s="276"/>
      <c r="F76" s="276"/>
      <c r="G76" s="276"/>
      <c r="H76" s="276"/>
      <c r="I76" s="276"/>
      <c r="J76" s="276"/>
    </row>
    <row r="77" spans="2:10" x14ac:dyDescent="0.25">
      <c r="B77" s="276"/>
      <c r="C77" s="276"/>
      <c r="D77" s="276"/>
      <c r="E77" s="276"/>
      <c r="F77" s="276"/>
      <c r="G77" s="276"/>
      <c r="H77" s="276"/>
      <c r="I77" s="276"/>
      <c r="J77" s="276"/>
    </row>
    <row r="78" spans="2:10" x14ac:dyDescent="0.25">
      <c r="B78" s="276"/>
      <c r="C78" s="276"/>
      <c r="D78" s="276"/>
      <c r="E78" s="276"/>
      <c r="F78" s="276"/>
      <c r="G78" s="276"/>
      <c r="H78" s="276"/>
      <c r="I78" s="276"/>
      <c r="J78" s="276"/>
    </row>
    <row r="79" spans="2:10" x14ac:dyDescent="0.25">
      <c r="B79" s="276"/>
      <c r="C79" s="276"/>
      <c r="D79" s="276"/>
      <c r="E79" s="276"/>
      <c r="F79" s="276"/>
      <c r="G79" s="276"/>
      <c r="H79" s="276"/>
      <c r="I79" s="276"/>
      <c r="J79" s="276"/>
    </row>
    <row r="80" spans="2:10" x14ac:dyDescent="0.25">
      <c r="B80" s="276"/>
      <c r="C80" s="276"/>
      <c r="D80" s="276"/>
      <c r="E80" s="276"/>
      <c r="F80" s="276"/>
      <c r="G80" s="276"/>
      <c r="H80" s="276"/>
      <c r="I80" s="276"/>
      <c r="J80" s="276"/>
    </row>
    <row r="81" spans="2:10" x14ac:dyDescent="0.25">
      <c r="B81" s="276"/>
      <c r="C81" s="276"/>
      <c r="D81" s="276"/>
      <c r="E81" s="276"/>
      <c r="F81" s="276"/>
      <c r="G81" s="276"/>
      <c r="H81" s="276"/>
      <c r="I81" s="276"/>
      <c r="J81" s="276"/>
    </row>
    <row r="82" spans="2:10" x14ac:dyDescent="0.25">
      <c r="B82" s="276"/>
      <c r="C82" s="276"/>
      <c r="D82" s="276"/>
      <c r="E82" s="276"/>
      <c r="F82" s="276"/>
      <c r="G82" s="276"/>
      <c r="H82" s="276"/>
      <c r="I82" s="276"/>
      <c r="J82" s="276"/>
    </row>
    <row r="83" spans="2:10" ht="23.25" customHeight="1" x14ac:dyDescent="0.25">
      <c r="B83" s="276"/>
      <c r="C83" s="276"/>
      <c r="D83" s="276"/>
      <c r="E83" s="276"/>
      <c r="F83" s="276"/>
      <c r="G83" s="276"/>
      <c r="H83" s="276"/>
      <c r="I83" s="276"/>
      <c r="J83" s="276"/>
    </row>
    <row r="84" spans="2:10" x14ac:dyDescent="0.25">
      <c r="B84" s="276"/>
      <c r="C84" s="276"/>
      <c r="D84" s="276"/>
      <c r="E84" s="276"/>
      <c r="F84" s="276"/>
      <c r="G84" s="276"/>
      <c r="H84" s="276"/>
      <c r="I84" s="276"/>
      <c r="J84" s="276"/>
    </row>
    <row r="85" spans="2:10" x14ac:dyDescent="0.25">
      <c r="C85" s="276"/>
      <c r="D85" s="276"/>
      <c r="E85" s="276"/>
      <c r="F85" s="276"/>
      <c r="G85" s="276"/>
      <c r="H85" s="276"/>
      <c r="I85" s="276"/>
      <c r="J85" s="276"/>
    </row>
    <row r="86" spans="2:10" x14ac:dyDescent="0.25">
      <c r="C86" s="276"/>
      <c r="D86" s="276"/>
      <c r="E86" s="276"/>
      <c r="F86" s="276"/>
      <c r="G86" s="276"/>
      <c r="H86" s="276"/>
      <c r="I86" s="276"/>
      <c r="J86" s="276"/>
    </row>
    <row r="87" spans="2:10" x14ac:dyDescent="0.25">
      <c r="C87" s="276"/>
      <c r="D87" s="276"/>
      <c r="E87" s="276"/>
      <c r="F87" s="276"/>
      <c r="G87" s="276"/>
      <c r="H87" s="276"/>
      <c r="I87" s="276"/>
      <c r="J87" s="276"/>
    </row>
    <row r="88" spans="2:10" x14ac:dyDescent="0.25">
      <c r="C88" s="276"/>
      <c r="D88" s="276"/>
      <c r="E88" s="276"/>
      <c r="F88" s="276"/>
      <c r="G88" s="276"/>
      <c r="H88" s="276"/>
      <c r="I88" s="276"/>
      <c r="J88" s="276"/>
    </row>
    <row r="89" spans="2:10" x14ac:dyDescent="0.25">
      <c r="C89" s="276"/>
      <c r="D89" s="276"/>
      <c r="E89" s="276"/>
      <c r="F89" s="276"/>
      <c r="G89" s="276"/>
      <c r="H89" s="276"/>
      <c r="I89" s="276"/>
      <c r="J89" s="276"/>
    </row>
    <row r="90" spans="2:10" x14ac:dyDescent="0.25">
      <c r="C90" s="276"/>
      <c r="D90" s="276"/>
      <c r="E90" s="276"/>
      <c r="F90" s="276"/>
      <c r="G90" s="276"/>
      <c r="H90" s="276"/>
      <c r="I90" s="276"/>
      <c r="J90" s="276"/>
    </row>
    <row r="91" spans="2:10" x14ac:dyDescent="0.25">
      <c r="C91" s="276"/>
      <c r="D91" s="276"/>
      <c r="E91" s="276"/>
      <c r="F91" s="276"/>
      <c r="G91" s="276"/>
      <c r="H91" s="276"/>
      <c r="I91" s="276"/>
      <c r="J91" s="276"/>
    </row>
    <row r="92" spans="2:10" x14ac:dyDescent="0.25">
      <c r="C92" s="276"/>
      <c r="D92" s="276"/>
      <c r="E92" s="276"/>
      <c r="F92" s="276"/>
      <c r="G92" s="276"/>
      <c r="H92" s="276"/>
      <c r="I92" s="276"/>
      <c r="J92" s="276"/>
    </row>
    <row r="93" spans="2:10" x14ac:dyDescent="0.25">
      <c r="C93" s="276"/>
      <c r="D93" s="276"/>
      <c r="E93" s="276"/>
      <c r="F93" s="276"/>
      <c r="G93" s="276"/>
      <c r="H93" s="276"/>
      <c r="I93" s="276"/>
      <c r="J93" s="276"/>
    </row>
    <row r="94" spans="2:10" x14ac:dyDescent="0.25">
      <c r="C94" s="276"/>
      <c r="D94" s="276"/>
      <c r="E94" s="276"/>
      <c r="F94" s="276"/>
      <c r="G94" s="276"/>
      <c r="H94" s="276"/>
      <c r="I94" s="276"/>
      <c r="J94" s="276"/>
    </row>
    <row r="95" spans="2:10" x14ac:dyDescent="0.25">
      <c r="C95" s="276"/>
      <c r="D95" s="276"/>
      <c r="E95" s="276"/>
      <c r="F95" s="276"/>
      <c r="G95" s="276"/>
      <c r="H95" s="276"/>
      <c r="I95" s="276"/>
      <c r="J95" s="276"/>
    </row>
    <row r="96" spans="2:10" x14ac:dyDescent="0.25">
      <c r="C96" s="276"/>
      <c r="D96" s="276"/>
      <c r="E96" s="276"/>
      <c r="F96" s="276"/>
      <c r="G96" s="276"/>
      <c r="H96" s="276"/>
      <c r="I96" s="276"/>
      <c r="J96" s="276"/>
    </row>
    <row r="97" spans="3:10" x14ac:dyDescent="0.25">
      <c r="C97" s="276"/>
      <c r="D97" s="276"/>
      <c r="E97" s="276"/>
      <c r="F97" s="276"/>
      <c r="G97" s="276"/>
      <c r="H97" s="276"/>
      <c r="I97" s="276"/>
      <c r="J97" s="276"/>
    </row>
    <row r="98" spans="3:10" x14ac:dyDescent="0.25">
      <c r="C98" s="276"/>
      <c r="D98" s="276"/>
      <c r="E98" s="276"/>
      <c r="F98" s="276"/>
      <c r="G98" s="276"/>
      <c r="H98" s="276"/>
      <c r="I98" s="276"/>
      <c r="J98" s="276"/>
    </row>
    <row r="99" spans="3:10" x14ac:dyDescent="0.25">
      <c r="C99" s="276"/>
      <c r="D99" s="276"/>
      <c r="E99" s="276"/>
      <c r="F99" s="276"/>
      <c r="G99" s="276"/>
      <c r="H99" s="276"/>
      <c r="I99" s="276"/>
      <c r="J99" s="276"/>
    </row>
    <row r="100" spans="3:10" x14ac:dyDescent="0.25">
      <c r="C100" s="276"/>
      <c r="D100" s="276"/>
      <c r="E100" s="276"/>
      <c r="F100" s="276"/>
      <c r="G100" s="276"/>
      <c r="H100" s="276"/>
      <c r="I100" s="276"/>
      <c r="J100" s="276"/>
    </row>
    <row r="101" spans="3:10" x14ac:dyDescent="0.25">
      <c r="C101" s="276"/>
      <c r="D101" s="276"/>
      <c r="E101" s="276"/>
      <c r="F101" s="276"/>
      <c r="G101" s="276"/>
      <c r="H101" s="276"/>
      <c r="I101" s="276"/>
      <c r="J101" s="276"/>
    </row>
    <row r="102" spans="3:10" x14ac:dyDescent="0.25">
      <c r="C102" s="276"/>
      <c r="D102" s="276"/>
      <c r="E102" s="276"/>
      <c r="F102" s="276"/>
      <c r="G102" s="276"/>
      <c r="H102" s="276"/>
      <c r="I102" s="276"/>
      <c r="J102" s="276"/>
    </row>
    <row r="103" spans="3:10" x14ac:dyDescent="0.25">
      <c r="C103" s="276"/>
      <c r="D103" s="276"/>
      <c r="E103" s="276"/>
      <c r="F103" s="276"/>
      <c r="G103" s="276"/>
      <c r="H103" s="276"/>
      <c r="I103" s="276"/>
      <c r="J103" s="276"/>
    </row>
    <row r="104" spans="3:10" x14ac:dyDescent="0.25">
      <c r="C104" s="276"/>
      <c r="D104" s="276"/>
      <c r="E104" s="276"/>
      <c r="F104" s="276"/>
      <c r="G104" s="276"/>
      <c r="H104" s="276"/>
      <c r="I104" s="276"/>
      <c r="J104" s="276"/>
    </row>
    <row r="105" spans="3:10" x14ac:dyDescent="0.25">
      <c r="C105" s="276"/>
      <c r="D105" s="276"/>
      <c r="E105" s="276"/>
      <c r="F105" s="276"/>
      <c r="G105" s="276"/>
      <c r="H105" s="276"/>
      <c r="I105" s="276"/>
      <c r="J105" s="276"/>
    </row>
    <row r="106" spans="3:10" x14ac:dyDescent="0.25">
      <c r="C106" s="276"/>
      <c r="D106" s="276"/>
      <c r="E106" s="276"/>
      <c r="F106" s="276"/>
      <c r="G106" s="276"/>
      <c r="H106" s="276"/>
      <c r="I106" s="276"/>
      <c r="J106" s="276"/>
    </row>
    <row r="107" spans="3:10" x14ac:dyDescent="0.25">
      <c r="C107" s="276"/>
      <c r="D107" s="276"/>
      <c r="E107" s="276"/>
      <c r="F107" s="276"/>
      <c r="G107" s="276"/>
      <c r="H107" s="276"/>
      <c r="I107" s="276"/>
      <c r="J107" s="276"/>
    </row>
    <row r="108" spans="3:10" x14ac:dyDescent="0.25">
      <c r="C108" s="276"/>
      <c r="D108" s="276"/>
      <c r="E108" s="276"/>
      <c r="F108" s="276"/>
      <c r="G108" s="276"/>
      <c r="H108" s="276"/>
      <c r="I108" s="276"/>
      <c r="J108" s="276"/>
    </row>
    <row r="109" spans="3:10" x14ac:dyDescent="0.25">
      <c r="C109" s="276"/>
      <c r="D109" s="276"/>
      <c r="E109" s="276"/>
      <c r="F109" s="276"/>
      <c r="G109" s="276"/>
      <c r="H109" s="276"/>
      <c r="I109" s="276"/>
      <c r="J109" s="276"/>
    </row>
    <row r="110" spans="3:10" x14ac:dyDescent="0.25">
      <c r="C110" s="276"/>
      <c r="D110" s="276"/>
      <c r="E110" s="276"/>
      <c r="F110" s="276"/>
      <c r="G110" s="276"/>
      <c r="H110" s="276"/>
      <c r="I110" s="276"/>
      <c r="J110" s="276"/>
    </row>
  </sheetData>
  <dataConsolidate/>
  <customSheetViews>
    <customSheetView guid="{9EA95E61-FCA5-4867-AEB4-B8C24058ACDD}" showGridLines="0" showRowCol="0">
      <selection activeCell="G57" sqref="G57"/>
      <pageMargins left="0.7" right="0.7" top="0.75" bottom="0.75" header="0.3" footer="0.3"/>
      <pageSetup paperSize="9" orientation="portrait" r:id="rId1"/>
    </customSheetView>
  </customSheetViews>
  <pageMargins left="0.7" right="0.7" top="0.75" bottom="0.75" header="0.3" footer="0.3"/>
  <pageSetup paperSize="9" orientation="portrait" r:id="rId2"/>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U92"/>
  <sheetViews>
    <sheetView showGridLines="0" showRowColHeaders="0" topLeftCell="A7" zoomScaleNormal="100" workbookViewId="0">
      <selection activeCell="B20" sqref="B20"/>
    </sheetView>
  </sheetViews>
  <sheetFormatPr defaultRowHeight="15" x14ac:dyDescent="0.25"/>
  <cols>
    <col min="2" max="2" width="9.5703125" customWidth="1"/>
    <col min="3" max="3" width="13" customWidth="1"/>
    <col min="4" max="7" width="16.42578125" customWidth="1"/>
    <col min="8" max="8" width="17" customWidth="1"/>
    <col min="9" max="9" width="15.42578125" customWidth="1"/>
    <col min="10" max="10" width="28.28515625" customWidth="1"/>
    <col min="11" max="11" width="32.7109375" customWidth="1"/>
    <col min="12" max="12" width="16.28515625" customWidth="1"/>
    <col min="13" max="13" width="26.28515625" bestFit="1" customWidth="1"/>
    <col min="14" max="14" width="16.28515625" bestFit="1" customWidth="1"/>
    <col min="15" max="15" width="22.5703125" bestFit="1" customWidth="1"/>
    <col min="16" max="16" width="21.28515625" bestFit="1" customWidth="1"/>
    <col min="17" max="17" width="22.28515625" bestFit="1" customWidth="1"/>
  </cols>
  <sheetData>
    <row r="1" spans="2:21" x14ac:dyDescent="0.25">
      <c r="B1" s="231"/>
      <c r="C1" s="231"/>
      <c r="D1" s="231"/>
    </row>
    <row r="2" spans="2:21" x14ac:dyDescent="0.25">
      <c r="B2" s="231"/>
      <c r="C2" s="231"/>
      <c r="D2" s="231"/>
    </row>
    <row r="4" spans="2:21" ht="30" x14ac:dyDescent="0.4">
      <c r="B4" s="2" t="s">
        <v>154</v>
      </c>
    </row>
    <row r="5" spans="2:21" x14ac:dyDescent="0.25">
      <c r="B5" s="274"/>
      <c r="C5" s="276"/>
      <c r="D5" s="276"/>
      <c r="E5" s="276"/>
    </row>
    <row r="6" spans="2:21" ht="23.25" customHeight="1" x14ac:dyDescent="0.25">
      <c r="B6" s="275" t="s">
        <v>240</v>
      </c>
      <c r="C6" s="276"/>
      <c r="D6" s="276"/>
      <c r="E6" s="276"/>
      <c r="F6" s="233"/>
      <c r="G6" s="233"/>
    </row>
    <row r="7" spans="2:21" x14ac:dyDescent="0.25">
      <c r="B7" s="274"/>
      <c r="C7" s="274"/>
      <c r="D7" s="276"/>
      <c r="E7" s="276"/>
      <c r="F7" s="233"/>
      <c r="G7" s="233"/>
    </row>
    <row r="8" spans="2:21" ht="23.25" customHeight="1" x14ac:dyDescent="0.25">
      <c r="B8" s="275" t="s">
        <v>239</v>
      </c>
      <c r="C8" s="274"/>
      <c r="D8" s="276"/>
      <c r="E8" s="276"/>
      <c r="F8" s="233"/>
      <c r="G8" s="233"/>
      <c r="R8" s="8"/>
      <c r="S8" s="8"/>
      <c r="T8" s="8"/>
      <c r="U8" s="8"/>
    </row>
    <row r="9" spans="2:21" x14ac:dyDescent="0.25">
      <c r="B9" s="274" t="s">
        <v>238</v>
      </c>
      <c r="C9" s="274"/>
      <c r="D9" s="276"/>
      <c r="E9" s="276"/>
      <c r="F9" s="233"/>
      <c r="G9" s="233"/>
      <c r="R9" s="8"/>
      <c r="S9" s="8"/>
      <c r="T9" s="8"/>
      <c r="U9" s="8"/>
    </row>
    <row r="10" spans="2:21" x14ac:dyDescent="0.25">
      <c r="B10" s="1967" t="s">
        <v>230</v>
      </c>
      <c r="C10" s="1967"/>
      <c r="D10" s="1967"/>
      <c r="E10" s="1967"/>
      <c r="F10" s="233"/>
      <c r="G10" s="233"/>
      <c r="R10" s="8"/>
      <c r="S10" s="8"/>
      <c r="T10" s="8"/>
      <c r="U10" s="8"/>
    </row>
    <row r="11" spans="2:21" x14ac:dyDescent="0.25">
      <c r="B11" s="285"/>
      <c r="C11" s="285"/>
      <c r="D11" s="286"/>
      <c r="E11" s="286"/>
      <c r="F11" s="267"/>
      <c r="G11" s="267"/>
      <c r="R11" s="8"/>
      <c r="S11" s="8"/>
      <c r="T11" s="8"/>
      <c r="U11" s="8"/>
    </row>
    <row r="12" spans="2:21" x14ac:dyDescent="0.25">
      <c r="B12" s="286"/>
      <c r="C12" s="286"/>
      <c r="D12" s="286"/>
      <c r="E12" s="286"/>
      <c r="F12" s="267"/>
      <c r="G12" s="267"/>
      <c r="R12" s="8"/>
      <c r="S12" s="8"/>
      <c r="T12" s="8"/>
      <c r="U12" s="8"/>
    </row>
    <row r="13" spans="2:21" x14ac:dyDescent="0.25">
      <c r="B13" s="287" t="s">
        <v>1</v>
      </c>
      <c r="C13" s="287" t="s">
        <v>394</v>
      </c>
      <c r="D13" s="287" t="s">
        <v>395</v>
      </c>
      <c r="E13" s="287" t="s">
        <v>436</v>
      </c>
      <c r="M13" s="8"/>
      <c r="N13" s="8"/>
      <c r="O13" s="8"/>
      <c r="P13" s="8"/>
    </row>
    <row r="14" spans="2:21" x14ac:dyDescent="0.25">
      <c r="B14" s="288" t="s">
        <v>4</v>
      </c>
      <c r="C14" s="289">
        <f>IF($B$10="A&amp;E Services",'Reference Costs Output (2)'!E13,IF($B$10="Chemo/Radiotherapy &amp; High Cost Drugs ",'Reference Costs Output (2)'!E24,IF($B$10="Community Care",'Reference Costs Output (2)'!E34,IF($B$10="Diagnostic Tests",'Reference Costs Output (2)'!E44,IF($B$10="Hospital and Non-Admitted Mental Health",'Reference Costs Output (2)'!E54,IF($B$10="Hospital/Patient Transport Sheme",'Reference Costs Output (2)'!E64,IF($B$10="Other",'Reference Costs Output (2)'!E74,IF($B$10="Outpatient",'Reference Costs Output (2)'!E84,IF($B$10="Radiology",'Reference Costs Output (2)'!E94,IF($B$10="Rehabilitation",'Reference Costs Output (2)'!E104,IF($B$10="Renal Dialysis",'Reference Costs Output (2)'!E114,IF($B$10="Specialist Services",'Reference Costs Output (2)'!E124,IF($B$10="Opth&amp;Dentistry",'Reference Costs Output (2)'!E134,'Reference Costs Output (2)'!E141)))))))))))))</f>
        <v>23189303</v>
      </c>
      <c r="D14" s="295">
        <f>IF($B$10="A&amp;E Services",'Reference Costs Output (2)'!F13,IF($B$10="Chemo/Radiotherapy &amp; High Cost Drugs ",'Reference Costs Output (2)'!F24,IF($B$10="Community Care",'Reference Costs Output (2)'!F34,IF($B$10="Diagnostic Tests",'Reference Costs Output (2)'!F44,IF($B$10="Hospital and Non-Admitted Mental Health",'Reference Costs Output (2)'!F54,IF($B$10="Hospital/Patient Transport Sheme",'Reference Costs Output (2)'!F64,IF($B$10="Other",'Reference Costs Output (2)'!F74,IF($B$10="Outpatient",'Reference Costs Output (2)'!F84,IF($B$10="Radiology",'Reference Costs Output (2)'!F94,IF($B$10="Rehabilitation",'Reference Costs Output (2)'!F104,IF($B$10="Renal Dialysis",'Reference Costs Output (2)'!F114,IF($B$10="Specialist Services",'Reference Costs Output (2)'!F124,IF($B$10="Opth&amp;Dentistry",'Reference Costs Output (2)'!F134,'Reference Costs Output (2)'!F141)))))))))))))</f>
        <v>2653789144</v>
      </c>
      <c r="E14" s="295"/>
      <c r="F14" s="295"/>
      <c r="G14" s="295"/>
      <c r="H14" s="404"/>
      <c r="M14" s="8"/>
      <c r="N14" s="8"/>
      <c r="O14" s="8"/>
      <c r="P14" s="8"/>
    </row>
    <row r="15" spans="2:21" x14ac:dyDescent="0.25">
      <c r="B15" s="288" t="s">
        <v>5</v>
      </c>
      <c r="C15" s="289">
        <f>IF($B$10="A&amp;E Services",'Reference Costs Output (2)'!E14,IF($B$10="Chemo/Radiotherapy &amp; High Cost Drugs ",'Reference Costs Output (2)'!E25,IF($B$10="Community Care",'Reference Costs Output (2)'!E35,IF($B$10="Diagnostic Tests",'Reference Costs Output (2)'!E45,IF($B$10="Hospital and Non-Admitted Mental Health",'Reference Costs Output (2)'!E55,IF($B$10="Hospital/Patient Transport Sheme",'Reference Costs Output (2)'!E65,IF($B$10="Other",'Reference Costs Output (2)'!E75,IF($B$10="Outpatient",'Reference Costs Output (2)'!E85,IF($B$10="Radiology",'Reference Costs Output (2)'!E95,IF($B$10="Rehabilitation",'Reference Costs Output (2)'!E105,IF($B$10="Renal Dialysis",'Reference Costs Output (2)'!E115,IF($B$10="Specialist Services",'Reference Costs Output (2)'!E125,IF($B$10="Opth&amp;Dentistry",'Reference Costs Output (2)'!E135,'Reference Costs Output (2)'!E142)))))))))))))</f>
        <v>24815831</v>
      </c>
      <c r="D15" s="295">
        <f>IF($B$10="A&amp;E Services",'Reference Costs Output (2)'!F14,IF($B$10="Chemo/Radiotherapy &amp; High Cost Drugs ",'Reference Costs Output (2)'!F25,IF($B$10="Community Care",'Reference Costs Output (2)'!F35,IF($B$10="Diagnostic Tests",'Reference Costs Output (2)'!F45,IF($B$10="Hospital and Non-Admitted Mental Health",'Reference Costs Output (2)'!F55,IF($B$10="Hospital/Patient Transport Sheme",'Reference Costs Output (2)'!F65,IF($B$10="Other",'Reference Costs Output (2)'!F75,IF($B$10="Outpatient",'Reference Costs Output (2)'!F85,IF($B$10="Radiology",'Reference Costs Output (2)'!F95,IF($B$10="Rehabilitation",'Reference Costs Output (2)'!F105,IF($B$10="Renal Dialysis",'Reference Costs Output (2)'!F115,IF($B$10="Specialist Services",'Reference Costs Output (2)'!F125,IF($B$10="Opth&amp;Dentistry",'Reference Costs Output (2)'!F135,'Reference Costs Output (2)'!F142)))))))))))))</f>
        <v>3021863889</v>
      </c>
      <c r="E15" s="404">
        <f>H15</f>
        <v>7.9685598416015191E-2</v>
      </c>
      <c r="F15" s="295"/>
      <c r="G15" s="295"/>
      <c r="H15" s="405">
        <f>IF($B$10="A&amp;E Services",'Reference Costs Output (2)'!J14,IF($B$10="Chemo/Radiotherapy &amp; High Cost Drugs ",'Reference Costs Output (2)'!J25,IF($B$10="Community Care",'Reference Costs Output (2)'!#REF!,IF($B$10="Diagnostic Tests",'Reference Costs Output (2)'!J45,IF($B$10="Hospital and Non-Admitted Mental Health",'Reference Costs Output (2)'!K45,IF($B$10="Hospital/Patient Transport Sheme",'Reference Costs Output (2)'!J65,IF($B$10="Other",'Reference Costs Output (2)'!J75,IF($B$10="Outpatient",'Reference Costs Output (2)'!J85,IF($B$10="Radiology",'Reference Costs Output (2)'!J95,IF($B$10="Rehabilitation",'Reference Costs Output (2)'!J105,IF($B$10="Renal Dialysis",'Reference Costs Output (2)'!J115,IF($B$10="Specialist Services",'Reference Costs Output (2)'!J125,IF($B$10="Opth&amp;Dentistry",'Reference Costs Output (2)'!J135,'Reference Costs Output (2)'!J142)))))))))))))</f>
        <v>7.9685598416015191E-2</v>
      </c>
      <c r="M15" s="8"/>
      <c r="N15" s="8"/>
      <c r="O15" s="8"/>
      <c r="P15" s="8"/>
    </row>
    <row r="16" spans="2:21" x14ac:dyDescent="0.25">
      <c r="B16" s="288" t="s">
        <v>6</v>
      </c>
      <c r="C16" s="289">
        <f>IF($B$10="A&amp;E Services",'Reference Costs Output (2)'!E15,IF($B$10="Chemo/Radiotherapy &amp; High Cost Drugs ",'Reference Costs Output (2)'!E26,IF($B$10="Community Care",'Reference Costs Output (2)'!E36,IF($B$10="Diagnostic Tests",'Reference Costs Output (2)'!E46,IF($B$10="Hospital and Non-Admitted Mental Health",'Reference Costs Output (2)'!E56,IF($B$10="Hospital/Patient Transport Sheme",'Reference Costs Output (2)'!E66,IF($B$10="Other",'Reference Costs Output (2)'!E76,IF($B$10="Outpatient",'Reference Costs Output (2)'!E86,IF($B$10="Radiology",'Reference Costs Output (2)'!E96,IF($B$10="Rehabilitation",'Reference Costs Output (2)'!E106,IF($B$10="Renal Dialysis",'Reference Costs Output (2)'!E116,IF($B$10="Specialist Services",'Reference Costs Output (2)'!E126,IF($B$10="Opth&amp;Dentistry",'Reference Costs Output (2)'!E136,'Reference Costs Output (2)'!E143)))))))))))))</f>
        <v>25574685</v>
      </c>
      <c r="D16" s="295">
        <f>IF($B$10="A&amp;E Services",'Reference Costs Output (2)'!F15,IF($B$10="Chemo/Radiotherapy &amp; High Cost Drugs ",'Reference Costs Output (2)'!F26,IF($B$10="Community Care",'Reference Costs Output (2)'!F36,IF($B$10="Diagnostic Tests",'Reference Costs Output (2)'!F46,IF($B$10="Hospital and Non-Admitted Mental Health",'Reference Costs Output (2)'!F56,IF($B$10="Hospital/Patient Transport Sheme",'Reference Costs Output (2)'!F66,IF($B$10="Other",'Reference Costs Output (2)'!F76,IF($B$10="Outpatient",'Reference Costs Output (2)'!F86,IF($B$10="Radiology",'Reference Costs Output (2)'!F96,IF($B$10="Rehabilitation",'Reference Costs Output (2)'!F106,IF($B$10="Renal Dialysis",'Reference Costs Output (2)'!F116,IF($B$10="Specialist Services",'Reference Costs Output (2)'!F126,IF($B$10="Opth&amp;Dentistry",'Reference Costs Output (2)'!F136,'Reference Costs Output (2)'!F143)))))))))))))</f>
        <v>3296888378</v>
      </c>
      <c r="E16" s="404">
        <f>H16</f>
        <v>4.9088487585418283E-2</v>
      </c>
      <c r="F16" s="295"/>
      <c r="G16" s="295"/>
      <c r="H16" s="405">
        <f>IF($B$10="A&amp;E Services",'Reference Costs Output (2)'!J15,IF($B$10="Chemo/Radiotherapy &amp; High Cost Drugs ",'Reference Costs Output (2)'!J26,IF($B$10="Community Care",'Reference Costs Output (2)'!#REF!,IF($B$10="Diagnostic Tests",'Reference Costs Output (2)'!J46,IF($B$10="Hospital and Non-Admitted Mental Health",'Reference Costs Output (2)'!K46,IF($B$10="Hospital/Patient Transport Sheme",'Reference Costs Output (2)'!J66,IF($B$10="Other",'Reference Costs Output (2)'!J76,IF($B$10="Outpatient",'Reference Costs Output (2)'!J86,IF($B$10="Radiology",'Reference Costs Output (2)'!J96,IF($B$10="Rehabilitation",'Reference Costs Output (2)'!J106,IF($B$10="Renal Dialysis",'Reference Costs Output (2)'!J116,IF($B$10="Specialist Services",'Reference Costs Output (2)'!J126,IF($B$10="Opth&amp;Dentistry",'Reference Costs Output (2)'!J136,'Reference Costs Output (2)'!J143)))))))))))))</f>
        <v>4.9088487585418283E-2</v>
      </c>
      <c r="M16" s="8"/>
      <c r="N16" s="8"/>
      <c r="O16" s="8"/>
      <c r="P16" s="8"/>
    </row>
    <row r="17" spans="1:21" x14ac:dyDescent="0.25">
      <c r="B17" s="288" t="s">
        <v>7</v>
      </c>
      <c r="C17" s="289">
        <f>IF($B$10="A&amp;E Services",'Reference Costs Output (2)'!E16,IF($B$10="Chemo/Radiotherapy &amp; High Cost Drugs ",'Reference Costs Output (2)'!E27,IF($B$10="Community Care",'Reference Costs Output (2)'!E37,IF($B$10="Diagnostic Tests",'Reference Costs Output (2)'!E47,IF($B$10="Hospital and Non-Admitted Mental Health",'Reference Costs Output (2)'!E57,IF($B$10="Hospital/Patient Transport Sheme",'Reference Costs Output (2)'!E67,IF($B$10="Other",'Reference Costs Output (2)'!E77,IF($B$10="Outpatient",'Reference Costs Output (2)'!E87,IF($B$10="Radiology",'Reference Costs Output (2)'!E97,IF($B$10="Rehabilitation",'Reference Costs Output (2)'!E107,IF($B$10="Renal Dialysis",'Reference Costs Output (2)'!E117,IF($B$10="Specialist Services",'Reference Costs Output (2)'!E127,IF($B$10="Opth&amp;Dentistry",'Reference Costs Output (2)'!E137,'Reference Costs Output (2)'!E144)))))))))))))</f>
        <v>25758593</v>
      </c>
      <c r="D17" s="295">
        <f>IF($B$10="A&amp;E Services",'Reference Costs Output (2)'!F16,IF($B$10="Chemo/Radiotherapy &amp; High Cost Drugs ",'Reference Costs Output (2)'!F27,IF($B$10="Community Care",'Reference Costs Output (2)'!F37,IF($B$10="Diagnostic Tests",'Reference Costs Output (2)'!F47,IF($B$10="Hospital and Non-Admitted Mental Health",'Reference Costs Output (2)'!F57,IF($B$10="Hospital/Patient Transport Sheme",'Reference Costs Output (2)'!F67,IF($B$10="Other",'Reference Costs Output (2)'!F77,IF($B$10="Outpatient",'Reference Costs Output (2)'!F87,IF($B$10="Radiology",'Reference Costs Output (2)'!F97,IF($B$10="Rehabilitation",'Reference Costs Output (2)'!F107,IF($B$10="Renal Dialysis",'Reference Costs Output (2)'!F117,IF($B$10="Specialist Services",'Reference Costs Output (2)'!F127,IF($B$10="Opth&amp;Dentistry",'Reference Costs Output (2)'!F137,'Reference Costs Output (2)'!F144)))))))))))))</f>
        <v>3431897220</v>
      </c>
      <c r="E17" s="404">
        <f>H17</f>
        <v>2.3388636914548178E-2</v>
      </c>
      <c r="F17" s="295"/>
      <c r="G17" s="295"/>
      <c r="H17" s="405">
        <f>IF($B$10="A&amp;E Services",'Reference Costs Output (2)'!J16,IF($B$10="Chemo/Radiotherapy &amp; High Cost Drugs ",'Reference Costs Output (2)'!J27,IF($B$10="Community Care",'Reference Costs Output (2)'!#REF!,IF($B$10="Diagnostic Tests",'Reference Costs Output (2)'!J47,IF($B$10="Hospital and Non-Admitted Mental Health",'Reference Costs Output (2)'!K47,IF($B$10="Hospital/Patient Transport Sheme",'Reference Costs Output (2)'!J67,IF($B$10="Other",'Reference Costs Output (2)'!J77,IF($B$10="Outpatient",'Reference Costs Output (2)'!J87,IF($B$10="Radiology",'Reference Costs Output (2)'!J97,IF($B$10="Rehabilitation",'Reference Costs Output (2)'!J107,IF($B$10="Renal Dialysis",'Reference Costs Output (2)'!J117,IF($B$10="Specialist Services",'Reference Costs Output (2)'!J127,IF($B$10="Opth&amp;Dentistry",'Reference Costs Output (2)'!J137,'Reference Costs Output (2)'!J144)))))))))))))</f>
        <v>2.3388636914548178E-2</v>
      </c>
    </row>
    <row r="18" spans="1:21" x14ac:dyDescent="0.25">
      <c r="B18" s="276"/>
      <c r="C18" s="276"/>
      <c r="D18" s="276"/>
      <c r="E18" s="276"/>
      <c r="H18" s="276"/>
      <c r="I18" s="274"/>
      <c r="J18" s="8"/>
      <c r="K18" s="8"/>
    </row>
    <row r="19" spans="1:21" x14ac:dyDescent="0.25">
      <c r="H19" s="261"/>
      <c r="I19" s="262"/>
      <c r="J19" s="262"/>
      <c r="K19" s="260"/>
    </row>
    <row r="20" spans="1:21" x14ac:dyDescent="0.25">
      <c r="B20" s="274" t="s">
        <v>259</v>
      </c>
      <c r="H20" s="261"/>
      <c r="I20" s="262"/>
      <c r="J20" s="262"/>
      <c r="K20" s="260"/>
    </row>
    <row r="21" spans="1:21" ht="23.25" customHeight="1" x14ac:dyDescent="0.25">
      <c r="H21" s="263" t="s">
        <v>4</v>
      </c>
      <c r="I21" s="262">
        <f>1</f>
        <v>1</v>
      </c>
      <c r="J21" s="262">
        <f>1</f>
        <v>1</v>
      </c>
      <c r="K21" s="260"/>
    </row>
    <row r="22" spans="1:21" ht="22.5" x14ac:dyDescent="0.25">
      <c r="H22" s="263" t="s">
        <v>5</v>
      </c>
      <c r="I22" s="261">
        <f t="shared" ref="I22:J24" si="0">C15/C$14</f>
        <v>1.0701413061013521</v>
      </c>
      <c r="J22" s="261">
        <f t="shared" si="0"/>
        <v>1.1386978109516299</v>
      </c>
      <c r="K22" s="259"/>
      <c r="R22" s="8"/>
      <c r="S22" s="8"/>
      <c r="T22" s="8"/>
      <c r="U22" s="8"/>
    </row>
    <row r="23" spans="1:21" ht="22.5" x14ac:dyDescent="0.25">
      <c r="H23" s="263" t="s">
        <v>6</v>
      </c>
      <c r="I23" s="261">
        <f t="shared" si="0"/>
        <v>1.1028656186863399</v>
      </c>
      <c r="J23" s="261">
        <f t="shared" si="0"/>
        <v>1.2423324533729421</v>
      </c>
      <c r="K23" s="259"/>
      <c r="R23" s="8"/>
      <c r="S23" s="8"/>
      <c r="T23" s="8"/>
      <c r="U23" s="8"/>
    </row>
    <row r="24" spans="1:21" ht="22.5" x14ac:dyDescent="0.25">
      <c r="A24" s="6"/>
      <c r="H24" s="263" t="s">
        <v>7</v>
      </c>
      <c r="I24" s="261">
        <f t="shared" si="0"/>
        <v>1.1107963443316946</v>
      </c>
      <c r="J24" s="261">
        <f t="shared" si="0"/>
        <v>1.2932064432320249</v>
      </c>
      <c r="K24" s="259"/>
      <c r="R24" s="8"/>
      <c r="S24" s="8"/>
      <c r="T24" s="8"/>
      <c r="U24" s="8"/>
    </row>
    <row r="25" spans="1:21" x14ac:dyDescent="0.25">
      <c r="A25" s="5"/>
      <c r="H25" s="261"/>
      <c r="I25" s="261"/>
      <c r="J25" s="261"/>
      <c r="K25" s="259"/>
      <c r="R25" s="8"/>
      <c r="S25" s="8"/>
      <c r="T25" s="8"/>
      <c r="U25" s="8"/>
    </row>
    <row r="26" spans="1:21" x14ac:dyDescent="0.25">
      <c r="A26" s="5"/>
      <c r="H26" s="261"/>
      <c r="I26" s="261"/>
      <c r="J26" s="261"/>
      <c r="K26" s="259"/>
      <c r="R26" s="8"/>
      <c r="S26" s="8"/>
      <c r="T26" s="8"/>
      <c r="U26" s="8"/>
    </row>
    <row r="27" spans="1:21" x14ac:dyDescent="0.25">
      <c r="A27" s="5"/>
    </row>
    <row r="28" spans="1:21" ht="23.25" customHeight="1" x14ac:dyDescent="0.25">
      <c r="A28" s="5"/>
    </row>
    <row r="29" spans="1:21" x14ac:dyDescent="0.25">
      <c r="A29" s="5"/>
    </row>
    <row r="30" spans="1:21" x14ac:dyDescent="0.25">
      <c r="A30" s="5"/>
    </row>
    <row r="31" spans="1:21" x14ac:dyDescent="0.25">
      <c r="A31" s="5"/>
    </row>
    <row r="32" spans="1:21" x14ac:dyDescent="0.25">
      <c r="A32" s="5"/>
    </row>
    <row r="33" spans="1:1" x14ac:dyDescent="0.25">
      <c r="A33" s="5"/>
    </row>
    <row r="34" spans="1:1" x14ac:dyDescent="0.25">
      <c r="A34" s="5"/>
    </row>
    <row r="35" spans="1:1" ht="23.25" customHeight="1" x14ac:dyDescent="0.25"/>
    <row r="42" spans="1:1" ht="23.25" customHeight="1" x14ac:dyDescent="0.25"/>
    <row r="56" ht="23.25" customHeight="1" x14ac:dyDescent="0.25"/>
    <row r="63" ht="23.25" customHeight="1" x14ac:dyDescent="0.25"/>
    <row r="70" ht="23.25" customHeight="1" x14ac:dyDescent="0.25"/>
    <row r="77" ht="23.25" customHeight="1" x14ac:dyDescent="0.25"/>
    <row r="84" ht="23.25" customHeight="1" x14ac:dyDescent="0.25"/>
    <row r="92" ht="23.25" customHeight="1" x14ac:dyDescent="0.25"/>
  </sheetData>
  <dataConsolidate/>
  <mergeCells count="1">
    <mergeCell ref="B10:E10"/>
  </mergeCells>
  <dataValidations count="3">
    <dataValidation allowBlank="1" showInputMessage="1" showErrorMessage="1" promptTitle="QtPt" prompt="Total cost=quantity multiplied by unit cost" sqref="D13:E13"/>
    <dataValidation allowBlank="1" showInputMessage="1" showErrorMessage="1" promptTitle="Qt" prompt="Quantity_x000a_" sqref="C13"/>
    <dataValidation type="list" allowBlank="1" showInputMessage="1" showErrorMessage="1" sqref="B10">
      <formula1>Reference_costs</formula1>
    </dataValidation>
  </dataValidation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dimension ref="A4:U62"/>
  <sheetViews>
    <sheetView showRowColHeaders="0" topLeftCell="B7" zoomScaleNormal="100" workbookViewId="0">
      <selection activeCell="F38" sqref="F38"/>
    </sheetView>
  </sheetViews>
  <sheetFormatPr defaultRowHeight="15" x14ac:dyDescent="0.25"/>
  <cols>
    <col min="2" max="2" width="20.7109375" customWidth="1"/>
    <col min="3" max="9" width="10.140625" customWidth="1"/>
    <col min="10" max="14" width="10.140625" bestFit="1" customWidth="1"/>
    <col min="15" max="15" width="10.140625" customWidth="1"/>
    <col min="16" max="17" width="11.140625" bestFit="1" customWidth="1"/>
  </cols>
  <sheetData>
    <row r="4" spans="1:21" ht="30" x14ac:dyDescent="0.4">
      <c r="B4" s="2" t="s">
        <v>376</v>
      </c>
    </row>
    <row r="5" spans="1:21" ht="18" customHeight="1" x14ac:dyDescent="0.75">
      <c r="B5" s="4"/>
    </row>
    <row r="6" spans="1:21" ht="18" customHeight="1" x14ac:dyDescent="0.25">
      <c r="B6" s="275" t="s">
        <v>377</v>
      </c>
      <c r="C6" s="276"/>
      <c r="D6" s="276"/>
      <c r="E6" s="276"/>
      <c r="F6" s="276"/>
      <c r="G6" s="276"/>
      <c r="H6" s="276"/>
      <c r="I6" s="276"/>
    </row>
    <row r="7" spans="1:21" ht="18" customHeight="1" x14ac:dyDescent="0.25">
      <c r="A7">
        <v>1</v>
      </c>
      <c r="B7" s="275" t="s">
        <v>389</v>
      </c>
      <c r="C7" s="274"/>
      <c r="D7" s="276"/>
      <c r="E7" s="276">
        <v>1</v>
      </c>
      <c r="F7" s="276"/>
      <c r="G7" s="276"/>
      <c r="H7" s="276"/>
      <c r="I7" s="276"/>
    </row>
    <row r="8" spans="1:21" ht="18" customHeight="1" x14ac:dyDescent="0.25">
      <c r="B8" s="275"/>
      <c r="C8" s="274"/>
      <c r="D8" s="276"/>
      <c r="E8" s="276"/>
      <c r="F8" s="276"/>
      <c r="G8" s="276"/>
      <c r="H8" s="276"/>
      <c r="I8" s="276"/>
    </row>
    <row r="9" spans="1:21" ht="18" customHeight="1" x14ac:dyDescent="0.25">
      <c r="B9" s="275"/>
      <c r="C9" s="274"/>
      <c r="D9" s="276"/>
      <c r="E9" s="276"/>
      <c r="F9" s="276"/>
      <c r="G9" s="276"/>
      <c r="H9" s="276"/>
      <c r="I9" s="276"/>
    </row>
    <row r="10" spans="1:21" ht="18" customHeight="1" x14ac:dyDescent="0.25">
      <c r="B10" s="275"/>
      <c r="C10" s="274"/>
      <c r="D10" s="276"/>
      <c r="E10" s="276"/>
      <c r="F10" s="276"/>
      <c r="G10" s="276"/>
      <c r="H10" s="276"/>
      <c r="I10" s="276"/>
    </row>
    <row r="11" spans="1:21" ht="18" customHeight="1" x14ac:dyDescent="0.25">
      <c r="B11" s="281"/>
      <c r="C11" s="282"/>
      <c r="D11" s="282"/>
      <c r="E11" s="281"/>
      <c r="F11" s="281"/>
      <c r="G11" s="281"/>
      <c r="H11" s="281"/>
      <c r="I11" s="283"/>
    </row>
    <row r="12" spans="1:21" ht="18" customHeight="1" x14ac:dyDescent="0.25">
      <c r="A12" s="317"/>
      <c r="B12" s="358"/>
      <c r="C12" s="510" t="s">
        <v>68</v>
      </c>
      <c r="D12" s="510" t="s">
        <v>69</v>
      </c>
      <c r="E12" s="510" t="s">
        <v>495</v>
      </c>
      <c r="F12" s="510" t="s">
        <v>494</v>
      </c>
      <c r="G12" s="510" t="s">
        <v>493</v>
      </c>
      <c r="H12" s="510" t="s">
        <v>73</v>
      </c>
      <c r="I12" s="284" t="s">
        <v>192</v>
      </c>
      <c r="J12" s="284" t="s">
        <v>193</v>
      </c>
      <c r="K12" s="284" t="s">
        <v>194</v>
      </c>
      <c r="L12" s="284" t="s">
        <v>195</v>
      </c>
      <c r="M12" s="359" t="s">
        <v>196</v>
      </c>
      <c r="N12" s="359" t="s">
        <v>6</v>
      </c>
      <c r="O12" s="517" t="s">
        <v>7</v>
      </c>
      <c r="P12" s="517" t="s">
        <v>345</v>
      </c>
      <c r="Q12" s="517" t="s">
        <v>489</v>
      </c>
      <c r="R12" s="5"/>
      <c r="S12" s="347" t="s">
        <v>367</v>
      </c>
      <c r="T12" s="362"/>
      <c r="U12" s="363"/>
    </row>
    <row r="13" spans="1:21" ht="18" customHeight="1" x14ac:dyDescent="0.25">
      <c r="A13" s="317"/>
      <c r="B13" s="374" t="s">
        <v>214</v>
      </c>
      <c r="C13" s="371"/>
      <c r="D13" s="371"/>
      <c r="E13" s="371"/>
      <c r="F13" s="371"/>
      <c r="G13" s="372"/>
      <c r="H13" s="372"/>
      <c r="I13" s="371"/>
      <c r="J13" s="371"/>
      <c r="K13" s="371"/>
      <c r="L13" s="371"/>
      <c r="M13" s="372"/>
      <c r="N13" s="372"/>
      <c r="O13" s="373"/>
      <c r="P13" s="373"/>
      <c r="Q13" s="373"/>
      <c r="R13" s="5"/>
      <c r="S13" s="368"/>
      <c r="T13" s="369"/>
      <c r="U13" s="370"/>
    </row>
    <row r="14" spans="1:21" ht="18" customHeight="1" x14ac:dyDescent="0.25">
      <c r="B14" s="360" t="s">
        <v>215</v>
      </c>
      <c r="C14" s="351"/>
      <c r="D14" s="351"/>
      <c r="E14" s="351"/>
      <c r="F14" s="351"/>
      <c r="G14" s="353"/>
      <c r="H14" s="353"/>
      <c r="I14" s="351">
        <v>31334252.480110005</v>
      </c>
      <c r="J14" s="351">
        <v>33926746.314999998</v>
      </c>
      <c r="K14" s="351">
        <v>35177509.125</v>
      </c>
      <c r="L14" s="351">
        <v>36539983.701629996</v>
      </c>
      <c r="M14" s="353">
        <v>39213453.649081036</v>
      </c>
      <c r="N14" s="353">
        <v>42145100.102129996</v>
      </c>
      <c r="O14" s="364">
        <v>43513839</v>
      </c>
      <c r="P14" s="364">
        <v>43513839</v>
      </c>
      <c r="Q14" s="569">
        <v>44114167.823559999</v>
      </c>
      <c r="R14" s="5"/>
      <c r="S14" s="344" t="s">
        <v>212</v>
      </c>
      <c r="T14" s="315"/>
      <c r="U14" s="348"/>
    </row>
    <row r="15" spans="1:21" ht="18" customHeight="1" x14ac:dyDescent="0.25">
      <c r="B15" s="360" t="s">
        <v>216</v>
      </c>
      <c r="C15" s="351"/>
      <c r="D15" s="351"/>
      <c r="E15" s="351"/>
      <c r="F15" s="351"/>
      <c r="G15" s="353"/>
      <c r="H15" s="353"/>
      <c r="I15" s="351">
        <v>1557282.4487299998</v>
      </c>
      <c r="J15" s="351">
        <v>1459935.5</v>
      </c>
      <c r="K15" s="351">
        <v>1185244</v>
      </c>
      <c r="L15" s="351">
        <v>1354520.29837</v>
      </c>
      <c r="M15" s="353">
        <v>1895451.8837600001</v>
      </c>
      <c r="N15" s="353">
        <v>2195295.3909299998</v>
      </c>
      <c r="O15" s="321">
        <v>2127889</v>
      </c>
      <c r="P15" s="321">
        <v>2127889</v>
      </c>
      <c r="Q15" s="570">
        <v>1872992.7305600001</v>
      </c>
      <c r="R15" s="5"/>
      <c r="S15" s="344" t="s">
        <v>373</v>
      </c>
      <c r="T15" s="315"/>
      <c r="U15" s="348"/>
    </row>
    <row r="16" spans="1:21" ht="18" customHeight="1" x14ac:dyDescent="0.25">
      <c r="B16" s="360" t="s">
        <v>297</v>
      </c>
      <c r="C16" s="351"/>
      <c r="D16" s="351"/>
      <c r="E16" s="351"/>
      <c r="F16" s="351"/>
      <c r="G16" s="353"/>
      <c r="H16" s="353"/>
      <c r="I16" s="351">
        <v>11981995</v>
      </c>
      <c r="J16" s="351">
        <v>14214691</v>
      </c>
      <c r="K16" s="351">
        <v>15833718</v>
      </c>
      <c r="L16" s="351">
        <v>18565596</v>
      </c>
      <c r="M16" s="353">
        <v>20184852</v>
      </c>
      <c r="N16" s="353">
        <v>22017445</v>
      </c>
      <c r="O16" s="321">
        <v>23931309</v>
      </c>
      <c r="P16" s="321">
        <v>23931309</v>
      </c>
      <c r="Q16" s="545">
        <v>24952092.413171999</v>
      </c>
      <c r="R16" s="5"/>
      <c r="S16" s="344"/>
      <c r="T16" s="315"/>
      <c r="U16" s="348"/>
    </row>
    <row r="17" spans="1:21" ht="18" customHeight="1" x14ac:dyDescent="0.25">
      <c r="B17" s="360" t="s">
        <v>217</v>
      </c>
      <c r="C17" s="351"/>
      <c r="D17" s="351"/>
      <c r="E17" s="351"/>
      <c r="F17" s="351"/>
      <c r="G17" s="365"/>
      <c r="H17" s="351"/>
      <c r="I17" s="351">
        <v>8757990</v>
      </c>
      <c r="J17" s="351">
        <v>10271344</v>
      </c>
      <c r="K17" s="351">
        <v>11378727</v>
      </c>
      <c r="L17" s="351">
        <v>13036200</v>
      </c>
      <c r="M17" s="365">
        <v>13991803</v>
      </c>
      <c r="N17" s="351">
        <v>14911074</v>
      </c>
      <c r="O17" s="364">
        <v>16077609</v>
      </c>
      <c r="P17" s="364">
        <v>16077609</v>
      </c>
      <c r="Q17" s="571"/>
      <c r="R17" s="5"/>
      <c r="S17" s="344" t="s">
        <v>209</v>
      </c>
      <c r="T17" s="315"/>
      <c r="U17" s="348"/>
    </row>
    <row r="18" spans="1:21" ht="18" customHeight="1" x14ac:dyDescent="0.25">
      <c r="B18" s="360" t="s">
        <v>47</v>
      </c>
      <c r="C18" s="351"/>
      <c r="D18" s="351"/>
      <c r="E18" s="351"/>
      <c r="F18" s="351"/>
      <c r="G18" s="353"/>
      <c r="H18" s="353"/>
      <c r="I18" s="351">
        <v>5115514.2809764491</v>
      </c>
      <c r="J18" s="351">
        <v>5839664.3710000003</v>
      </c>
      <c r="K18" s="351">
        <v>6568362.6799999997</v>
      </c>
      <c r="L18" s="351">
        <v>7784592.0729</v>
      </c>
      <c r="M18" s="353">
        <v>7426030.9178999998</v>
      </c>
      <c r="N18" s="353">
        <v>7635390.1285600001</v>
      </c>
      <c r="O18" s="321">
        <v>8025361</v>
      </c>
      <c r="P18" s="321">
        <v>8025361</v>
      </c>
      <c r="Q18" s="321">
        <v>9443155</v>
      </c>
      <c r="R18" s="5"/>
      <c r="S18" s="345" t="s">
        <v>197</v>
      </c>
      <c r="T18" s="315"/>
      <c r="U18" s="348"/>
    </row>
    <row r="19" spans="1:21" ht="18" customHeight="1" x14ac:dyDescent="0.25">
      <c r="B19" s="360" t="s">
        <v>136</v>
      </c>
      <c r="C19" s="351"/>
      <c r="D19" s="351"/>
      <c r="E19" s="351"/>
      <c r="F19" s="351"/>
      <c r="G19" s="353"/>
      <c r="H19" s="353"/>
      <c r="I19" s="351">
        <v>8094174.9440000001</v>
      </c>
      <c r="J19" s="351">
        <v>8013483.2259999998</v>
      </c>
      <c r="K19" s="351">
        <v>8250323.8930000002</v>
      </c>
      <c r="L19" s="351">
        <v>8303500.9179999996</v>
      </c>
      <c r="M19" s="353">
        <v>8376264.432</v>
      </c>
      <c r="N19" s="353">
        <v>8621421.1300000008</v>
      </c>
      <c r="O19" s="321">
        <v>8880735.3440000005</v>
      </c>
      <c r="P19" s="321">
        <v>8880735.3440000005</v>
      </c>
      <c r="Q19" s="321">
        <v>8777964</v>
      </c>
      <c r="R19" s="5"/>
      <c r="S19" s="346" t="s">
        <v>374</v>
      </c>
      <c r="T19" s="349"/>
      <c r="U19" s="350"/>
    </row>
    <row r="20" spans="1:21" ht="18" customHeight="1" x14ac:dyDescent="0.25">
      <c r="B20" s="360" t="s">
        <v>218</v>
      </c>
      <c r="C20" s="351"/>
      <c r="D20" s="351"/>
      <c r="E20" s="321"/>
      <c r="F20" s="321"/>
      <c r="G20" s="321"/>
      <c r="H20" s="321"/>
      <c r="I20" s="351">
        <v>9569836</v>
      </c>
      <c r="J20" s="351">
        <v>11162141</v>
      </c>
      <c r="K20" s="321">
        <v>11209422</v>
      </c>
      <c r="L20" s="321">
        <v>11697639</v>
      </c>
      <c r="M20" s="321">
        <v>12074672</v>
      </c>
      <c r="N20" s="321">
        <v>12683418</v>
      </c>
      <c r="O20" s="321">
        <v>12962081</v>
      </c>
      <c r="P20" s="321">
        <v>12902236</v>
      </c>
      <c r="Q20" s="321">
        <v>13264542</v>
      </c>
      <c r="R20" s="5"/>
    </row>
    <row r="21" spans="1:21" ht="18" customHeight="1" x14ac:dyDescent="0.25">
      <c r="A21" s="5"/>
      <c r="B21" s="360" t="s">
        <v>378</v>
      </c>
      <c r="C21" s="351"/>
      <c r="D21" s="351"/>
      <c r="E21" s="321"/>
      <c r="F21" s="321"/>
      <c r="G21" s="321"/>
      <c r="H21" s="321"/>
      <c r="I21" s="351">
        <v>278000</v>
      </c>
      <c r="J21" s="351">
        <v>262000</v>
      </c>
      <c r="K21" s="321">
        <v>229000</v>
      </c>
      <c r="L21" s="321">
        <v>226000</v>
      </c>
      <c r="M21" s="321">
        <v>242958</v>
      </c>
      <c r="N21" s="321">
        <v>241608</v>
      </c>
      <c r="O21" s="321">
        <v>212245</v>
      </c>
      <c r="P21" s="321">
        <v>212245</v>
      </c>
      <c r="Q21" s="321">
        <v>212245</v>
      </c>
      <c r="R21" s="5"/>
    </row>
    <row r="22" spans="1:21" ht="18" customHeight="1" x14ac:dyDescent="0.25">
      <c r="A22" s="5"/>
      <c r="B22" s="360" t="s">
        <v>220</v>
      </c>
      <c r="C22" s="352"/>
      <c r="D22" s="352"/>
      <c r="E22" s="322"/>
      <c r="F22" s="322"/>
      <c r="G22" s="322"/>
      <c r="H22" s="322"/>
      <c r="I22" s="352">
        <v>64707050.153816454</v>
      </c>
      <c r="J22" s="352">
        <v>70935314.412</v>
      </c>
      <c r="K22" s="322">
        <v>73998588.697999999</v>
      </c>
      <c r="L22" s="322">
        <v>78942435.990899995</v>
      </c>
      <c r="M22" s="322">
        <v>83220633.882741034</v>
      </c>
      <c r="N22" s="322">
        <v>88433306.751619995</v>
      </c>
      <c r="O22" s="322">
        <v>91799759.343999997</v>
      </c>
      <c r="P22" s="322">
        <v>91799759.343999997</v>
      </c>
      <c r="Q22" s="322">
        <f>SUM(Q14:Q15,Q16:Q21)</f>
        <v>102637158.967292</v>
      </c>
      <c r="R22" s="5"/>
    </row>
    <row r="23" spans="1:21" ht="18" customHeight="1" x14ac:dyDescent="0.25">
      <c r="A23" s="5"/>
      <c r="B23" s="360"/>
      <c r="C23" s="352"/>
      <c r="D23" s="352"/>
      <c r="E23" s="321"/>
      <c r="F23" s="321"/>
      <c r="G23" s="321"/>
      <c r="H23" s="321"/>
      <c r="I23" s="352"/>
      <c r="J23" s="352"/>
      <c r="K23" s="321"/>
      <c r="L23" s="321"/>
      <c r="M23" s="321"/>
      <c r="N23" s="321"/>
      <c r="O23" s="321"/>
      <c r="P23" s="321"/>
      <c r="Q23" s="321"/>
      <c r="R23" s="5"/>
    </row>
    <row r="24" spans="1:21" ht="18" customHeight="1" x14ac:dyDescent="0.25">
      <c r="A24" s="5"/>
      <c r="B24" s="361" t="s">
        <v>221</v>
      </c>
      <c r="C24" s="352"/>
      <c r="D24" s="352"/>
      <c r="E24" s="321"/>
      <c r="F24" s="321"/>
      <c r="G24" s="321"/>
      <c r="H24" s="321"/>
      <c r="I24" s="352"/>
      <c r="J24" s="352"/>
      <c r="K24" s="321"/>
      <c r="L24" s="321"/>
      <c r="M24" s="321"/>
      <c r="N24" s="321"/>
      <c r="O24" s="321"/>
      <c r="P24" s="321"/>
      <c r="Q24" s="321"/>
      <c r="R24" s="5"/>
    </row>
    <row r="25" spans="1:21" ht="18" customHeight="1" x14ac:dyDescent="0.25">
      <c r="A25" s="5"/>
      <c r="B25" s="269" t="s">
        <v>215</v>
      </c>
      <c r="C25" s="354">
        <v>38212088</v>
      </c>
      <c r="D25" s="354">
        <v>39516362</v>
      </c>
      <c r="E25" s="321">
        <v>39359457</v>
      </c>
      <c r="F25" s="321">
        <v>39525586</v>
      </c>
      <c r="G25" s="321">
        <v>41200614</v>
      </c>
      <c r="H25" s="321">
        <v>43406879</v>
      </c>
      <c r="I25" s="354">
        <v>38212088</v>
      </c>
      <c r="J25" s="354">
        <v>39516362</v>
      </c>
      <c r="K25" s="321">
        <v>39359457</v>
      </c>
      <c r="L25" s="321">
        <v>39525586</v>
      </c>
      <c r="M25" s="321">
        <v>41200614</v>
      </c>
      <c r="N25" s="321">
        <v>43406879</v>
      </c>
      <c r="O25" s="321">
        <v>43513839</v>
      </c>
      <c r="P25" s="321">
        <v>43513839</v>
      </c>
      <c r="Q25" s="321">
        <v>43513839</v>
      </c>
      <c r="R25" s="5"/>
    </row>
    <row r="26" spans="1:21" ht="18" customHeight="1" x14ac:dyDescent="0.3">
      <c r="B26" s="269" t="s">
        <v>216</v>
      </c>
      <c r="C26" s="354">
        <v>1669078</v>
      </c>
      <c r="D26" s="354">
        <v>1440740</v>
      </c>
      <c r="E26" s="354">
        <v>1089513</v>
      </c>
      <c r="F26" s="354">
        <v>1305572</v>
      </c>
      <c r="G26" s="354">
        <v>1988902</v>
      </c>
      <c r="H26" s="354">
        <v>2373791</v>
      </c>
      <c r="I26" s="354">
        <v>1669078</v>
      </c>
      <c r="J26" s="354">
        <v>1440740</v>
      </c>
      <c r="K26" s="354">
        <v>1089513</v>
      </c>
      <c r="L26" s="354">
        <v>1305572</v>
      </c>
      <c r="M26" s="354">
        <v>1988902</v>
      </c>
      <c r="N26" s="354">
        <v>2373791</v>
      </c>
      <c r="O26" s="354">
        <v>2127889</v>
      </c>
      <c r="P26" s="354">
        <v>2127889</v>
      </c>
      <c r="Q26" s="354">
        <v>2127889</v>
      </c>
      <c r="S26" s="243"/>
    </row>
    <row r="27" spans="1:21" ht="18" customHeight="1" x14ac:dyDescent="0.3">
      <c r="B27" s="269" t="s">
        <v>302</v>
      </c>
      <c r="C27" s="354">
        <v>12585219</v>
      </c>
      <c r="D27" s="354">
        <v>15063465</v>
      </c>
      <c r="E27" s="354">
        <v>16481702</v>
      </c>
      <c r="F27" s="354">
        <v>19256774</v>
      </c>
      <c r="G27" s="354">
        <v>20421390</v>
      </c>
      <c r="H27" s="354">
        <v>22731361</v>
      </c>
      <c r="I27" s="354">
        <v>12585219</v>
      </c>
      <c r="J27" s="354">
        <v>15063465</v>
      </c>
      <c r="K27" s="354">
        <v>16481702</v>
      </c>
      <c r="L27" s="354">
        <v>19256774</v>
      </c>
      <c r="M27" s="354">
        <v>20421390</v>
      </c>
      <c r="N27" s="354">
        <v>22731361</v>
      </c>
      <c r="O27" s="354">
        <v>23931309</v>
      </c>
      <c r="P27" s="354">
        <v>23931309</v>
      </c>
      <c r="Q27" s="354">
        <v>23931309</v>
      </c>
      <c r="S27" s="243"/>
    </row>
    <row r="28" spans="1:21" ht="18" customHeight="1" x14ac:dyDescent="0.3">
      <c r="B28" s="366" t="s">
        <v>217</v>
      </c>
      <c r="C28" s="354">
        <v>8908327</v>
      </c>
      <c r="D28" s="354">
        <v>10650038</v>
      </c>
      <c r="E28" s="354">
        <v>11640863</v>
      </c>
      <c r="F28" s="354">
        <v>13367264.856002657</v>
      </c>
      <c r="G28" s="354">
        <v>14140508.469508</v>
      </c>
      <c r="H28" s="354">
        <v>15427876.675999999</v>
      </c>
      <c r="I28" s="354">
        <v>8908327</v>
      </c>
      <c r="J28" s="354">
        <v>10650038</v>
      </c>
      <c r="K28" s="354">
        <v>11640863</v>
      </c>
      <c r="L28" s="354">
        <v>13367264.856002657</v>
      </c>
      <c r="M28" s="354">
        <v>14140508.469508</v>
      </c>
      <c r="N28" s="354">
        <v>15427876.675999999</v>
      </c>
      <c r="O28" s="354">
        <v>16077604</v>
      </c>
      <c r="P28" s="354">
        <v>16077604</v>
      </c>
      <c r="Q28" s="354">
        <v>16077604</v>
      </c>
      <c r="S28" s="243"/>
    </row>
    <row r="29" spans="1:21" ht="18" customHeight="1" x14ac:dyDescent="0.3">
      <c r="B29" s="366" t="s">
        <v>47</v>
      </c>
      <c r="C29" s="354">
        <v>3308036</v>
      </c>
      <c r="D29" s="354">
        <v>3578676</v>
      </c>
      <c r="E29" s="354">
        <v>4190683</v>
      </c>
      <c r="F29" s="354">
        <v>4292293</v>
      </c>
      <c r="G29" s="354">
        <v>3994568</v>
      </c>
      <c r="H29" s="354">
        <v>3958031</v>
      </c>
      <c r="I29" s="354">
        <v>3308036</v>
      </c>
      <c r="J29" s="354">
        <v>3578676</v>
      </c>
      <c r="K29" s="354">
        <v>4190683</v>
      </c>
      <c r="L29" s="354">
        <v>4292293</v>
      </c>
      <c r="M29" s="354">
        <v>3994568</v>
      </c>
      <c r="N29" s="354">
        <v>3958031</v>
      </c>
      <c r="O29" s="354">
        <v>3893374</v>
      </c>
      <c r="P29" s="354">
        <v>3893374</v>
      </c>
      <c r="Q29" s="354">
        <v>3893374</v>
      </c>
      <c r="R29" s="5"/>
      <c r="S29" s="243"/>
    </row>
    <row r="30" spans="1:21" ht="18" customHeight="1" x14ac:dyDescent="0.3">
      <c r="B30" s="366" t="s">
        <v>136</v>
      </c>
      <c r="C30" s="354">
        <v>5931102.0326811802</v>
      </c>
      <c r="D30" s="354">
        <v>6514497.3790748697</v>
      </c>
      <c r="E30" s="354">
        <v>6944132.5587071804</v>
      </c>
      <c r="F30" s="354">
        <v>7454440.1813448202</v>
      </c>
      <c r="G30" s="354">
        <v>7927564.2930153301</v>
      </c>
      <c r="H30" s="354">
        <v>8477306.9124877099</v>
      </c>
      <c r="I30" s="354">
        <v>5931102.0326811802</v>
      </c>
      <c r="J30" s="354">
        <v>6514497.3790748697</v>
      </c>
      <c r="K30" s="354">
        <v>6944132.5587071804</v>
      </c>
      <c r="L30" s="354">
        <v>7454440.1813448202</v>
      </c>
      <c r="M30" s="354">
        <v>7927564.2930153301</v>
      </c>
      <c r="N30" s="354">
        <v>8477306.9124877099</v>
      </c>
      <c r="O30" s="354">
        <v>8880735.3440000005</v>
      </c>
      <c r="P30" s="354">
        <v>8880735.3440000005</v>
      </c>
      <c r="Q30" s="354">
        <v>8880735.3440000005</v>
      </c>
      <c r="R30" s="5"/>
      <c r="S30" s="243"/>
    </row>
    <row r="31" spans="1:21" ht="18" customHeight="1" x14ac:dyDescent="0.3">
      <c r="B31" s="366" t="s">
        <v>218</v>
      </c>
      <c r="C31" s="354">
        <v>11670404.906738559</v>
      </c>
      <c r="D31" s="354">
        <v>13001164.445567448</v>
      </c>
      <c r="E31" s="354">
        <v>12542012.72574419</v>
      </c>
      <c r="F31" s="354">
        <v>12645671.111368861</v>
      </c>
      <c r="G31" s="354">
        <v>12673068.453165414</v>
      </c>
      <c r="H31" s="354">
        <v>13076603.958000001</v>
      </c>
      <c r="I31" s="354">
        <v>11670404.906738559</v>
      </c>
      <c r="J31" s="354">
        <v>13001164.445567448</v>
      </c>
      <c r="K31" s="354">
        <v>12542012.72574419</v>
      </c>
      <c r="L31" s="354">
        <v>12645671.111368861</v>
      </c>
      <c r="M31" s="354">
        <v>12673068.453165414</v>
      </c>
      <c r="N31" s="354">
        <v>13076603.958000001</v>
      </c>
      <c r="O31" s="354">
        <v>12962081</v>
      </c>
      <c r="P31" s="354">
        <v>12962081</v>
      </c>
      <c r="Q31" s="354">
        <v>12962081</v>
      </c>
      <c r="R31" s="5"/>
      <c r="S31" s="243"/>
    </row>
    <row r="32" spans="1:21" ht="18" customHeight="1" x14ac:dyDescent="0.3">
      <c r="A32" s="276"/>
      <c r="B32" s="366" t="s">
        <v>378</v>
      </c>
      <c r="C32" s="354">
        <v>331183.30547743692</v>
      </c>
      <c r="D32" s="354">
        <v>300985.91688492848</v>
      </c>
      <c r="E32" s="354">
        <v>253688.98454382003</v>
      </c>
      <c r="F32" s="354">
        <v>243309.57052000001</v>
      </c>
      <c r="G32" s="354">
        <v>251747.7262339491</v>
      </c>
      <c r="H32" s="354">
        <v>248856.16224529999</v>
      </c>
      <c r="I32" s="354">
        <v>331183.30547743692</v>
      </c>
      <c r="J32" s="354">
        <v>300985.91688492848</v>
      </c>
      <c r="K32" s="354">
        <v>253688.98454382003</v>
      </c>
      <c r="L32" s="354">
        <v>243309.57052000001</v>
      </c>
      <c r="M32" s="354">
        <v>251747.7262339491</v>
      </c>
      <c r="N32" s="354">
        <v>248856.16224529999</v>
      </c>
      <c r="O32" s="354">
        <v>212245.30799999999</v>
      </c>
      <c r="P32" s="354">
        <v>212245.30799999999</v>
      </c>
      <c r="Q32" s="354">
        <v>212245.30799999999</v>
      </c>
      <c r="R32" s="252"/>
      <c r="S32" s="243"/>
    </row>
    <row r="33" spans="1:19" ht="18" customHeight="1" x14ac:dyDescent="0.3">
      <c r="A33" s="276"/>
      <c r="B33" s="366" t="s">
        <v>220</v>
      </c>
      <c r="C33" s="367">
        <v>70030219.244897187</v>
      </c>
      <c r="D33" s="367">
        <v>75002463.741527244</v>
      </c>
      <c r="E33" s="367">
        <v>76020350.268995181</v>
      </c>
      <c r="F33" s="367">
        <v>78834136.719236344</v>
      </c>
      <c r="G33" s="367">
        <v>82176972.94192268</v>
      </c>
      <c r="H33" s="367">
        <v>86969344.708733022</v>
      </c>
      <c r="I33" s="367">
        <v>70030219.244897187</v>
      </c>
      <c r="J33" s="367">
        <v>75002463.741527244</v>
      </c>
      <c r="K33" s="367">
        <v>76020350.268995181</v>
      </c>
      <c r="L33" s="367">
        <v>78834136.719236344</v>
      </c>
      <c r="M33" s="367">
        <v>82176972.94192268</v>
      </c>
      <c r="N33" s="367">
        <v>86969344.708733022</v>
      </c>
      <c r="O33" s="367">
        <v>87667767.651999995</v>
      </c>
      <c r="P33" s="367">
        <v>87667767.651999995</v>
      </c>
      <c r="Q33" s="367">
        <v>87667767.651999995</v>
      </c>
      <c r="R33" s="258"/>
      <c r="S33" s="243"/>
    </row>
    <row r="34" spans="1:19" ht="18" customHeight="1" x14ac:dyDescent="0.3">
      <c r="A34" s="276"/>
      <c r="B34" s="231"/>
      <c r="J34" s="258"/>
      <c r="K34" s="243"/>
    </row>
    <row r="35" spans="1:19" ht="18" customHeight="1" x14ac:dyDescent="0.3">
      <c r="A35" s="276"/>
      <c r="J35" s="258"/>
    </row>
    <row r="36" spans="1:19" ht="18" customHeight="1" x14ac:dyDescent="0.3">
      <c r="A36" s="276"/>
      <c r="B36" s="355"/>
      <c r="C36" s="356"/>
      <c r="D36" s="356"/>
      <c r="E36" s="356"/>
      <c r="F36" s="356"/>
      <c r="G36" s="356"/>
      <c r="H36" s="356"/>
      <c r="I36" s="356"/>
      <c r="J36" s="258"/>
    </row>
    <row r="37" spans="1:19" ht="18" customHeight="1" x14ac:dyDescent="0.3">
      <c r="A37" s="276"/>
      <c r="J37" s="258"/>
    </row>
    <row r="38" spans="1:19" ht="18" customHeight="1" x14ac:dyDescent="0.3">
      <c r="A38" s="276"/>
      <c r="J38" s="258"/>
    </row>
    <row r="39" spans="1:19" ht="18" customHeight="1" x14ac:dyDescent="0.3">
      <c r="A39" s="276"/>
      <c r="J39" s="258"/>
    </row>
    <row r="40" spans="1:19" ht="18" customHeight="1" x14ac:dyDescent="0.3">
      <c r="A40" s="276"/>
      <c r="J40" s="258"/>
    </row>
    <row r="41" spans="1:19" ht="18" customHeight="1" x14ac:dyDescent="0.3">
      <c r="J41" s="258"/>
    </row>
    <row r="42" spans="1:19" ht="18" customHeight="1" x14ac:dyDescent="0.3">
      <c r="J42" s="253"/>
    </row>
    <row r="43" spans="1:19" ht="18" customHeight="1" x14ac:dyDescent="0.3">
      <c r="J43" s="244"/>
    </row>
    <row r="44" spans="1:19" ht="18" customHeight="1" x14ac:dyDescent="0.3">
      <c r="J44" s="244"/>
    </row>
    <row r="45" spans="1:19" ht="18" customHeight="1" x14ac:dyDescent="0.25">
      <c r="J45" s="5"/>
    </row>
    <row r="46" spans="1:19" ht="18" customHeight="1" x14ac:dyDescent="0.25">
      <c r="J46" s="5"/>
    </row>
    <row r="47" spans="1:19" ht="18" customHeight="1" x14ac:dyDescent="0.25">
      <c r="J47" s="5"/>
    </row>
    <row r="48" spans="1:19" ht="18" customHeight="1" x14ac:dyDescent="0.25">
      <c r="J48" s="5"/>
    </row>
    <row r="49" spans="1:10" ht="18" customHeight="1" x14ac:dyDescent="0.25">
      <c r="J49" s="5"/>
    </row>
    <row r="50" spans="1:10" ht="18" customHeight="1" x14ac:dyDescent="0.25">
      <c r="J50" s="5"/>
    </row>
    <row r="51" spans="1:10" x14ac:dyDescent="0.25">
      <c r="A51" s="154"/>
      <c r="J51" s="5"/>
    </row>
    <row r="52" spans="1:10" x14ac:dyDescent="0.25">
      <c r="A52" s="154"/>
      <c r="J52" s="5"/>
    </row>
    <row r="53" spans="1:10" x14ac:dyDescent="0.25">
      <c r="A53" s="154"/>
      <c r="J53" s="5"/>
    </row>
    <row r="54" spans="1:10" x14ac:dyDescent="0.25">
      <c r="J54" s="5"/>
    </row>
    <row r="55" spans="1:10" x14ac:dyDescent="0.25">
      <c r="J55" s="5"/>
    </row>
    <row r="56" spans="1:10" x14ac:dyDescent="0.25">
      <c r="J56" s="5"/>
    </row>
    <row r="57" spans="1:10" x14ac:dyDescent="0.25">
      <c r="A57" s="154"/>
      <c r="J57" s="5"/>
    </row>
    <row r="58" spans="1:10" x14ac:dyDescent="0.25">
      <c r="A58" s="154"/>
      <c r="J58" s="5"/>
    </row>
    <row r="59" spans="1:10" x14ac:dyDescent="0.25">
      <c r="A59" s="154"/>
      <c r="J59" s="5"/>
    </row>
    <row r="60" spans="1:10" x14ac:dyDescent="0.25">
      <c r="A60" s="154"/>
      <c r="J60" s="5"/>
    </row>
    <row r="61" spans="1:10" x14ac:dyDescent="0.25">
      <c r="A61" s="154"/>
      <c r="J61" s="5"/>
    </row>
    <row r="62" spans="1:10" x14ac:dyDescent="0.25">
      <c r="A62" s="154"/>
    </row>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8913" r:id="rId4" name="Option Button 1">
              <controlPr defaultSize="0" autoFill="0" autoLine="0" autoPict="0">
                <anchor moveWithCells="1">
                  <from>
                    <xdr:col>1</xdr:col>
                    <xdr:colOff>0</xdr:colOff>
                    <xdr:row>7</xdr:row>
                    <xdr:rowOff>28575</xdr:rowOff>
                  </from>
                  <to>
                    <xdr:col>2</xdr:col>
                    <xdr:colOff>342900</xdr:colOff>
                    <xdr:row>8</xdr:row>
                    <xdr:rowOff>19050</xdr:rowOff>
                  </to>
                </anchor>
              </controlPr>
            </control>
          </mc:Choice>
        </mc:AlternateContent>
        <mc:AlternateContent xmlns:mc="http://schemas.openxmlformats.org/markup-compatibility/2006">
          <mc:Choice Requires="x14">
            <control shapeId="38914" r:id="rId5" name="Option Button 2">
              <controlPr defaultSize="0" autoFill="0" autoLine="0" autoPict="0">
                <anchor moveWithCells="1">
                  <from>
                    <xdr:col>1</xdr:col>
                    <xdr:colOff>0</xdr:colOff>
                    <xdr:row>8</xdr:row>
                    <xdr:rowOff>19050</xdr:rowOff>
                  </from>
                  <to>
                    <xdr:col>1</xdr:col>
                    <xdr:colOff>1257300</xdr:colOff>
                    <xdr:row>9</xdr:row>
                    <xdr:rowOff>9525</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L85"/>
  <sheetViews>
    <sheetView showGridLines="0" showRowColHeaders="0" topLeftCell="A10" zoomScaleNormal="100" workbookViewId="0">
      <selection activeCell="E22" sqref="E22"/>
    </sheetView>
  </sheetViews>
  <sheetFormatPr defaultRowHeight="12.75" x14ac:dyDescent="0.2"/>
  <cols>
    <col min="1" max="1" width="9.140625" style="276"/>
    <col min="2" max="2" width="20.7109375" style="276" customWidth="1"/>
    <col min="3" max="3" width="14.42578125" style="276" customWidth="1"/>
    <col min="4" max="4" width="13.7109375" style="276" customWidth="1"/>
    <col min="5" max="5" width="17.28515625" style="276" customWidth="1"/>
    <col min="6" max="6" width="4.42578125" style="276" customWidth="1"/>
    <col min="7" max="7" width="12.85546875" style="276" customWidth="1"/>
    <col min="8" max="8" width="14.5703125" style="276" customWidth="1"/>
    <col min="9" max="9" width="21.5703125" style="276" customWidth="1"/>
    <col min="10" max="10" width="30" style="276" customWidth="1"/>
    <col min="11" max="11" width="3.5703125" style="276" customWidth="1"/>
    <col min="12" max="12" width="26.28515625" style="276" bestFit="1" customWidth="1"/>
    <col min="13" max="13" width="16.28515625" style="276" bestFit="1" customWidth="1"/>
    <col min="14" max="14" width="22.5703125" style="276" bestFit="1" customWidth="1"/>
    <col min="15" max="15" width="21.28515625" style="276" bestFit="1" customWidth="1"/>
    <col min="16" max="16" width="22.28515625" style="276" bestFit="1" customWidth="1"/>
    <col min="17" max="16384" width="9.140625" style="276"/>
  </cols>
  <sheetData>
    <row r="1" spans="1:12" x14ac:dyDescent="0.2">
      <c r="A1" s="1968"/>
      <c r="B1" s="1968"/>
      <c r="D1" s="279"/>
      <c r="E1" s="279"/>
    </row>
    <row r="2" spans="1:12" x14ac:dyDescent="0.2">
      <c r="D2" s="279"/>
      <c r="E2" s="279"/>
    </row>
    <row r="3" spans="1:12" x14ac:dyDescent="0.2">
      <c r="D3" s="279"/>
      <c r="E3" s="279"/>
    </row>
    <row r="4" spans="1:12" x14ac:dyDescent="0.2">
      <c r="B4" s="276" t="s">
        <v>138</v>
      </c>
    </row>
    <row r="5" spans="1:12" ht="23.25" customHeight="1" x14ac:dyDescent="0.2">
      <c r="B5" s="627" t="s">
        <v>411</v>
      </c>
    </row>
    <row r="7" spans="1:12" x14ac:dyDescent="0.2">
      <c r="B7" s="627" t="s">
        <v>239</v>
      </c>
    </row>
    <row r="8" spans="1:12" x14ac:dyDescent="0.2">
      <c r="B8" s="382" t="s">
        <v>238</v>
      </c>
      <c r="C8" s="382"/>
      <c r="D8" s="279"/>
      <c r="E8" s="279"/>
    </row>
    <row r="9" spans="1:12" x14ac:dyDescent="0.2">
      <c r="B9" s="1941" t="s">
        <v>313</v>
      </c>
      <c r="C9" s="1969"/>
      <c r="D9" s="293"/>
      <c r="E9" s="293"/>
    </row>
    <row r="10" spans="1:12" ht="23.25" customHeight="1" x14ac:dyDescent="0.2">
      <c r="A10" s="525"/>
      <c r="B10" s="858"/>
      <c r="C10" s="858"/>
      <c r="D10" s="858"/>
      <c r="E10" s="858"/>
      <c r="F10" s="858"/>
      <c r="G10" s="858"/>
      <c r="H10" s="858"/>
      <c r="I10" s="859"/>
      <c r="J10" s="867"/>
    </row>
    <row r="11" spans="1:12" x14ac:dyDescent="0.2">
      <c r="A11" s="525"/>
      <c r="B11" s="879" t="s">
        <v>214</v>
      </c>
      <c r="C11" s="879" t="s">
        <v>505</v>
      </c>
      <c r="D11" s="879" t="s">
        <v>506</v>
      </c>
      <c r="E11" s="879" t="s">
        <v>507</v>
      </c>
      <c r="F11" s="703" t="s">
        <v>68</v>
      </c>
      <c r="G11" s="628" t="s">
        <v>509</v>
      </c>
      <c r="H11" s="707" t="s">
        <v>489</v>
      </c>
      <c r="I11" s="879"/>
      <c r="J11" s="627"/>
      <c r="K11" s="627"/>
      <c r="L11" s="880"/>
    </row>
    <row r="12" spans="1:12" x14ac:dyDescent="0.2">
      <c r="A12" s="525"/>
      <c r="B12" s="860" t="s">
        <v>91</v>
      </c>
      <c r="C12" s="861">
        <f>C41</f>
        <v>0</v>
      </c>
      <c r="D12" s="862">
        <f>MIN(C28:C41)</f>
        <v>108573</v>
      </c>
      <c r="E12" s="862">
        <f>MAX(C28:C41)</f>
        <v>125823</v>
      </c>
      <c r="F12" s="863"/>
      <c r="G12" s="864"/>
      <c r="H12" s="864"/>
      <c r="I12" s="861"/>
      <c r="J12" s="867"/>
      <c r="K12" s="734"/>
      <c r="L12" s="279"/>
    </row>
    <row r="13" spans="1:12" x14ac:dyDescent="0.2">
      <c r="A13" s="525"/>
      <c r="B13" s="860" t="s">
        <v>512</v>
      </c>
      <c r="C13" s="861"/>
      <c r="D13" s="862"/>
      <c r="E13" s="862"/>
      <c r="F13" s="863"/>
      <c r="G13" s="864"/>
      <c r="H13" s="864"/>
      <c r="I13" s="861"/>
      <c r="J13" s="867"/>
      <c r="K13" s="734"/>
      <c r="L13" s="279"/>
    </row>
    <row r="14" spans="1:12" x14ac:dyDescent="0.2">
      <c r="A14" s="525"/>
      <c r="B14" s="865" t="s">
        <v>539</v>
      </c>
      <c r="C14" s="861"/>
      <c r="D14" s="862"/>
      <c r="E14" s="862"/>
      <c r="F14" s="863"/>
      <c r="G14" s="864"/>
      <c r="H14" s="864"/>
      <c r="I14" s="861"/>
      <c r="J14" s="867"/>
      <c r="K14" s="734"/>
      <c r="L14" s="279"/>
    </row>
    <row r="15" spans="1:12" x14ac:dyDescent="0.2">
      <c r="A15" s="525"/>
      <c r="B15" s="866" t="s">
        <v>540</v>
      </c>
      <c r="C15" s="861"/>
      <c r="D15" s="862"/>
      <c r="E15" s="862"/>
      <c r="F15" s="863"/>
      <c r="G15" s="867"/>
      <c r="H15" s="867"/>
      <c r="I15" s="868"/>
      <c r="J15" s="867"/>
      <c r="K15" s="734"/>
      <c r="L15" s="279"/>
    </row>
    <row r="16" spans="1:12" x14ac:dyDescent="0.2">
      <c r="A16" s="525"/>
      <c r="B16" s="869" t="s">
        <v>316</v>
      </c>
      <c r="C16" s="861"/>
      <c r="D16" s="862"/>
      <c r="E16" s="862"/>
      <c r="F16" s="863"/>
      <c r="G16" s="867"/>
      <c r="H16" s="867"/>
      <c r="I16" s="868"/>
      <c r="J16" s="867"/>
      <c r="K16" s="734"/>
      <c r="L16" s="279"/>
    </row>
    <row r="17" spans="1:12" x14ac:dyDescent="0.2">
      <c r="A17" s="525"/>
      <c r="B17" s="870" t="s">
        <v>541</v>
      </c>
      <c r="C17" s="861"/>
      <c r="D17" s="862"/>
      <c r="E17" s="862"/>
      <c r="F17" s="863"/>
      <c r="G17" s="864"/>
      <c r="H17" s="864"/>
      <c r="I17" s="861"/>
      <c r="J17" s="867"/>
      <c r="K17" s="734"/>
      <c r="L17" s="279"/>
    </row>
    <row r="18" spans="1:12" x14ac:dyDescent="0.2">
      <c r="A18" s="525"/>
      <c r="B18" s="860" t="s">
        <v>513</v>
      </c>
      <c r="C18" s="861"/>
      <c r="D18" s="862"/>
      <c r="E18" s="862"/>
      <c r="F18" s="863"/>
      <c r="G18" s="864"/>
      <c r="H18" s="864"/>
      <c r="I18" s="861"/>
      <c r="J18" s="525"/>
      <c r="K18" s="734"/>
      <c r="L18" s="279"/>
    </row>
    <row r="19" spans="1:12" x14ac:dyDescent="0.2">
      <c r="A19" s="525"/>
      <c r="B19" s="860"/>
      <c r="C19" s="861"/>
      <c r="D19" s="862"/>
      <c r="E19" s="862"/>
      <c r="F19" s="863"/>
      <c r="G19" s="864"/>
      <c r="H19" s="864"/>
      <c r="I19" s="861"/>
      <c r="J19" s="528"/>
    </row>
    <row r="20" spans="1:12" x14ac:dyDescent="0.2">
      <c r="A20" s="525"/>
      <c r="B20" s="867"/>
      <c r="C20" s="861"/>
      <c r="D20" s="862"/>
      <c r="E20" s="862"/>
      <c r="F20" s="863"/>
      <c r="G20" s="864"/>
      <c r="H20" s="864"/>
      <c r="I20" s="861"/>
      <c r="J20" s="528"/>
      <c r="K20" s="383"/>
      <c r="L20" s="383"/>
    </row>
    <row r="21" spans="1:12" x14ac:dyDescent="0.2">
      <c r="A21" s="525"/>
      <c r="B21" s="867"/>
      <c r="C21" s="861"/>
      <c r="D21" s="862"/>
      <c r="E21" s="862"/>
      <c r="F21" s="863"/>
      <c r="G21" s="867"/>
      <c r="H21" s="867"/>
      <c r="I21" s="868"/>
      <c r="J21" s="528"/>
      <c r="K21" s="383"/>
      <c r="L21" s="383"/>
    </row>
    <row r="22" spans="1:12" ht="23.25" customHeight="1" x14ac:dyDescent="0.2">
      <c r="A22" s="525"/>
      <c r="B22" s="867"/>
      <c r="C22" s="861"/>
      <c r="D22" s="862"/>
      <c r="E22" s="862"/>
      <c r="F22" s="863"/>
      <c r="G22" s="867"/>
      <c r="H22" s="867"/>
      <c r="I22" s="868"/>
      <c r="J22" s="528"/>
      <c r="K22" s="383"/>
      <c r="L22" s="383"/>
    </row>
    <row r="23" spans="1:12" x14ac:dyDescent="0.2">
      <c r="A23" s="525"/>
      <c r="B23" s="867"/>
      <c r="C23" s="861"/>
      <c r="D23" s="862"/>
      <c r="E23" s="862"/>
      <c r="F23" s="863"/>
      <c r="G23" s="867"/>
      <c r="H23" s="867"/>
      <c r="I23" s="868"/>
      <c r="J23" s="528"/>
      <c r="K23" s="383"/>
      <c r="L23" s="383"/>
    </row>
    <row r="24" spans="1:12" x14ac:dyDescent="0.2">
      <c r="A24" s="525"/>
      <c r="B24" s="867"/>
      <c r="C24" s="867"/>
      <c r="D24" s="867"/>
      <c r="E24" s="867"/>
      <c r="F24" s="867"/>
      <c r="G24" s="867"/>
      <c r="H24" s="867"/>
      <c r="I24" s="867"/>
      <c r="J24" s="528"/>
      <c r="K24" s="383"/>
      <c r="L24" s="383"/>
    </row>
    <row r="25" spans="1:12" x14ac:dyDescent="0.2">
      <c r="A25" s="525"/>
      <c r="B25" s="525"/>
      <c r="C25" s="525"/>
      <c r="D25" s="525"/>
      <c r="E25" s="525"/>
      <c r="F25" s="525"/>
      <c r="G25" s="871"/>
      <c r="H25" s="872"/>
      <c r="I25" s="872"/>
      <c r="J25" s="528"/>
      <c r="K25" s="383"/>
      <c r="L25" s="383"/>
    </row>
    <row r="26" spans="1:12" x14ac:dyDescent="0.2">
      <c r="K26" s="383"/>
      <c r="L26" s="383"/>
    </row>
    <row r="27" spans="1:12" ht="25.5" x14ac:dyDescent="0.2">
      <c r="B27" s="873" t="str">
        <f>IF($B$9="Elective and Day Case",'HES output (2)'!D12, IF($B$9="Non-elective",'HES output (2)'!D31,IF($B$9="Elective and Day Case Mental Health",'HES output (2)'!D44,'HES output (2)'!D57)))</f>
        <v>Year</v>
      </c>
      <c r="C27" s="873" t="str">
        <f>IF($B$9="Elective and Day Case",'HES output (2)'!E12, IF($B$9="Non-elective",'HES output (2)'!E31,IF($B$9="Elective and Day Case Mental Health",'HES output (2)'!E44,'HES output (2)'!E57)))</f>
        <v>Total CIPS</v>
      </c>
      <c r="D27" s="873" t="str">
        <f>IF($B$9="Elective and Day Case",'HES output (2)'!F12, IF($B$9="Non-elective",'HES output (2)'!F31,IF($B$9="Elective and Day Case Mental Health",'HES output (2)'!F44,'HES output (2)'!F57)))</f>
        <v>Average Cost</v>
      </c>
      <c r="E27" s="873" t="str">
        <f>IF($B$9="Elective and Day Case",'HES output (2)'!G12, IF($B$9="Non-elective",'HES output (2)'!G31,IF($B$9="Elective and Day Case Mental Health",'HES output (2)'!G44,'HES output (2)'!G57)))</f>
        <v>QtPt</v>
      </c>
      <c r="F27" s="873" t="str">
        <f>IF($B$9="Elective and Day Case",'HES output (2)'!I12, IF($B$9="Non-elective",'HES output (2)'!I31,IF($B$9="Elective and Day Case Mental Health",'HES output (2)'!I44,'HES output (2)'!I57)))</f>
        <v>30-day survival</v>
      </c>
      <c r="G27" s="873" t="str">
        <f>IF($B$9="Elective and Day Case",'HES output (2)'!J12, IF($B$9="Non-elective",'HES output (2)'!J31,IF($B$9="Elective and Day Case Mental Health",'HES output (2)'!J44,'HES output (2)'!J57)))</f>
        <v>Average age</v>
      </c>
      <c r="H27" s="873" t="str">
        <f>IF($B$9="Elective and Day Case",'HES output (2)'!K12, IF($B$9="Non-elective",'HES output (2)'!K31,IF($B$9="Elective and Day Case Mental Health",'HES output (2)'!K44,'HES output (2)'!K57)))</f>
        <v>Average QALE</v>
      </c>
      <c r="I27" s="874" t="str">
        <f>IF($B$9="Elective and Day Case",'HES output (2)'!L12, IF($B$9="Non-elective",'HES output (2)'!L31,IF($B$9="Elective and Day Case Mental Health",'HES output (2)'!L44,'HES output (2)'!L57)))</f>
        <v>80th percentile waiting time*</v>
      </c>
      <c r="J27" s="734"/>
      <c r="K27" s="383"/>
      <c r="L27" s="383"/>
    </row>
    <row r="28" spans="1:12" x14ac:dyDescent="0.2">
      <c r="B28" s="873" t="s">
        <v>68</v>
      </c>
      <c r="C28" s="875"/>
      <c r="D28" s="725"/>
      <c r="E28" s="725"/>
      <c r="F28" s="876"/>
      <c r="G28" s="729"/>
      <c r="H28" s="729"/>
      <c r="I28" s="875"/>
      <c r="J28" s="734"/>
      <c r="K28" s="383"/>
      <c r="L28" s="383"/>
    </row>
    <row r="29" spans="1:12" x14ac:dyDescent="0.2">
      <c r="B29" s="873" t="s">
        <v>69</v>
      </c>
      <c r="C29" s="875"/>
      <c r="D29" s="725"/>
      <c r="E29" s="725"/>
      <c r="F29" s="876"/>
      <c r="G29" s="729"/>
      <c r="H29" s="729"/>
      <c r="I29" s="875"/>
      <c r="J29" s="734"/>
      <c r="K29" s="383"/>
      <c r="L29" s="383"/>
    </row>
    <row r="30" spans="1:12" x14ac:dyDescent="0.2">
      <c r="B30" s="873" t="s">
        <v>70</v>
      </c>
      <c r="C30" s="875"/>
      <c r="D30" s="725"/>
      <c r="E30" s="725"/>
      <c r="F30" s="876"/>
      <c r="G30" s="729"/>
      <c r="H30" s="729"/>
      <c r="I30" s="875"/>
      <c r="J30" s="734"/>
    </row>
    <row r="31" spans="1:12" x14ac:dyDescent="0.2">
      <c r="B31" s="724" t="s">
        <v>71</v>
      </c>
      <c r="C31" s="875"/>
      <c r="D31" s="725"/>
      <c r="E31" s="725"/>
      <c r="F31" s="876"/>
      <c r="G31" s="729"/>
      <c r="H31" s="729"/>
      <c r="I31" s="875"/>
      <c r="J31" s="734"/>
    </row>
    <row r="32" spans="1:12" x14ac:dyDescent="0.2">
      <c r="B32" s="724" t="s">
        <v>72</v>
      </c>
      <c r="C32" s="875"/>
      <c r="D32" s="725"/>
      <c r="E32" s="725"/>
      <c r="F32" s="876"/>
      <c r="G32" s="734"/>
      <c r="H32" s="734"/>
      <c r="I32" s="877"/>
      <c r="J32" s="734"/>
    </row>
    <row r="33" spans="2:10" ht="23.25" customHeight="1" x14ac:dyDescent="0.2">
      <c r="B33" s="724" t="s">
        <v>73</v>
      </c>
      <c r="C33" s="875"/>
      <c r="D33" s="725"/>
      <c r="E33" s="725"/>
      <c r="F33" s="876"/>
      <c r="G33" s="734"/>
      <c r="H33" s="734"/>
      <c r="I33" s="877"/>
      <c r="J33" s="734"/>
    </row>
    <row r="34" spans="2:10" x14ac:dyDescent="0.2">
      <c r="B34" s="873" t="s">
        <v>74</v>
      </c>
      <c r="C34" s="875">
        <f>IF($B$9="Elective and Day Case",'HES output (2)'!Q13, IF($B$9="Non-elective",'HES output (2)'!E32,IF($B$9="Elective and Day Case Mental Health",'HES output (2)'!E45,'HES output (2)'!E58)))</f>
        <v>123983</v>
      </c>
      <c r="D34" s="725">
        <f>IF($B$9="Elective and Day Case",'HES output (2)'!R13, IF($B$9="Non-elective",'HES output (2)'!F32,IF($B$9="Elective and Day Case Mental Health",'HES output (2)'!F45,'HES output (2)'!F58)))</f>
        <v>1012</v>
      </c>
      <c r="E34" s="725">
        <f>IF($B$9="Elective and Day Case",'HES output (2)'!S13, IF($B$9="Non-elective",'HES output (2)'!G32,IF($B$9="Elective and Day Case Mental Health",'HES output (2)'!G45,'HES output (2)'!G58)))</f>
        <v>125470796</v>
      </c>
      <c r="F34" s="876">
        <f>IF($B$9="Elective and Day Case",'HES output (2)'!U13, IF($B$9="Non-elective",'HES output (2)'!I32,IF($B$9="Elective and Day Case Mental Health",'HES output (2)'!I45,'HES output (2)'!I58)))</f>
        <v>0.96960000000000002</v>
      </c>
      <c r="G34" s="729" t="str">
        <f>IF($B$9="Elective and Day Case",'HES output (2)'!V13, IF($B$9="Non-elective",'HES output (2)'!J32,IF($B$9="Elective and Day Case Mental Health",'HES output (2)'!J45,'HES output (2)'!J58)))</f>
        <v>n/a</v>
      </c>
      <c r="H34" s="729">
        <f>IF($B$9="Elective and Day Case",'HES output (2)'!W13, IF($B$9="Non-elective",'HES output (2)'!K32,IF($B$9="Elective and Day Case Mental Health",'HES output (2)'!K45,'HES output (2)'!K58)))</f>
        <v>28.7</v>
      </c>
      <c r="I34" s="875" t="str">
        <f>IF($B$9="Elective and Day Case",'HES output (2)'!X13, IF($B$9="Non-elective",'HES output (2)'!L32,IF($B$9="Elective and Day Case Mental Health",'HES output (2)'!L45,'HES output (2)'!L58)))</f>
        <v>n/a</v>
      </c>
      <c r="J34" s="734"/>
    </row>
    <row r="35" spans="2:10" x14ac:dyDescent="0.2">
      <c r="B35" s="873" t="s">
        <v>75</v>
      </c>
      <c r="C35" s="875">
        <f>IF($B$9="Elective and Day Case",'HES output (2)'!Q14, IF($B$9="Non-elective",'HES output (2)'!E33,IF($B$9="Elective and Day Case Mental Health",'HES output (2)'!E46,'HES output (2)'!E59)))</f>
        <v>120203</v>
      </c>
      <c r="D35" s="725">
        <f>IF($B$9="Elective and Day Case",'HES output (2)'!R14, IF($B$9="Non-elective",'HES output (2)'!F33,IF($B$9="Elective and Day Case Mental Health",'HES output (2)'!F46,'HES output (2)'!F59)))</f>
        <v>1012</v>
      </c>
      <c r="E35" s="725">
        <f>IF($B$9="Elective and Day Case",'HES output (2)'!S14, IF($B$9="Non-elective",'HES output (2)'!G33,IF($B$9="Elective and Day Case Mental Health",'HES output (2)'!G46,'HES output (2)'!G59)))</f>
        <v>121645436</v>
      </c>
      <c r="F35" s="876">
        <f>IF($B$9="Elective and Day Case",'HES output (2)'!U14, IF($B$9="Non-elective",'HES output (2)'!I33,IF($B$9="Elective and Day Case Mental Health",'HES output (2)'!I46,'HES output (2)'!I59)))</f>
        <v>0.97219999999999995</v>
      </c>
      <c r="G35" s="729" t="str">
        <f>IF($B$9="Elective and Day Case",'HES output (2)'!V14, IF($B$9="Non-elective",'HES output (2)'!J33,IF($B$9="Elective and Day Case Mental Health",'HES output (2)'!J46,'HES output (2)'!J59)))</f>
        <v>n/a</v>
      </c>
      <c r="H35" s="729">
        <f>IF($B$9="Elective and Day Case",'HES output (2)'!W14, IF($B$9="Non-elective",'HES output (2)'!K33,IF($B$9="Elective and Day Case Mental Health",'HES output (2)'!K46,'HES output (2)'!K59)))</f>
        <v>28.9</v>
      </c>
      <c r="I35" s="875" t="str">
        <f>IF($B$9="Elective and Day Case",'HES output (2)'!X14, IF($B$9="Non-elective",'HES output (2)'!L33,IF($B$9="Elective and Day Case Mental Health",'HES output (2)'!L46,'HES output (2)'!L59)))</f>
        <v>n/a</v>
      </c>
    </row>
    <row r="36" spans="2:10" x14ac:dyDescent="0.2">
      <c r="B36" s="873" t="s">
        <v>76</v>
      </c>
      <c r="C36" s="875">
        <f>IF($B$9="Elective and Day Case",'HES output (2)'!Q15, IF($B$9="Non-elective",'HES output (2)'!E34,IF($B$9="Elective and Day Case Mental Health",'HES output (2)'!E47,'HES output (2)'!E60)))</f>
        <v>115560</v>
      </c>
      <c r="D36" s="725">
        <f>IF($B$9="Elective and Day Case",'HES output (2)'!R15, IF($B$9="Non-elective",'HES output (2)'!F34,IF($B$9="Elective and Day Case Mental Health",'HES output (2)'!F47,'HES output (2)'!F60)))</f>
        <v>1012</v>
      </c>
      <c r="E36" s="725">
        <f>IF($B$9="Elective and Day Case",'HES output (2)'!S15, IF($B$9="Non-elective",'HES output (2)'!G34,IF($B$9="Elective and Day Case Mental Health",'HES output (2)'!G47,'HES output (2)'!G60)))</f>
        <v>116946720</v>
      </c>
      <c r="F36" s="876">
        <f>IF($B$9="Elective and Day Case",'HES output (2)'!U15, IF($B$9="Non-elective",'HES output (2)'!I34,IF($B$9="Elective and Day Case Mental Health",'HES output (2)'!I47,'HES output (2)'!I60)))</f>
        <v>0.9738</v>
      </c>
      <c r="G36" s="729" t="str">
        <f>IF($B$9="Elective and Day Case",'HES output (2)'!V15, IF($B$9="Non-elective",'HES output (2)'!J34,IF($B$9="Elective and Day Case Mental Health",'HES output (2)'!J47,'HES output (2)'!J60)))</f>
        <v>n/a</v>
      </c>
      <c r="H36" s="729">
        <f>IF($B$9="Elective and Day Case",'HES output (2)'!W15, IF($B$9="Non-elective",'HES output (2)'!K34,IF($B$9="Elective and Day Case Mental Health",'HES output (2)'!K47,'HES output (2)'!K60)))</f>
        <v>29</v>
      </c>
      <c r="I36" s="875" t="str">
        <f>IF($B$9="Elective and Day Case",'HES output (2)'!X15, IF($B$9="Non-elective",'HES output (2)'!L34,IF($B$9="Elective and Day Case Mental Health",'HES output (2)'!L47,'HES output (2)'!L60)))</f>
        <v>n/a</v>
      </c>
      <c r="J36" s="383"/>
    </row>
    <row r="37" spans="2:10" x14ac:dyDescent="0.2">
      <c r="B37" s="724" t="str">
        <f>IF($B$9="Elective and Day Case",'HES output (2)'!P16, IF($B$9="Non-elective",'HES output (2)'!D35,IF($B$9="Elective and Day Case Mental Health",'HES output (2)'!D48,'HES output (2)'!D61)))</f>
        <v>2007/08</v>
      </c>
      <c r="C37" s="875">
        <f>IF($B$9="Elective and Day Case",'HES output (2)'!Q16, IF($B$9="Non-elective",'HES output (2)'!E35,IF($B$9="Elective and Day Case Mental Health",'HES output (2)'!E48,'HES output (2)'!E61)))</f>
        <v>111515</v>
      </c>
      <c r="D37" s="725">
        <f>IF($B$9="Elective and Day Case",'HES output (2)'!R16, IF($B$9="Non-elective",'HES output (2)'!F35,IF($B$9="Elective and Day Case Mental Health",'HES output (2)'!F48,'HES output (2)'!F61)))</f>
        <v>1395</v>
      </c>
      <c r="E37" s="725">
        <f>IF($B$9="Elective and Day Case",'HES output (2)'!S16, IF($B$9="Non-elective",'HES output (2)'!G35,IF($B$9="Elective and Day Case Mental Health",'HES output (2)'!G48,'HES output (2)'!G61)))</f>
        <v>155579903</v>
      </c>
      <c r="F37" s="876">
        <f>IF($B$9="Elective and Day Case",'HES output (2)'!U16, IF($B$9="Non-elective",'HES output (2)'!I35,IF($B$9="Elective and Day Case Mental Health",'HES output (2)'!I48,'HES output (2)'!I61)))</f>
        <v>0.97460000000000002</v>
      </c>
      <c r="G37" s="729">
        <f>IF($B$9="Elective and Day Case",'HES output (2)'!V16, IF($B$9="Non-elective",'HES output (2)'!J35,IF($B$9="Elective and Day Case Mental Health",'HES output (2)'!J48,'HES output (2)'!J61)))</f>
        <v>48.89</v>
      </c>
      <c r="H37" s="729">
        <f>IF($B$9="Elective and Day Case",'HES output (2)'!W16, IF($B$9="Non-elective",'HES output (2)'!K35,IF($B$9="Elective and Day Case Mental Health",'HES output (2)'!K48,'HES output (2)'!K61)))</f>
        <v>27.7</v>
      </c>
      <c r="I37" s="875" t="str">
        <f>IF($B$9="Elective and Day Case",'HES output (2)'!X16, IF($B$9="Non-elective",'HES output (2)'!L35,IF($B$9="Elective and Day Case Mental Health",'HES output (2)'!L48,'HES output (2)'!L61)))</f>
        <v>n/a</v>
      </c>
      <c r="J37" s="383"/>
    </row>
    <row r="38" spans="2:10" x14ac:dyDescent="0.2">
      <c r="B38" s="724" t="str">
        <f>IF($B$9="Elective and Day Case",'HES output (2)'!P17, IF($B$9="Non-elective",'HES output (2)'!D36,IF($B$9="Elective and Day Case Mental Health",'HES output (2)'!D49,'HES output (2)'!D62)))</f>
        <v>2008/09</v>
      </c>
      <c r="C38" s="875">
        <f>IF($B$9="Elective and Day Case",'HES output (2)'!Q17, IF($B$9="Non-elective",'HES output (2)'!E36,IF($B$9="Elective and Day Case Mental Health",'HES output (2)'!E49,'HES output (2)'!E62)))</f>
        <v>108573</v>
      </c>
      <c r="D38" s="725">
        <f>IF($B$9="Elective and Day Case",'HES output (2)'!R17, IF($B$9="Non-elective",'HES output (2)'!F36,IF($B$9="Elective and Day Case Mental Health",'HES output (2)'!F49,'HES output (2)'!F62)))</f>
        <v>1361</v>
      </c>
      <c r="E38" s="725">
        <f>IF($B$9="Elective and Day Case",'HES output (2)'!S17, IF($B$9="Non-elective",'HES output (2)'!G36,IF($B$9="Elective and Day Case Mental Health",'HES output (2)'!G49,'HES output (2)'!G62)))</f>
        <v>147753223</v>
      </c>
      <c r="F38" s="876">
        <f>IF($B$9="Elective and Day Case",'HES output (2)'!U17, IF($B$9="Non-elective",'HES output (2)'!I36,IF($B$9="Elective and Day Case Mental Health",'HES output (2)'!I49,'HES output (2)'!I62)))</f>
        <v>0.97399999999999998</v>
      </c>
      <c r="G38" s="734">
        <f>IF($B$9="Elective and Day Case",'HES output (2)'!V17, IF($B$9="Non-elective",'HES output (2)'!J36,IF($B$9="Elective and Day Case Mental Health",'HES output (2)'!J49,'HES output (2)'!J62)))</f>
        <v>49.53</v>
      </c>
      <c r="H38" s="734">
        <f>IF($B$9="Elective and Day Case",'HES output (2)'!W17, IF($B$9="Non-elective",'HES output (2)'!K36,IF($B$9="Elective and Day Case Mental Health",'HES output (2)'!K49,'HES output (2)'!K62)))</f>
        <v>27.27</v>
      </c>
      <c r="I38" s="877" t="str">
        <f>IF($B$9="Elective and Day Case",'HES output (2)'!X17, IF($B$9="Non-elective",'HES output (2)'!L36,IF($B$9="Elective and Day Case Mental Health",'HES output (2)'!L49,'HES output (2)'!L62)))</f>
        <v>n/a</v>
      </c>
      <c r="J38" s="383"/>
    </row>
    <row r="39" spans="2:10" x14ac:dyDescent="0.2">
      <c r="B39" s="724" t="str">
        <f>IF($B$9="Elective and Day Case",'HES output (2)'!P18, IF($B$9="Non-elective",'HES output (2)'!D37,IF($B$9="Elective and Day Case Mental Health",'HES output (2)'!D50,'HES output (2)'!D63)))</f>
        <v>2009/10</v>
      </c>
      <c r="C39" s="875">
        <f>IF($B$9="Elective and Day Case",'HES output (2)'!Q18, IF($B$9="Non-elective",'HES output (2)'!E37,IF($B$9="Elective and Day Case Mental Health",'HES output (2)'!E50,'HES output (2)'!E63)))</f>
        <v>121610</v>
      </c>
      <c r="D39" s="725">
        <f>IF($B$9="Elective and Day Case",'HES output (2)'!R18, IF($B$9="Non-elective",'HES output (2)'!F37,IF($B$9="Elective and Day Case Mental Health",'HES output (2)'!F50,'HES output (2)'!F63)))</f>
        <v>1365</v>
      </c>
      <c r="E39" s="725">
        <f>IF($B$9="Elective and Day Case",'HES output (2)'!S18, IF($B$9="Non-elective",'HES output (2)'!G37,IF($B$9="Elective and Day Case Mental Health",'HES output (2)'!G50,'HES output (2)'!G63)))</f>
        <v>166014565</v>
      </c>
      <c r="F39" s="876">
        <f>IF($B$9="Elective and Day Case",'HES output (2)'!U18, IF($B$9="Non-elective",'HES output (2)'!I37,IF($B$9="Elective and Day Case Mental Health",'HES output (2)'!I50,'HES output (2)'!I63)))</f>
        <v>0.9768</v>
      </c>
      <c r="G39" s="734">
        <f>IF($B$9="Elective and Day Case",'HES output (2)'!V18, IF($B$9="Non-elective",'HES output (2)'!J37,IF($B$9="Elective and Day Case Mental Health",'HES output (2)'!J50,'HES output (2)'!J63)))</f>
        <v>49.39</v>
      </c>
      <c r="H39" s="734">
        <f>IF($B$9="Elective and Day Case",'HES output (2)'!W18, IF($B$9="Non-elective",'HES output (2)'!K37,IF($B$9="Elective and Day Case Mental Health",'HES output (2)'!K50,'HES output (2)'!K63)))</f>
        <v>27.72</v>
      </c>
      <c r="I39" s="877" t="str">
        <f>IF($B$9="Elective and Day Case",'HES output (2)'!X18, IF($B$9="Non-elective",'HES output (2)'!L37,IF($B$9="Elective and Day Case Mental Health",'HES output (2)'!L50,'HES output (2)'!L63)))</f>
        <v>n/a</v>
      </c>
      <c r="J39" s="383"/>
    </row>
    <row r="40" spans="2:10" x14ac:dyDescent="0.2">
      <c r="B40" s="724" t="str">
        <f>IF($B$9="Elective and Day Case",'HES output (2)'!D25, IF($B$9="Non-elective",'HES output (2)'!D38,IF($B$9="Elective and Day Case Mental Health",'HES output (2)'!D51,'HES output (2)'!D64)))</f>
        <v>2010/11</v>
      </c>
      <c r="C40" s="875">
        <f>IF($B$9="Elective and Day Case",'HES output (2)'!E25, IF($B$9="Non-elective",'HES output (2)'!E38,IF($B$9="Elective and Day Case Mental Health",'HES output (2)'!E51,'HES output (2)'!E64)))</f>
        <v>125823</v>
      </c>
      <c r="D40" s="725">
        <f>IF($B$9="Elective and Day Case",'HES output (2)'!F25, IF($B$9="Non-elective",'HES output (2)'!F38,IF($B$9="Elective and Day Case Mental Health",'HES output (2)'!F51,'HES output (2)'!F64)))</f>
        <v>1445</v>
      </c>
      <c r="E40" s="725">
        <f>IF($B$9="Elective and Day Case",'HES output (2)'!G25, IF($B$9="Non-elective",'HES output (2)'!G38,IF($B$9="Elective and Day Case Mental Health",'HES output (2)'!G51,'HES output (2)'!G64)))</f>
        <v>181850580</v>
      </c>
      <c r="F40" s="876">
        <f>IF($B$9="Elective and Day Case",'HES output (2)'!I25, IF($B$9="Non-elective",'HES output (2)'!I38,IF($B$9="Elective and Day Case Mental Health",'HES output (2)'!I51,'HES output (2)'!I64)))</f>
        <v>0.97629999999999995</v>
      </c>
      <c r="G40" s="734">
        <f>IF($B$9="Elective and Day Case",'HES output (2)'!J25, IF($B$9="Non-elective",'HES output (2)'!J38,IF($B$9="Elective and Day Case Mental Health",'HES output (2)'!J51,'HES output (2)'!J64)))</f>
        <v>49.66</v>
      </c>
      <c r="H40" s="734">
        <f>IF($B$9="Elective and Day Case",'HES output (2)'!K25, IF($B$9="Non-elective",'HES output (2)'!K38,IF($B$9="Elective and Day Case Mental Health",'HES output (2)'!K51,'HES output (2)'!K64)))</f>
        <v>27.81</v>
      </c>
      <c r="I40" s="877" t="str">
        <f>IF($B$9="Elective and Day Case",'HES output (2)'!L25, IF($B$9="Non-elective",'HES output (2)'!L38,IF($B$9="Elective and Day Case Mental Health",'HES output (2)'!L51,'HES output (2)'!L64)))</f>
        <v>n/a</v>
      </c>
      <c r="J40" s="383"/>
    </row>
    <row r="41" spans="2:10" x14ac:dyDescent="0.2">
      <c r="B41" s="724" t="s">
        <v>489</v>
      </c>
      <c r="C41" s="875"/>
      <c r="D41" s="725"/>
      <c r="E41" s="725"/>
      <c r="F41" s="876"/>
      <c r="G41" s="734"/>
      <c r="H41" s="734"/>
      <c r="I41" s="877"/>
      <c r="J41" s="383"/>
    </row>
    <row r="42" spans="2:10" x14ac:dyDescent="0.2">
      <c r="B42" s="675"/>
      <c r="C42" s="675"/>
      <c r="D42" s="675"/>
      <c r="E42" s="675"/>
      <c r="F42" s="675"/>
      <c r="G42" s="675"/>
      <c r="H42" s="675"/>
      <c r="I42" s="675"/>
      <c r="J42" s="383"/>
    </row>
    <row r="43" spans="2:10" x14ac:dyDescent="0.2">
      <c r="B43" s="276" t="s">
        <v>463</v>
      </c>
      <c r="G43" s="878"/>
      <c r="H43" s="680">
        <v>1</v>
      </c>
      <c r="I43" s="680">
        <v>1</v>
      </c>
      <c r="J43" s="383"/>
    </row>
    <row r="44" spans="2:10" ht="23.25" customHeight="1" x14ac:dyDescent="0.2">
      <c r="G44" s="878"/>
      <c r="H44" s="680">
        <f t="shared" ref="H44:I49" si="0">C35/C$34</f>
        <v>0.96951194921884454</v>
      </c>
      <c r="I44" s="680">
        <f t="shared" si="0"/>
        <v>1</v>
      </c>
      <c r="J44" s="383"/>
    </row>
    <row r="45" spans="2:10" x14ac:dyDescent="0.2">
      <c r="G45" s="878"/>
      <c r="H45" s="680">
        <f t="shared" si="0"/>
        <v>0.93206326673818185</v>
      </c>
      <c r="I45" s="680">
        <f t="shared" si="0"/>
        <v>1</v>
      </c>
      <c r="J45" s="383"/>
    </row>
    <row r="46" spans="2:10" x14ac:dyDescent="0.2">
      <c r="G46" s="878"/>
      <c r="H46" s="680">
        <f t="shared" si="0"/>
        <v>0.89943782615358558</v>
      </c>
      <c r="I46" s="680">
        <f t="shared" si="0"/>
        <v>1.3784584980237153</v>
      </c>
    </row>
    <row r="47" spans="2:10" x14ac:dyDescent="0.2">
      <c r="G47" s="878"/>
      <c r="H47" s="680">
        <f t="shared" si="0"/>
        <v>0.87570876652444285</v>
      </c>
      <c r="I47" s="680">
        <f t="shared" si="0"/>
        <v>1.3448616600790513</v>
      </c>
    </row>
    <row r="48" spans="2:10" x14ac:dyDescent="0.2">
      <c r="H48" s="680">
        <f t="shared" si="0"/>
        <v>0.98086027923183017</v>
      </c>
      <c r="I48" s="680">
        <f t="shared" si="0"/>
        <v>1.348814229249012</v>
      </c>
    </row>
    <row r="49" spans="1:9" x14ac:dyDescent="0.2">
      <c r="H49" s="680">
        <f t="shared" si="0"/>
        <v>1.0148407442955889</v>
      </c>
      <c r="I49" s="680">
        <f t="shared" si="0"/>
        <v>1.4278656126482214</v>
      </c>
    </row>
    <row r="50" spans="1:9" x14ac:dyDescent="0.2">
      <c r="A50" s="681"/>
      <c r="H50" s="383"/>
      <c r="I50" s="383"/>
    </row>
    <row r="51" spans="1:9" x14ac:dyDescent="0.2">
      <c r="A51" s="286"/>
      <c r="H51" s="383"/>
      <c r="I51" s="383"/>
    </row>
    <row r="52" spans="1:9" x14ac:dyDescent="0.2">
      <c r="A52" s="286"/>
    </row>
    <row r="53" spans="1:9" x14ac:dyDescent="0.2">
      <c r="A53" s="286"/>
    </row>
    <row r="54" spans="1:9" x14ac:dyDescent="0.2">
      <c r="A54" s="286"/>
    </row>
    <row r="55" spans="1:9" ht="23.25" customHeight="1" x14ac:dyDescent="0.2">
      <c r="A55" s="286"/>
    </row>
    <row r="56" spans="1:9" x14ac:dyDescent="0.2">
      <c r="A56" s="286"/>
    </row>
    <row r="57" spans="1:9" x14ac:dyDescent="0.2">
      <c r="A57" s="286"/>
    </row>
    <row r="58" spans="1:9" x14ac:dyDescent="0.2">
      <c r="A58" s="286"/>
    </row>
    <row r="59" spans="1:9" x14ac:dyDescent="0.2">
      <c r="A59" s="286"/>
    </row>
    <row r="60" spans="1:9" x14ac:dyDescent="0.2">
      <c r="A60" s="286"/>
    </row>
    <row r="65" ht="23.25" customHeight="1" x14ac:dyDescent="0.2"/>
    <row r="75" ht="23.25" customHeight="1" x14ac:dyDescent="0.2"/>
    <row r="85" ht="23.25" customHeight="1" x14ac:dyDescent="0.2"/>
  </sheetData>
  <sheetProtection formatCells="0"/>
  <protectedRanges>
    <protectedRange sqref="B9" name="Range1"/>
  </protectedRanges>
  <customSheetViews>
    <customSheetView guid="{9EA95E61-FCA5-4867-AEB4-B8C24058ACDD}" showGridLines="0" showRowCol="0">
      <selection activeCell="B4" sqref="B4"/>
      <pageMargins left="0.7" right="0.7" top="0.75" bottom="0.75" header="0.3" footer="0.3"/>
      <pageSetup paperSize="9" orientation="portrait" r:id="rId1"/>
    </customSheetView>
  </customSheetViews>
  <mergeCells count="2">
    <mergeCell ref="A1:B1"/>
    <mergeCell ref="B9:C9"/>
  </mergeCells>
  <dataValidations count="2">
    <dataValidation type="list" allowBlank="1" showInputMessage="1" showErrorMessage="1" sqref="B9">
      <formula1>HES_setting</formula1>
    </dataValidation>
    <dataValidation allowBlank="1" showInputMessage="1" showErrorMessage="1" promptTitle="Average waiting time" prompt="Waiting time is measured in days from referral to admission_x000a_" sqref="I27 I10"/>
  </dataValidations>
  <pageMargins left="0.7" right="0.7" top="0.75" bottom="0.75" header="0.3" footer="0.3"/>
  <pageSetup paperSize="9" orientation="portrait" r:id="rId2"/>
  <drawing r:id="rId3"/>
  <extLst>
    <ext xmlns:x14="http://schemas.microsoft.com/office/spreadsheetml/2009/9/main" uri="{05C60535-1F16-4fd2-B633-F4F36F0B64E0}">
      <x14:sparklineGroups xmlns:xm="http://schemas.microsoft.com/office/excel/2006/main">
        <x14:sparklineGroup manualMax="0" manualMin="0" displayEmptyCellsAs="gap">
          <x14:colorSeries rgb="FF376092"/>
          <x14:colorNegative rgb="FFD00000"/>
          <x14:colorAxis rgb="FF000000"/>
          <x14:colorMarkers rgb="FFD00000"/>
          <x14:colorFirst rgb="FFD00000"/>
          <x14:colorLast rgb="FFD00000"/>
          <x14:colorHigh rgb="FFD00000"/>
          <x14:colorLow rgb="FFD00000"/>
          <x14:sparklines>
            <x14:sparkline>
              <xm:f>'HES output'!C34:C40</xm:f>
              <xm:sqref>G12</xm:sqref>
            </x14:sparkline>
          </x14:sparklines>
        </x14:sparklineGroup>
      </x14:sparklineGroup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B1:U102"/>
  <sheetViews>
    <sheetView topLeftCell="C1" workbookViewId="0">
      <selection activeCell="F18" sqref="F18"/>
    </sheetView>
  </sheetViews>
  <sheetFormatPr defaultRowHeight="15" x14ac:dyDescent="0.25"/>
  <cols>
    <col min="3" max="3" width="5" customWidth="1"/>
    <col min="4" max="4" width="10.140625" bestFit="1" customWidth="1"/>
    <col min="5" max="5" width="17.5703125" bestFit="1" customWidth="1"/>
    <col min="6" max="9" width="17.5703125" customWidth="1"/>
    <col min="10" max="12" width="17.5703125" bestFit="1" customWidth="1"/>
  </cols>
  <sheetData>
    <row r="1" spans="3:17" ht="15.75" thickBot="1" x14ac:dyDescent="0.3"/>
    <row r="2" spans="3:17" ht="18.75" thickBot="1" x14ac:dyDescent="0.3">
      <c r="C2" s="1976" t="s">
        <v>437</v>
      </c>
      <c r="D2" s="1977"/>
      <c r="E2" s="1977"/>
      <c r="F2" s="1977"/>
      <c r="G2" s="1977"/>
      <c r="H2" s="1977"/>
      <c r="I2" s="1977"/>
      <c r="J2" s="1977"/>
      <c r="K2" s="1977"/>
      <c r="L2" s="1978"/>
    </row>
    <row r="3" spans="3:17" x14ac:dyDescent="0.25">
      <c r="C3" s="406" t="s">
        <v>88</v>
      </c>
      <c r="D3" s="407" t="s">
        <v>97</v>
      </c>
      <c r="E3" s="407" t="s">
        <v>438</v>
      </c>
      <c r="F3" s="407"/>
      <c r="G3" s="407"/>
      <c r="H3" s="407"/>
      <c r="I3" s="407"/>
      <c r="J3" s="407" t="s">
        <v>439</v>
      </c>
      <c r="K3" s="407" t="s">
        <v>440</v>
      </c>
      <c r="L3" s="408" t="s">
        <v>441</v>
      </c>
    </row>
    <row r="4" spans="3:17" ht="22.5" x14ac:dyDescent="0.3">
      <c r="C4" s="409">
        <v>405</v>
      </c>
      <c r="D4" s="410"/>
      <c r="E4" s="411"/>
      <c r="F4" s="411"/>
      <c r="G4" s="412"/>
      <c r="H4" s="411"/>
      <c r="I4" s="411"/>
      <c r="J4" s="412"/>
      <c r="K4" s="412"/>
      <c r="L4" s="413"/>
      <c r="Q4" s="112"/>
    </row>
    <row r="5" spans="3:17" ht="22.5" x14ac:dyDescent="0.3">
      <c r="C5" s="409">
        <v>506</v>
      </c>
      <c r="D5" s="410"/>
      <c r="E5" s="411"/>
      <c r="F5" s="411"/>
      <c r="G5" s="412"/>
      <c r="H5" s="411"/>
      <c r="I5" s="411"/>
      <c r="J5" s="412"/>
      <c r="K5" s="412"/>
      <c r="L5" s="413"/>
      <c r="Q5" s="112"/>
    </row>
    <row r="6" spans="3:17" ht="22.5" x14ac:dyDescent="0.3">
      <c r="C6" s="409">
        <v>607</v>
      </c>
      <c r="D6" s="410"/>
      <c r="E6" s="411"/>
      <c r="F6" s="411"/>
      <c r="G6" s="412"/>
      <c r="H6" s="411"/>
      <c r="I6" s="411"/>
      <c r="J6" s="412"/>
      <c r="K6" s="412"/>
      <c r="L6" s="413"/>
      <c r="Q6" s="112"/>
    </row>
    <row r="7" spans="3:17" ht="22.5" x14ac:dyDescent="0.3">
      <c r="C7" s="409">
        <v>708</v>
      </c>
      <c r="D7" s="410">
        <v>14143025</v>
      </c>
      <c r="E7" s="411">
        <v>16389951847.07</v>
      </c>
      <c r="F7" s="411"/>
      <c r="G7" s="412" t="s">
        <v>101</v>
      </c>
      <c r="H7" s="411">
        <v>16389951847.07</v>
      </c>
      <c r="I7" s="411"/>
      <c r="J7" s="412" t="s">
        <v>101</v>
      </c>
      <c r="K7" s="412" t="s">
        <v>101</v>
      </c>
      <c r="L7" s="413" t="s">
        <v>101</v>
      </c>
      <c r="Q7" s="112" t="s">
        <v>310</v>
      </c>
    </row>
    <row r="8" spans="3:17" ht="22.5" x14ac:dyDescent="0.3">
      <c r="C8" s="409">
        <v>809</v>
      </c>
      <c r="D8" s="410">
        <v>14922786</v>
      </c>
      <c r="E8" s="411">
        <v>17711524635.330002</v>
      </c>
      <c r="F8" s="437">
        <f>K8/L8-1</f>
        <v>3.1961228844223033E-2</v>
      </c>
      <c r="G8" s="411">
        <v>17322372424.150002</v>
      </c>
      <c r="H8" s="411">
        <v>17711524635.330002</v>
      </c>
      <c r="I8" s="411">
        <v>5.1732041505147874E-2</v>
      </c>
      <c r="J8" s="411">
        <v>17322372424.150002</v>
      </c>
      <c r="K8" s="411">
        <v>16913794848.799999</v>
      </c>
      <c r="L8" s="414">
        <v>16389951847.07</v>
      </c>
      <c r="Q8" s="112" t="s">
        <v>311</v>
      </c>
    </row>
    <row r="9" spans="3:17" ht="22.5" x14ac:dyDescent="0.3">
      <c r="C9" s="409">
        <v>910</v>
      </c>
      <c r="D9" s="410">
        <v>15417136</v>
      </c>
      <c r="E9" s="411">
        <v>18622527488.459999</v>
      </c>
      <c r="F9" s="437">
        <f>K9/L9-1</f>
        <v>1.2901186750134297E-2</v>
      </c>
      <c r="G9" s="411">
        <v>18735491509.330002</v>
      </c>
      <c r="H9" s="411">
        <v>18622527488.459999</v>
      </c>
      <c r="I9" s="411">
        <v>1.4713321722183981E-2</v>
      </c>
      <c r="J9" s="411">
        <v>18735491509.330002</v>
      </c>
      <c r="K9" s="411">
        <v>17940024322.279999</v>
      </c>
      <c r="L9" s="414">
        <v>17711524635.330002</v>
      </c>
      <c r="Q9" s="112" t="s">
        <v>452</v>
      </c>
    </row>
    <row r="10" spans="3:17" ht="23.25" thickBot="1" x14ac:dyDescent="0.35">
      <c r="C10" s="415">
        <v>1011</v>
      </c>
      <c r="D10" s="416">
        <v>15864439</v>
      </c>
      <c r="E10" s="417">
        <v>19634896375.299999</v>
      </c>
      <c r="F10" s="437">
        <f>K10/L10-1</f>
        <v>3.8288614205663096E-2</v>
      </c>
      <c r="G10" s="417">
        <v>18938679664.139999</v>
      </c>
      <c r="H10" s="417">
        <v>19634896375.299999</v>
      </c>
      <c r="I10" s="417">
        <v>5.0992570767768086E-2</v>
      </c>
      <c r="J10" s="417">
        <v>18938679664.139999</v>
      </c>
      <c r="K10" s="417">
        <v>19335558259</v>
      </c>
      <c r="L10" s="418">
        <v>18622527488.459999</v>
      </c>
      <c r="Q10" s="112" t="s">
        <v>149</v>
      </c>
    </row>
    <row r="11" spans="3:17" ht="23.25" thickBot="1" x14ac:dyDescent="0.35">
      <c r="C11" s="419"/>
      <c r="D11" s="419"/>
      <c r="E11" s="419"/>
      <c r="F11" s="419"/>
      <c r="G11" s="419"/>
      <c r="H11" s="419"/>
      <c r="I11" s="419"/>
      <c r="J11" s="419"/>
      <c r="K11" s="419"/>
      <c r="L11" s="419"/>
      <c r="Q11" s="112"/>
    </row>
    <row r="12" spans="3:17" ht="18.75" thickBot="1" x14ac:dyDescent="0.3">
      <c r="C12" s="1976" t="s">
        <v>442</v>
      </c>
      <c r="D12" s="1977"/>
      <c r="E12" s="1977"/>
      <c r="F12" s="1977"/>
      <c r="G12" s="1977"/>
      <c r="H12" s="1977"/>
      <c r="I12" s="1977"/>
      <c r="J12" s="1977"/>
      <c r="K12" s="1977"/>
      <c r="L12" s="1978"/>
    </row>
    <row r="13" spans="3:17" x14ac:dyDescent="0.25">
      <c r="C13" s="406" t="s">
        <v>88</v>
      </c>
      <c r="D13" s="407" t="s">
        <v>97</v>
      </c>
      <c r="E13" s="407" t="s">
        <v>438</v>
      </c>
      <c r="F13" s="407"/>
      <c r="G13" s="407"/>
      <c r="H13" s="407"/>
      <c r="I13" s="407"/>
      <c r="J13" s="407" t="s">
        <v>439</v>
      </c>
      <c r="K13" s="407" t="s">
        <v>443</v>
      </c>
      <c r="L13" s="408" t="s">
        <v>441</v>
      </c>
    </row>
    <row r="14" spans="3:17" x14ac:dyDescent="0.25">
      <c r="C14" s="409"/>
      <c r="D14" s="410"/>
      <c r="E14" s="411"/>
      <c r="F14" s="411"/>
      <c r="G14" s="411"/>
      <c r="H14" s="411"/>
      <c r="I14" s="411"/>
      <c r="J14" s="412"/>
      <c r="K14" s="412"/>
      <c r="L14" s="413"/>
    </row>
    <row r="15" spans="3:17" x14ac:dyDescent="0.25">
      <c r="C15" s="409"/>
      <c r="D15" s="410"/>
      <c r="E15" s="411"/>
      <c r="F15" s="411"/>
      <c r="G15" s="411"/>
      <c r="H15" s="411"/>
      <c r="I15" s="411"/>
      <c r="J15" s="412"/>
      <c r="K15" s="412"/>
      <c r="L15" s="413"/>
    </row>
    <row r="16" spans="3:17" x14ac:dyDescent="0.25">
      <c r="C16" s="409"/>
      <c r="D16" s="410"/>
      <c r="E16" s="411"/>
      <c r="F16" s="411"/>
      <c r="G16" s="411"/>
      <c r="H16" s="411"/>
      <c r="I16" s="411"/>
      <c r="J16" s="412"/>
      <c r="K16" s="412"/>
      <c r="L16" s="413"/>
    </row>
    <row r="17" spans="3:16" x14ac:dyDescent="0.25">
      <c r="C17" s="409">
        <v>708</v>
      </c>
      <c r="D17" s="410">
        <v>14143025</v>
      </c>
      <c r="E17" s="411">
        <v>16389951847.07</v>
      </c>
      <c r="F17" s="411"/>
      <c r="G17" s="411"/>
      <c r="H17" s="411"/>
      <c r="I17" s="411"/>
      <c r="J17" s="412" t="s">
        <v>101</v>
      </c>
      <c r="K17" s="412" t="s">
        <v>101</v>
      </c>
      <c r="L17" s="413" t="s">
        <v>101</v>
      </c>
    </row>
    <row r="18" spans="3:16" x14ac:dyDescent="0.25">
      <c r="C18" s="409">
        <v>809</v>
      </c>
      <c r="D18" s="410">
        <v>14922786</v>
      </c>
      <c r="E18" s="411">
        <v>17711524635.330002</v>
      </c>
      <c r="F18" s="437">
        <f>K18/L18-1</f>
        <v>5.1732041505147874E-2</v>
      </c>
      <c r="G18" s="411"/>
      <c r="H18" s="411"/>
      <c r="I18" s="411"/>
      <c r="J18" s="411">
        <v>17322372424.150002</v>
      </c>
      <c r="K18" s="411">
        <v>17237837516.290001</v>
      </c>
      <c r="L18" s="414">
        <v>16389951847.07</v>
      </c>
    </row>
    <row r="19" spans="3:16" x14ac:dyDescent="0.25">
      <c r="C19" s="409">
        <v>910</v>
      </c>
      <c r="D19" s="410">
        <v>15417136</v>
      </c>
      <c r="E19" s="411">
        <v>18622527488.459999</v>
      </c>
      <c r="F19" s="437">
        <f>K19/L19-1</f>
        <v>1.4713321722183981E-2</v>
      </c>
      <c r="G19" s="411"/>
      <c r="H19" s="411"/>
      <c r="I19" s="411"/>
      <c r="J19" s="411">
        <v>18735491509.330002</v>
      </c>
      <c r="K19" s="411">
        <v>17972119995.48</v>
      </c>
      <c r="L19" s="414">
        <v>17711524635.330002</v>
      </c>
    </row>
    <row r="20" spans="3:16" ht="15.75" thickBot="1" x14ac:dyDescent="0.3">
      <c r="C20" s="415">
        <v>1011</v>
      </c>
      <c r="D20" s="416">
        <v>15864439</v>
      </c>
      <c r="E20" s="417">
        <v>19634896375.299999</v>
      </c>
      <c r="F20" s="437">
        <f>K20/L20-1</f>
        <v>5.0992570767768086E-2</v>
      </c>
      <c r="G20" s="417"/>
      <c r="H20" s="417"/>
      <c r="I20" s="417"/>
      <c r="J20" s="417">
        <v>18938679664.139999</v>
      </c>
      <c r="K20" s="417">
        <v>19572138039.290001</v>
      </c>
      <c r="L20" s="418">
        <v>18622527488.459999</v>
      </c>
    </row>
    <row r="21" spans="3:16" x14ac:dyDescent="0.25">
      <c r="C21" s="419"/>
      <c r="D21" s="419"/>
      <c r="E21" s="419"/>
      <c r="F21" s="419"/>
      <c r="G21" s="419"/>
      <c r="H21" s="419"/>
      <c r="I21" s="419"/>
      <c r="J21" s="419"/>
      <c r="K21" s="419"/>
      <c r="L21" s="419"/>
    </row>
    <row r="22" spans="3:16" ht="15.75" thickBot="1" x14ac:dyDescent="0.3">
      <c r="C22" s="419"/>
      <c r="D22" s="419"/>
      <c r="E22" s="419"/>
      <c r="F22" s="419"/>
      <c r="G22" s="419"/>
      <c r="H22" s="419"/>
      <c r="I22" s="419"/>
      <c r="J22" s="419"/>
      <c r="K22" s="419"/>
      <c r="L22" s="419"/>
    </row>
    <row r="23" spans="3:16" ht="23.25" thickBot="1" x14ac:dyDescent="0.35">
      <c r="C23" s="1976" t="s">
        <v>444</v>
      </c>
      <c r="D23" s="1977"/>
      <c r="E23" s="1977"/>
      <c r="F23" s="1977"/>
      <c r="G23" s="1977"/>
      <c r="H23" s="1977"/>
      <c r="I23" s="1977"/>
      <c r="J23" s="1977"/>
      <c r="K23" s="1977"/>
      <c r="L23" s="1978"/>
      <c r="N23" t="s">
        <v>450</v>
      </c>
      <c r="P23" s="112" t="s">
        <v>310</v>
      </c>
    </row>
    <row r="24" spans="3:16" ht="22.5" x14ac:dyDescent="0.3">
      <c r="C24" s="406" t="s">
        <v>88</v>
      </c>
      <c r="D24" s="407" t="s">
        <v>97</v>
      </c>
      <c r="E24" s="407" t="s">
        <v>438</v>
      </c>
      <c r="F24" s="407"/>
      <c r="G24" s="407"/>
      <c r="H24" s="407"/>
      <c r="I24" s="407"/>
      <c r="J24" s="407" t="s">
        <v>439</v>
      </c>
      <c r="K24" s="407" t="s">
        <v>440</v>
      </c>
      <c r="L24" s="408" t="s">
        <v>441</v>
      </c>
      <c r="P24" s="112" t="s">
        <v>311</v>
      </c>
    </row>
    <row r="25" spans="3:16" ht="22.5" x14ac:dyDescent="0.3">
      <c r="C25" s="409"/>
      <c r="D25" s="225">
        <v>6433933</v>
      </c>
      <c r="E25" s="411">
        <v>6633384923</v>
      </c>
      <c r="F25" s="497">
        <f>K25/L25-1</f>
        <v>9.4305675426915592E-3</v>
      </c>
      <c r="G25" s="412">
        <v>8.2286065818359955E-3</v>
      </c>
      <c r="H25" s="411"/>
      <c r="I25" s="411"/>
      <c r="J25" s="412"/>
      <c r="K25" s="412">
        <v>6041385867.7402039</v>
      </c>
      <c r="L25" s="413">
        <v>5984944444.9131927</v>
      </c>
      <c r="P25" s="112" t="s">
        <v>452</v>
      </c>
    </row>
    <row r="26" spans="3:16" ht="22.5" x14ac:dyDescent="0.3">
      <c r="C26" s="409"/>
      <c r="D26" s="225">
        <v>6864612</v>
      </c>
      <c r="E26" s="411">
        <v>7146061092</v>
      </c>
      <c r="F26" s="497">
        <f>K26/L26-1</f>
        <v>6.3599037306689699E-2</v>
      </c>
      <c r="G26" s="412">
        <v>6.1821533143343599E-2</v>
      </c>
      <c r="H26" s="411"/>
      <c r="I26" s="411"/>
      <c r="J26" s="412"/>
      <c r="K26" s="412">
        <v>7042151222.5389404</v>
      </c>
      <c r="L26" s="413">
        <v>6621058289.3827209</v>
      </c>
      <c r="P26" s="112" t="s">
        <v>149</v>
      </c>
    </row>
    <row r="27" spans="3:16" x14ac:dyDescent="0.25">
      <c r="C27" s="409"/>
      <c r="D27" s="225">
        <v>7194697</v>
      </c>
      <c r="E27" s="411">
        <v>7453706092</v>
      </c>
      <c r="F27" s="497">
        <f>K27/L27-1</f>
        <v>4.296864323692029E-2</v>
      </c>
      <c r="G27" s="412">
        <v>4.2942179103114153E-2</v>
      </c>
      <c r="H27" s="411"/>
      <c r="I27" s="411"/>
      <c r="J27" s="412"/>
      <c r="K27" s="412">
        <v>7451786915.2902222</v>
      </c>
      <c r="L27" s="413">
        <v>7144785189.4790649</v>
      </c>
    </row>
    <row r="28" spans="3:16" x14ac:dyDescent="0.25">
      <c r="C28" s="409">
        <v>708</v>
      </c>
      <c r="D28" s="410">
        <v>7592096</v>
      </c>
      <c r="E28" s="411">
        <v>8282722742.3100004</v>
      </c>
      <c r="F28" s="411">
        <v>4.1873879162783068E-2</v>
      </c>
      <c r="G28" s="412">
        <v>5.1397782208088882E-2</v>
      </c>
      <c r="H28" s="411">
        <v>8282722742.3100004</v>
      </c>
      <c r="I28" s="411"/>
      <c r="J28" s="412" t="s">
        <v>101</v>
      </c>
      <c r="K28" s="412" t="s">
        <v>101</v>
      </c>
      <c r="L28" s="413" t="s">
        <v>101</v>
      </c>
    </row>
    <row r="29" spans="3:16" x14ac:dyDescent="0.25">
      <c r="C29" s="409">
        <v>809</v>
      </c>
      <c r="D29" s="410">
        <v>8140742</v>
      </c>
      <c r="E29" s="411">
        <v>8889730826.9799995</v>
      </c>
      <c r="F29" s="437">
        <f>K29/L29-1</f>
        <v>5.151377366532528E-2</v>
      </c>
      <c r="G29" s="411">
        <v>6.1477893849913645E-2</v>
      </c>
      <c r="H29" s="411">
        <v>8889730826.9799995</v>
      </c>
      <c r="I29" s="411">
        <v>6.1477893849913645E-2</v>
      </c>
      <c r="J29" s="411">
        <v>8552630211.04</v>
      </c>
      <c r="K29" s="411">
        <v>8709397046.9899998</v>
      </c>
      <c r="L29" s="414">
        <v>8282722742.3100004</v>
      </c>
    </row>
    <row r="30" spans="3:16" x14ac:dyDescent="0.25">
      <c r="C30" s="409">
        <v>910</v>
      </c>
      <c r="D30" s="410">
        <v>8465757</v>
      </c>
      <c r="E30" s="411">
        <v>9203218231.8199997</v>
      </c>
      <c r="F30" s="437">
        <f>K30/L30-1</f>
        <v>-2.7347827952468595E-3</v>
      </c>
      <c r="G30" s="411">
        <v>-1.0596700072638909E-2</v>
      </c>
      <c r="H30" s="411">
        <v>9203218231.8199997</v>
      </c>
      <c r="I30" s="411">
        <v>-1.0596700072638909E-2</v>
      </c>
      <c r="J30" s="411">
        <v>9525111522.9200001</v>
      </c>
      <c r="K30" s="411">
        <v>8865419344.0599995</v>
      </c>
      <c r="L30" s="414">
        <v>8889730826.9799995</v>
      </c>
    </row>
    <row r="31" spans="3:16" ht="15.75" thickBot="1" x14ac:dyDescent="0.3">
      <c r="C31" s="415">
        <v>1011</v>
      </c>
      <c r="D31" s="416">
        <v>8755081</v>
      </c>
      <c r="E31" s="417">
        <v>9695505600.5699997</v>
      </c>
      <c r="F31" s="437">
        <f>K31/L31-1</f>
        <v>4.3205886190462062E-2</v>
      </c>
      <c r="G31" s="417">
        <v>5.2692004197329778E-2</v>
      </c>
      <c r="H31" s="417">
        <v>9695505600.5699997</v>
      </c>
      <c r="I31" s="417">
        <v>5.2692004197329778E-2</v>
      </c>
      <c r="J31" s="417">
        <v>9306704947.6800003</v>
      </c>
      <c r="K31" s="417">
        <v>9600851431.3299999</v>
      </c>
      <c r="L31" s="418">
        <v>9203218231.8199997</v>
      </c>
    </row>
    <row r="32" spans="3:16" ht="15.75" thickBot="1" x14ac:dyDescent="0.3">
      <c r="C32" s="419"/>
      <c r="D32" s="419"/>
      <c r="E32" s="419"/>
      <c r="F32" s="419"/>
      <c r="G32" s="419"/>
      <c r="H32" s="419"/>
      <c r="I32" s="419"/>
      <c r="J32" s="419"/>
      <c r="K32" s="419"/>
      <c r="L32" s="419"/>
    </row>
    <row r="33" spans="3:12" ht="18.75" thickBot="1" x14ac:dyDescent="0.3">
      <c r="C33" s="1976" t="s">
        <v>445</v>
      </c>
      <c r="D33" s="1977"/>
      <c r="E33" s="1977"/>
      <c r="F33" s="1977"/>
      <c r="G33" s="1977"/>
      <c r="H33" s="1977"/>
      <c r="I33" s="1977"/>
      <c r="J33" s="1977"/>
      <c r="K33" s="1977"/>
      <c r="L33" s="1978"/>
    </row>
    <row r="34" spans="3:12" x14ac:dyDescent="0.25">
      <c r="C34" s="406" t="s">
        <v>88</v>
      </c>
      <c r="D34" s="407" t="s">
        <v>97</v>
      </c>
      <c r="E34" s="407" t="s">
        <v>438</v>
      </c>
      <c r="F34" s="407"/>
      <c r="G34" s="407"/>
      <c r="H34" s="407"/>
      <c r="I34" s="407"/>
      <c r="J34" s="407" t="s">
        <v>439</v>
      </c>
      <c r="K34" s="407" t="s">
        <v>443</v>
      </c>
      <c r="L34" s="408" t="s">
        <v>441</v>
      </c>
    </row>
    <row r="35" spans="3:12" x14ac:dyDescent="0.25">
      <c r="C35" s="409"/>
      <c r="D35" s="225">
        <v>6433933</v>
      </c>
      <c r="E35" s="411">
        <v>6633384923</v>
      </c>
      <c r="F35" s="411"/>
      <c r="G35" s="411"/>
      <c r="H35" s="411"/>
      <c r="I35" s="411"/>
      <c r="J35" s="412"/>
      <c r="K35" s="412"/>
      <c r="L35" s="413"/>
    </row>
    <row r="36" spans="3:12" x14ac:dyDescent="0.25">
      <c r="C36" s="409"/>
      <c r="D36" s="225">
        <v>6864612</v>
      </c>
      <c r="E36" s="411">
        <v>7146061092</v>
      </c>
      <c r="F36" s="411"/>
      <c r="G36" s="411"/>
      <c r="H36" s="411"/>
      <c r="I36" s="411"/>
      <c r="J36" s="412"/>
      <c r="K36" s="412"/>
      <c r="L36" s="413"/>
    </row>
    <row r="37" spans="3:12" x14ac:dyDescent="0.25">
      <c r="C37" s="409"/>
      <c r="D37" s="225">
        <v>7194697</v>
      </c>
      <c r="E37" s="411">
        <v>7453706092</v>
      </c>
      <c r="F37" s="411"/>
      <c r="G37" s="411"/>
      <c r="H37" s="411"/>
      <c r="I37" s="411"/>
      <c r="J37" s="412"/>
      <c r="K37" s="412"/>
      <c r="L37" s="413"/>
    </row>
    <row r="38" spans="3:12" x14ac:dyDescent="0.25">
      <c r="C38" s="409">
        <v>708</v>
      </c>
      <c r="D38" s="410">
        <v>7592096</v>
      </c>
      <c r="E38" s="411">
        <v>8282722742.3100004</v>
      </c>
      <c r="F38" s="411"/>
      <c r="G38" s="411"/>
      <c r="H38" s="411"/>
      <c r="I38" s="411"/>
      <c r="J38" s="412" t="s">
        <v>101</v>
      </c>
      <c r="K38" s="412" t="s">
        <v>101</v>
      </c>
      <c r="L38" s="413" t="s">
        <v>101</v>
      </c>
    </row>
    <row r="39" spans="3:12" x14ac:dyDescent="0.25">
      <c r="C39" s="409">
        <v>809</v>
      </c>
      <c r="D39" s="410">
        <v>8140742</v>
      </c>
      <c r="E39" s="411">
        <v>8889730826.9799995</v>
      </c>
      <c r="F39" s="437">
        <f>K39/L39-1</f>
        <v>6.1477893849913645E-2</v>
      </c>
      <c r="G39" s="411"/>
      <c r="H39" s="411"/>
      <c r="I39" s="411"/>
      <c r="J39" s="411">
        <v>8552630211.04</v>
      </c>
      <c r="K39" s="411">
        <v>8791927091.8500004</v>
      </c>
      <c r="L39" s="414">
        <v>8282722742.3100004</v>
      </c>
    </row>
    <row r="40" spans="3:12" x14ac:dyDescent="0.25">
      <c r="C40" s="409">
        <v>910</v>
      </c>
      <c r="D40" s="410">
        <v>8465757</v>
      </c>
      <c r="E40" s="411">
        <v>9203218231.8199997</v>
      </c>
      <c r="F40" s="437">
        <f>K40/L40-1</f>
        <v>-1.0596700072638909E-2</v>
      </c>
      <c r="G40" s="411"/>
      <c r="H40" s="411"/>
      <c r="I40" s="411"/>
      <c r="J40" s="411">
        <v>9525111522.9200001</v>
      </c>
      <c r="K40" s="411">
        <v>8795529015.6800003</v>
      </c>
      <c r="L40" s="414">
        <v>8889730826.9799995</v>
      </c>
    </row>
    <row r="41" spans="3:12" ht="15.75" thickBot="1" x14ac:dyDescent="0.3">
      <c r="C41" s="415">
        <v>1011</v>
      </c>
      <c r="D41" s="416">
        <v>8755081</v>
      </c>
      <c r="E41" s="417">
        <v>9695505600.5699997</v>
      </c>
      <c r="F41" s="437">
        <f>K41/L41-1</f>
        <v>5.2692004197329778E-2</v>
      </c>
      <c r="G41" s="417"/>
      <c r="H41" s="417"/>
      <c r="I41" s="417"/>
      <c r="J41" s="417">
        <v>9306704947.6800003</v>
      </c>
      <c r="K41" s="417">
        <v>9688154245.5200005</v>
      </c>
      <c r="L41" s="418">
        <v>9203218231.8199997</v>
      </c>
    </row>
    <row r="42" spans="3:12" ht="15.75" thickBot="1" x14ac:dyDescent="0.3">
      <c r="C42" s="419"/>
      <c r="D42" s="419"/>
      <c r="E42" s="419"/>
      <c r="F42" s="419"/>
      <c r="G42" s="419"/>
      <c r="H42" s="419"/>
      <c r="I42" s="419"/>
      <c r="J42" s="419"/>
      <c r="K42" s="419"/>
      <c r="L42" s="419"/>
    </row>
    <row r="43" spans="3:12" x14ac:dyDescent="0.25">
      <c r="C43" s="1970" t="s">
        <v>446</v>
      </c>
      <c r="D43" s="1971"/>
      <c r="E43" s="1971"/>
      <c r="F43" s="1971"/>
      <c r="G43" s="1971"/>
      <c r="H43" s="1971"/>
      <c r="I43" s="1971"/>
      <c r="J43" s="1971"/>
      <c r="K43" s="1971"/>
      <c r="L43" s="1972"/>
    </row>
    <row r="44" spans="3:12" ht="15.75" thickBot="1" x14ac:dyDescent="0.3">
      <c r="C44" s="1973"/>
      <c r="D44" s="1974"/>
      <c r="E44" s="1974"/>
      <c r="F44" s="1974"/>
      <c r="G44" s="1974"/>
      <c r="H44" s="1974"/>
      <c r="I44" s="1974"/>
      <c r="J44" s="1974"/>
      <c r="K44" s="1974"/>
      <c r="L44" s="1975"/>
    </row>
    <row r="45" spans="3:12" x14ac:dyDescent="0.25">
      <c r="C45" s="406" t="s">
        <v>88</v>
      </c>
      <c r="D45" s="407" t="s">
        <v>97</v>
      </c>
      <c r="E45" s="407" t="s">
        <v>438</v>
      </c>
      <c r="F45" s="407"/>
      <c r="G45" s="407"/>
      <c r="H45" s="407"/>
      <c r="I45" s="407"/>
      <c r="J45" s="407" t="s">
        <v>439</v>
      </c>
      <c r="K45" s="407" t="s">
        <v>440</v>
      </c>
      <c r="L45" s="408" t="s">
        <v>441</v>
      </c>
    </row>
    <row r="46" spans="3:12" x14ac:dyDescent="0.25">
      <c r="C46" s="409"/>
      <c r="D46" s="442">
        <v>6009802</v>
      </c>
      <c r="E46" s="411">
        <v>7271860420</v>
      </c>
      <c r="F46" s="411">
        <v>4.0728285163566191E-2</v>
      </c>
      <c r="G46" s="412">
        <v>4.0753814871525629E-2</v>
      </c>
      <c r="H46" s="411"/>
      <c r="I46" s="411"/>
      <c r="J46" s="412"/>
      <c r="K46" s="412">
        <v>6671741776.1142273</v>
      </c>
      <c r="L46" s="413">
        <v>6410647112.4359436</v>
      </c>
    </row>
    <row r="47" spans="3:12" x14ac:dyDescent="0.25">
      <c r="C47" s="409"/>
      <c r="D47" s="443">
        <v>6291117</v>
      </c>
      <c r="E47" s="411">
        <v>7807276197</v>
      </c>
      <c r="F47" s="411">
        <v>4.6735176645254839E-2</v>
      </c>
      <c r="G47" s="412">
        <v>4.6065860441381945E-2</v>
      </c>
      <c r="H47" s="411"/>
      <c r="I47" s="411"/>
      <c r="J47" s="412"/>
      <c r="K47" s="412">
        <v>7547612053.6969013</v>
      </c>
      <c r="L47" s="413">
        <v>7210622344.695343</v>
      </c>
    </row>
    <row r="48" spans="3:12" x14ac:dyDescent="0.25">
      <c r="C48" s="409"/>
      <c r="D48" s="443">
        <v>6363388</v>
      </c>
      <c r="E48" s="411">
        <v>7916054672</v>
      </c>
      <c r="F48" s="411">
        <v>1.4380080660301164E-2</v>
      </c>
      <c r="G48" s="412">
        <v>1.4380076912181794E-2</v>
      </c>
      <c r="H48" s="411"/>
      <c r="I48" s="411"/>
      <c r="J48" s="412"/>
      <c r="K48" s="412">
        <v>7916625917.7388611</v>
      </c>
      <c r="L48" s="413">
        <v>7804398044.3559265</v>
      </c>
    </row>
    <row r="49" spans="3:12" x14ac:dyDescent="0.25">
      <c r="C49" s="409">
        <v>708</v>
      </c>
      <c r="D49" s="410">
        <v>6550929</v>
      </c>
      <c r="E49" s="411">
        <v>8107229104.7700005</v>
      </c>
      <c r="F49" s="411">
        <v>-1.5793066750017126E-2</v>
      </c>
      <c r="G49" s="412">
        <v>-1.5793066750017126E-2</v>
      </c>
      <c r="H49" s="411">
        <v>8107229104.7700005</v>
      </c>
      <c r="I49" s="411"/>
      <c r="J49" s="412" t="s">
        <v>101</v>
      </c>
      <c r="K49" s="412" t="s">
        <v>101</v>
      </c>
      <c r="L49" s="413" t="s">
        <v>101</v>
      </c>
    </row>
    <row r="50" spans="3:12" x14ac:dyDescent="0.25">
      <c r="C50" s="409">
        <v>809</v>
      </c>
      <c r="D50" s="410">
        <v>6782044</v>
      </c>
      <c r="E50" s="411">
        <v>8821793808.3400002</v>
      </c>
      <c r="F50" s="437">
        <f>K50/L50-1</f>
        <v>1.1985438649171565E-2</v>
      </c>
      <c r="G50" s="411">
        <v>4.1775224961970281E-2</v>
      </c>
      <c r="H50" s="411">
        <v>8821793808.3400002</v>
      </c>
      <c r="I50" s="411">
        <v>4.1775224961970281E-2</v>
      </c>
      <c r="J50" s="411">
        <v>8769742213.1100006</v>
      </c>
      <c r="K50" s="411">
        <v>8204397801.8199997</v>
      </c>
      <c r="L50" s="414">
        <v>8107229104.7700005</v>
      </c>
    </row>
    <row r="51" spans="3:12" x14ac:dyDescent="0.25">
      <c r="C51" s="409">
        <v>910</v>
      </c>
      <c r="D51" s="410">
        <v>6951379</v>
      </c>
      <c r="E51" s="411">
        <v>9419309256.6399994</v>
      </c>
      <c r="F51" s="437">
        <f>K51/L51-1</f>
        <v>2.86575695808029E-2</v>
      </c>
      <c r="G51" s="411">
        <v>4.021825709920579E-2</v>
      </c>
      <c r="H51" s="411">
        <v>9419309256.6399994</v>
      </c>
      <c r="I51" s="411">
        <v>4.021825709920579E-2</v>
      </c>
      <c r="J51" s="411">
        <v>9210379986.3999996</v>
      </c>
      <c r="K51" s="411">
        <v>9074604978.2299995</v>
      </c>
      <c r="L51" s="414">
        <v>8821793808.3400002</v>
      </c>
    </row>
    <row r="52" spans="3:12" ht="15.75" thickBot="1" x14ac:dyDescent="0.3">
      <c r="C52" s="415">
        <v>1011</v>
      </c>
      <c r="D52" s="416">
        <v>7109358</v>
      </c>
      <c r="E52" s="417">
        <v>9939390774.7299995</v>
      </c>
      <c r="F52" s="437">
        <f>K52/L52-1</f>
        <v>3.3484150741485141E-2</v>
      </c>
      <c r="G52" s="417">
        <v>4.933212451989899E-2</v>
      </c>
      <c r="H52" s="417">
        <v>9939390774.7299995</v>
      </c>
      <c r="I52" s="417">
        <v>4.933212451989899E-2</v>
      </c>
      <c r="J52" s="417">
        <v>9631974716.4599991</v>
      </c>
      <c r="K52" s="417">
        <v>9734706827.6700001</v>
      </c>
      <c r="L52" s="418">
        <v>9419309256.6399994</v>
      </c>
    </row>
    <row r="53" spans="3:12" ht="15.75" thickBot="1" x14ac:dyDescent="0.3">
      <c r="C53" s="419"/>
      <c r="D53" s="419"/>
      <c r="E53" s="419"/>
      <c r="F53" s="419"/>
      <c r="G53" s="419"/>
      <c r="H53" s="419"/>
      <c r="I53" s="419"/>
      <c r="J53" s="419"/>
      <c r="K53" s="419"/>
      <c r="L53" s="419"/>
    </row>
    <row r="54" spans="3:12" ht="18.75" thickBot="1" x14ac:dyDescent="0.3">
      <c r="C54" s="1976" t="s">
        <v>447</v>
      </c>
      <c r="D54" s="1977"/>
      <c r="E54" s="1977"/>
      <c r="F54" s="1977"/>
      <c r="G54" s="1977"/>
      <c r="H54" s="1977"/>
      <c r="I54" s="1977"/>
      <c r="J54" s="1977"/>
      <c r="K54" s="1977"/>
      <c r="L54" s="1978"/>
    </row>
    <row r="55" spans="3:12" x14ac:dyDescent="0.25">
      <c r="C55" s="406" t="s">
        <v>88</v>
      </c>
      <c r="D55" s="407" t="s">
        <v>97</v>
      </c>
      <c r="E55" s="407" t="s">
        <v>438</v>
      </c>
      <c r="F55" s="407"/>
      <c r="G55" s="407"/>
      <c r="H55" s="407"/>
      <c r="I55" s="407"/>
      <c r="J55" s="407" t="s">
        <v>439</v>
      </c>
      <c r="K55" s="407" t="s">
        <v>443</v>
      </c>
      <c r="L55" s="408" t="s">
        <v>441</v>
      </c>
    </row>
    <row r="56" spans="3:12" x14ac:dyDescent="0.25">
      <c r="C56" s="409"/>
      <c r="D56" s="410"/>
      <c r="E56" s="411"/>
      <c r="F56" s="411"/>
      <c r="G56" s="411"/>
      <c r="H56" s="411"/>
      <c r="I56" s="411"/>
      <c r="J56" s="412"/>
      <c r="K56" s="412"/>
      <c r="L56" s="413"/>
    </row>
    <row r="57" spans="3:12" x14ac:dyDescent="0.25">
      <c r="C57" s="409"/>
      <c r="D57" s="410"/>
      <c r="E57" s="411"/>
      <c r="F57" s="411"/>
      <c r="G57" s="411"/>
      <c r="H57" s="411"/>
      <c r="I57" s="411"/>
      <c r="J57" s="412"/>
      <c r="K57" s="412"/>
      <c r="L57" s="413"/>
    </row>
    <row r="58" spans="3:12" x14ac:dyDescent="0.25">
      <c r="C58" s="409"/>
      <c r="D58" s="410"/>
      <c r="E58" s="411"/>
      <c r="F58" s="411"/>
      <c r="G58" s="411"/>
      <c r="H58" s="411"/>
      <c r="I58" s="411"/>
      <c r="J58" s="412"/>
      <c r="K58" s="412"/>
      <c r="L58" s="413"/>
    </row>
    <row r="59" spans="3:12" x14ac:dyDescent="0.25">
      <c r="C59" s="409">
        <v>708</v>
      </c>
      <c r="D59" s="410">
        <v>6550929</v>
      </c>
      <c r="E59" s="411">
        <v>8107229104.7700005</v>
      </c>
      <c r="F59" s="411"/>
      <c r="G59" s="411"/>
      <c r="H59" s="411"/>
      <c r="I59" s="411"/>
      <c r="J59" s="412" t="s">
        <v>101</v>
      </c>
      <c r="K59" s="412" t="s">
        <v>101</v>
      </c>
      <c r="L59" s="413" t="s">
        <v>101</v>
      </c>
    </row>
    <row r="60" spans="3:12" x14ac:dyDescent="0.25">
      <c r="C60" s="409">
        <v>809</v>
      </c>
      <c r="D60" s="410">
        <v>6782044</v>
      </c>
      <c r="E60" s="411">
        <v>8821793808.3400002</v>
      </c>
      <c r="F60" s="437">
        <f>K60/L60-1</f>
        <v>4.1775224961970281E-2</v>
      </c>
      <c r="G60" s="411"/>
      <c r="H60" s="411"/>
      <c r="I60" s="411"/>
      <c r="J60" s="411">
        <v>8769742213.1100006</v>
      </c>
      <c r="K60" s="411">
        <v>8445910424.4399996</v>
      </c>
      <c r="L60" s="414">
        <v>8107229104.7700005</v>
      </c>
    </row>
    <row r="61" spans="3:12" x14ac:dyDescent="0.25">
      <c r="C61" s="409">
        <v>910</v>
      </c>
      <c r="D61" s="410">
        <v>6951379</v>
      </c>
      <c r="E61" s="411">
        <v>9419309256.6399994</v>
      </c>
      <c r="F61" s="437">
        <f>K61/L61-1</f>
        <v>4.021825709920579E-2</v>
      </c>
      <c r="G61" s="411"/>
      <c r="H61" s="411"/>
      <c r="I61" s="411"/>
      <c r="J61" s="411">
        <v>9210379986.3999996</v>
      </c>
      <c r="K61" s="411">
        <v>9176590979.7999992</v>
      </c>
      <c r="L61" s="414">
        <v>8821793808.3400002</v>
      </c>
    </row>
    <row r="62" spans="3:12" ht="15.75" thickBot="1" x14ac:dyDescent="0.3">
      <c r="C62" s="415">
        <v>1011</v>
      </c>
      <c r="D62" s="416">
        <v>7109358</v>
      </c>
      <c r="E62" s="417">
        <v>9939390774.7299995</v>
      </c>
      <c r="F62" s="437">
        <f>K62/L62-1</f>
        <v>4.933212451989899E-2</v>
      </c>
      <c r="G62" s="417"/>
      <c r="H62" s="417"/>
      <c r="I62" s="417"/>
      <c r="J62" s="417">
        <v>9631974716.4599991</v>
      </c>
      <c r="K62" s="417">
        <v>9883983793.7800007</v>
      </c>
      <c r="L62" s="418">
        <v>9419309256.6399994</v>
      </c>
    </row>
    <row r="63" spans="3:12" ht="15.75" thickBot="1" x14ac:dyDescent="0.3">
      <c r="C63" s="419"/>
      <c r="D63" s="419"/>
      <c r="E63" s="419"/>
      <c r="F63" s="419"/>
      <c r="G63" s="419"/>
      <c r="H63" s="419"/>
      <c r="I63" s="419"/>
      <c r="J63" s="419"/>
      <c r="K63" s="419"/>
      <c r="L63" s="419"/>
    </row>
    <row r="64" spans="3:12" x14ac:dyDescent="0.25">
      <c r="C64" s="1970" t="s">
        <v>448</v>
      </c>
      <c r="D64" s="1971"/>
      <c r="E64" s="1971"/>
      <c r="F64" s="1971"/>
      <c r="G64" s="1971"/>
      <c r="H64" s="1971"/>
      <c r="I64" s="1971"/>
      <c r="J64" s="1971"/>
      <c r="K64" s="1971"/>
      <c r="L64" s="1972"/>
    </row>
    <row r="65" spans="2:15" ht="15.75" thickBot="1" x14ac:dyDescent="0.3">
      <c r="C65" s="1973"/>
      <c r="D65" s="1974"/>
      <c r="E65" s="1974"/>
      <c r="F65" s="1974"/>
      <c r="G65" s="1974"/>
      <c r="H65" s="1974"/>
      <c r="I65" s="1974"/>
      <c r="J65" s="1974"/>
      <c r="K65" s="1974"/>
      <c r="L65" s="1975"/>
    </row>
    <row r="66" spans="2:15" x14ac:dyDescent="0.25">
      <c r="C66" s="406" t="s">
        <v>88</v>
      </c>
      <c r="D66" s="407" t="s">
        <v>97</v>
      </c>
      <c r="E66" s="407" t="s">
        <v>438</v>
      </c>
      <c r="F66" s="407"/>
      <c r="G66" s="407"/>
      <c r="H66" s="407"/>
      <c r="I66" s="407"/>
      <c r="J66" s="407" t="s">
        <v>439</v>
      </c>
      <c r="K66" s="407" t="s">
        <v>440</v>
      </c>
      <c r="L66" s="408" t="s">
        <v>441</v>
      </c>
    </row>
    <row r="67" spans="2:15" x14ac:dyDescent="0.25">
      <c r="C67" s="409"/>
      <c r="D67" s="410">
        <v>169607</v>
      </c>
      <c r="E67" s="411">
        <v>125470796</v>
      </c>
      <c r="F67" s="437">
        <f>J67/L67-1</f>
        <v>1.2409982751631521E-2</v>
      </c>
      <c r="G67" s="437">
        <v>7.8148113714905376E-2</v>
      </c>
      <c r="H67" s="411"/>
      <c r="I67" s="411"/>
      <c r="J67" s="411">
        <v>147013152.60668945</v>
      </c>
      <c r="K67" s="412"/>
      <c r="L67" s="412">
        <v>145211085.53979492</v>
      </c>
      <c r="M67" s="412"/>
      <c r="N67" s="412"/>
      <c r="O67" s="412"/>
    </row>
    <row r="68" spans="2:15" x14ac:dyDescent="0.25">
      <c r="C68" s="409"/>
      <c r="D68" s="410">
        <v>161642</v>
      </c>
      <c r="E68" s="411">
        <v>121645436</v>
      </c>
      <c r="F68" s="437">
        <f>J68/L68-1</f>
        <v>-4.2750488320491109E-2</v>
      </c>
      <c r="G68" s="437">
        <v>-5.6474466590093031E-2</v>
      </c>
      <c r="H68" s="411"/>
      <c r="I68" s="411"/>
      <c r="J68" s="411">
        <v>150187673.2243042</v>
      </c>
      <c r="K68" s="412"/>
      <c r="L68" s="412">
        <v>156895011.58459473</v>
      </c>
    </row>
    <row r="69" spans="2:15" x14ac:dyDescent="0.25">
      <c r="C69" s="409"/>
      <c r="D69" s="410">
        <v>153968</v>
      </c>
      <c r="E69" s="411">
        <v>116946720</v>
      </c>
      <c r="F69" s="437">
        <f>J69/L69-1</f>
        <v>-4.4981818651237626E-2</v>
      </c>
      <c r="G69" s="437">
        <v>-4.6826399546244679E-2</v>
      </c>
      <c r="H69" s="411"/>
      <c r="I69" s="411"/>
      <c r="J69" s="411">
        <v>142827800.38867187</v>
      </c>
      <c r="K69" s="412"/>
      <c r="L69" s="412">
        <v>149555058.92773437</v>
      </c>
    </row>
    <row r="70" spans="2:15" x14ac:dyDescent="0.25">
      <c r="C70" s="409">
        <v>708</v>
      </c>
      <c r="D70" s="410">
        <v>145379</v>
      </c>
      <c r="E70" s="411">
        <v>389080903.73000002</v>
      </c>
      <c r="F70" s="437">
        <f>J70/L70-1</f>
        <v>-8.4477568510430312E-2</v>
      </c>
      <c r="G70" s="437">
        <v>0.74517052648495929</v>
      </c>
      <c r="H70" s="411">
        <v>389080903.73000002</v>
      </c>
      <c r="I70" s="411"/>
      <c r="J70" s="412">
        <v>130159319.81350754</v>
      </c>
      <c r="K70" s="412"/>
      <c r="L70" s="412">
        <v>142169449.19824219</v>
      </c>
    </row>
    <row r="71" spans="2:15" x14ac:dyDescent="0.25">
      <c r="C71" s="409">
        <v>809</v>
      </c>
      <c r="D71" s="410">
        <v>134267</v>
      </c>
      <c r="E71" s="411">
        <v>375971739.5</v>
      </c>
      <c r="F71" s="437">
        <f>K71/L71-1</f>
        <v>-6.472908471878358E-2</v>
      </c>
      <c r="G71" s="411">
        <v>-2.9650681874651252E-2</v>
      </c>
      <c r="H71" s="411">
        <v>375971739.5</v>
      </c>
      <c r="I71" s="411">
        <v>-2.9650681874651252E-2</v>
      </c>
      <c r="J71" s="411">
        <v>402280658.25999999</v>
      </c>
      <c r="K71" s="411">
        <v>363896052.94999999</v>
      </c>
      <c r="L71" s="414">
        <v>389080903.73000002</v>
      </c>
    </row>
    <row r="72" spans="2:15" x14ac:dyDescent="0.25">
      <c r="C72" s="409">
        <v>910</v>
      </c>
      <c r="D72" s="410">
        <v>149753</v>
      </c>
      <c r="E72" s="411">
        <v>413305127.63999999</v>
      </c>
      <c r="F72" s="437">
        <f>K72/L72-1</f>
        <v>0.1164256895430833</v>
      </c>
      <c r="G72" s="411">
        <v>0.13204627285556914</v>
      </c>
      <c r="H72" s="411">
        <v>413305127.63999999</v>
      </c>
      <c r="I72" s="411">
        <v>0.13204627285556914</v>
      </c>
      <c r="J72" s="411">
        <v>370206970.31</v>
      </c>
      <c r="K72" s="411">
        <v>419744508.51999998</v>
      </c>
      <c r="L72" s="414">
        <v>375971739.5</v>
      </c>
    </row>
    <row r="73" spans="2:15" ht="15.75" thickBot="1" x14ac:dyDescent="0.3">
      <c r="B73" s="494">
        <f>E73/D73</f>
        <v>2837.5868320588743</v>
      </c>
      <c r="C73" s="415">
        <v>1011</v>
      </c>
      <c r="D73" s="416">
        <v>156537</v>
      </c>
      <c r="E73" s="417">
        <v>444187329.93000001</v>
      </c>
      <c r="F73" s="437">
        <f>K73/L73-1</f>
        <v>4.2866387531083294E-2</v>
      </c>
      <c r="G73" s="417">
        <v>5.6120629285304702E-2</v>
      </c>
      <c r="H73" s="417">
        <v>444187329.93000001</v>
      </c>
      <c r="I73" s="417">
        <v>5.6120629285304702E-2</v>
      </c>
      <c r="J73" s="417">
        <v>425937642.10000002</v>
      </c>
      <c r="K73" s="417">
        <v>431022025.41000003</v>
      </c>
      <c r="L73" s="418">
        <v>413305127.63999999</v>
      </c>
    </row>
    <row r="74" spans="2:15" ht="15.75" thickBot="1" x14ac:dyDescent="0.3">
      <c r="C74" s="419"/>
      <c r="D74" s="419"/>
      <c r="E74" s="419"/>
      <c r="F74" s="419"/>
      <c r="G74" s="419"/>
      <c r="H74" s="419"/>
      <c r="I74" s="419"/>
      <c r="J74" s="419"/>
      <c r="K74" s="419"/>
      <c r="L74" s="419"/>
    </row>
    <row r="75" spans="2:15" ht="18.75" thickBot="1" x14ac:dyDescent="0.3">
      <c r="C75" s="1976" t="s">
        <v>449</v>
      </c>
      <c r="D75" s="1977"/>
      <c r="E75" s="1977"/>
      <c r="F75" s="1977"/>
      <c r="G75" s="1977"/>
      <c r="H75" s="1977"/>
      <c r="I75" s="1977"/>
      <c r="J75" s="1977"/>
      <c r="K75" s="1977"/>
      <c r="L75" s="1978"/>
    </row>
    <row r="76" spans="2:15" x14ac:dyDescent="0.25">
      <c r="C76" s="406" t="s">
        <v>88</v>
      </c>
      <c r="D76" s="407" t="s">
        <v>97</v>
      </c>
      <c r="E76" s="407" t="s">
        <v>438</v>
      </c>
      <c r="F76" s="407"/>
      <c r="G76" s="407"/>
      <c r="H76" s="407"/>
      <c r="I76" s="407"/>
      <c r="J76" s="407" t="s">
        <v>439</v>
      </c>
      <c r="K76" s="407" t="s">
        <v>443</v>
      </c>
      <c r="L76" s="408" t="s">
        <v>441</v>
      </c>
    </row>
    <row r="77" spans="2:15" x14ac:dyDescent="0.25">
      <c r="C77" s="409"/>
      <c r="D77" s="410">
        <v>169607</v>
      </c>
      <c r="E77" s="411"/>
      <c r="F77" s="437">
        <f t="shared" ref="F77:F83" si="0">K77/L77-1</f>
        <v>7.8148113714905376E-2</v>
      </c>
      <c r="G77" s="411"/>
      <c r="H77" s="411"/>
      <c r="I77" s="411"/>
      <c r="J77" s="412"/>
      <c r="K77" s="412">
        <v>156559057.96522367</v>
      </c>
      <c r="L77" s="412">
        <v>145211085.53979492</v>
      </c>
    </row>
    <row r="78" spans="2:15" x14ac:dyDescent="0.25">
      <c r="C78" s="409"/>
      <c r="D78" s="410">
        <v>161642</v>
      </c>
      <c r="E78" s="411"/>
      <c r="F78" s="437">
        <f t="shared" si="0"/>
        <v>-5.6474466590093031E-2</v>
      </c>
      <c r="G78" s="411"/>
      <c r="H78" s="411"/>
      <c r="I78" s="411"/>
      <c r="J78" s="412"/>
      <c r="K78" s="412">
        <v>148034449.49470827</v>
      </c>
      <c r="L78" s="412">
        <v>156895011.58459473</v>
      </c>
    </row>
    <row r="79" spans="2:15" x14ac:dyDescent="0.25">
      <c r="C79" s="409"/>
      <c r="D79" s="410">
        <v>153968</v>
      </c>
      <c r="E79" s="411"/>
      <c r="F79" s="437">
        <f t="shared" si="0"/>
        <v>-4.6826399546244679E-2</v>
      </c>
      <c r="G79" s="411"/>
      <c r="H79" s="411"/>
      <c r="I79" s="411"/>
      <c r="J79" s="412"/>
      <c r="K79" s="412">
        <v>142551933.98422211</v>
      </c>
      <c r="L79" s="412">
        <v>149555058.92773437</v>
      </c>
    </row>
    <row r="80" spans="2:15" x14ac:dyDescent="0.25">
      <c r="C80" s="409">
        <v>708</v>
      </c>
      <c r="D80" s="410">
        <v>145379</v>
      </c>
      <c r="E80" s="411">
        <v>389080903.73000002</v>
      </c>
      <c r="F80" s="437">
        <f t="shared" si="0"/>
        <v>0.74517052648495929</v>
      </c>
      <c r="G80" s="411"/>
      <c r="H80" s="411"/>
      <c r="I80" s="411"/>
      <c r="J80" s="412" t="s">
        <v>101</v>
      </c>
      <c r="K80" s="412">
        <v>248109932.50737301</v>
      </c>
      <c r="L80" s="412">
        <v>142169449.19824219</v>
      </c>
    </row>
    <row r="81" spans="3:21" ht="15.75" thickBot="1" x14ac:dyDescent="0.3">
      <c r="C81" s="409">
        <v>809</v>
      </c>
      <c r="D81" s="410">
        <v>134267</v>
      </c>
      <c r="E81" s="411">
        <v>375971739.5</v>
      </c>
      <c r="F81" s="437">
        <f t="shared" si="0"/>
        <v>-2.9650681874651252E-2</v>
      </c>
      <c r="G81" s="411"/>
      <c r="H81" s="411"/>
      <c r="I81" s="411"/>
      <c r="J81" s="411">
        <v>402280658.25999999</v>
      </c>
      <c r="K81" s="411">
        <v>377544389.63</v>
      </c>
      <c r="L81" s="414">
        <v>389080903.73000002</v>
      </c>
    </row>
    <row r="82" spans="3:21" ht="25.5" x14ac:dyDescent="0.25">
      <c r="C82" s="409">
        <v>910</v>
      </c>
      <c r="D82" s="410">
        <v>149753</v>
      </c>
      <c r="E82" s="411">
        <v>413305127.63999999</v>
      </c>
      <c r="F82" s="437">
        <f t="shared" si="0"/>
        <v>0.13204627285556914</v>
      </c>
      <c r="G82" s="411"/>
      <c r="H82" s="411"/>
      <c r="I82" s="411"/>
      <c r="J82" s="411">
        <v>370206970.31</v>
      </c>
      <c r="K82" s="411">
        <v>425617406.39999998</v>
      </c>
      <c r="L82" s="414">
        <v>375971739.5</v>
      </c>
      <c r="P82" s="420" t="s">
        <v>1</v>
      </c>
      <c r="Q82" s="421" t="s">
        <v>139</v>
      </c>
      <c r="R82" s="421" t="s">
        <v>92</v>
      </c>
      <c r="S82" s="421" t="s">
        <v>451</v>
      </c>
    </row>
    <row r="83" spans="3:21" ht="15.75" thickBot="1" x14ac:dyDescent="0.3">
      <c r="C83" s="415">
        <v>1011</v>
      </c>
      <c r="D83" s="416">
        <v>156537</v>
      </c>
      <c r="E83" s="417">
        <v>444187329.93000001</v>
      </c>
      <c r="F83" s="437">
        <f t="shared" si="0"/>
        <v>5.6120629285304702E-2</v>
      </c>
      <c r="G83" s="417"/>
      <c r="H83" s="417"/>
      <c r="I83" s="417"/>
      <c r="J83" s="417">
        <v>425937642.10000002</v>
      </c>
      <c r="K83" s="417">
        <v>436500071.49000001</v>
      </c>
      <c r="L83" s="418">
        <v>413305127.63999999</v>
      </c>
      <c r="P83" s="424"/>
      <c r="Q83" s="425"/>
      <c r="R83" s="426"/>
      <c r="S83" s="427"/>
    </row>
    <row r="84" spans="3:21" ht="15.75" thickBot="1" x14ac:dyDescent="0.3">
      <c r="P84" s="424"/>
      <c r="Q84" s="425"/>
      <c r="R84" s="426"/>
      <c r="S84" s="427"/>
    </row>
    <row r="85" spans="3:21" ht="25.5" x14ac:dyDescent="0.25">
      <c r="C85" s="420" t="s">
        <v>1</v>
      </c>
      <c r="D85" s="421" t="s">
        <v>139</v>
      </c>
      <c r="E85" s="421" t="s">
        <v>92</v>
      </c>
      <c r="F85" s="421"/>
      <c r="G85" s="421"/>
      <c r="H85" s="421"/>
      <c r="I85" s="421"/>
      <c r="J85" s="421" t="s">
        <v>140</v>
      </c>
      <c r="K85" s="421" t="s">
        <v>141</v>
      </c>
      <c r="L85" s="422" t="s">
        <v>142</v>
      </c>
      <c r="M85" s="423"/>
      <c r="N85" s="423"/>
      <c r="O85" s="423"/>
      <c r="P85" s="424"/>
      <c r="Q85" s="425"/>
      <c r="R85" s="426"/>
      <c r="S85" s="427"/>
      <c r="T85" s="421" t="s">
        <v>141</v>
      </c>
      <c r="U85" s="422" t="s">
        <v>142</v>
      </c>
    </row>
    <row r="86" spans="3:21" x14ac:dyDescent="0.25">
      <c r="C86" s="424"/>
      <c r="D86" s="425">
        <v>52724302</v>
      </c>
      <c r="E86" s="427">
        <v>5569045486.7889786</v>
      </c>
      <c r="F86" s="437">
        <f>J86/L86-1</f>
        <v>0.10142546919528872</v>
      </c>
      <c r="G86" s="427"/>
      <c r="H86" s="426"/>
      <c r="I86" s="426"/>
      <c r="J86" s="427">
        <v>5424654905.8055468</v>
      </c>
      <c r="K86" s="427"/>
      <c r="L86" s="427">
        <v>4925122087.2610188</v>
      </c>
      <c r="M86" s="429"/>
      <c r="N86" s="423"/>
      <c r="O86" s="423"/>
      <c r="P86" s="424" t="s">
        <v>4</v>
      </c>
      <c r="Q86" s="425">
        <v>69678564</v>
      </c>
      <c r="R86" s="426">
        <v>6552679133</v>
      </c>
      <c r="S86" s="427" t="s">
        <v>101</v>
      </c>
      <c r="T86" s="427"/>
      <c r="U86" s="428"/>
    </row>
    <row r="87" spans="3:21" x14ac:dyDescent="0.25">
      <c r="C87" s="424"/>
      <c r="D87" s="425">
        <v>60541477</v>
      </c>
      <c r="E87" s="427">
        <v>6213177870.8596992</v>
      </c>
      <c r="F87" s="437">
        <f>J87/L87-1</f>
        <v>9.8719895811427483E-2</v>
      </c>
      <c r="G87" s="427">
        <v>3.9181130255050434E-2</v>
      </c>
      <c r="H87" s="426"/>
      <c r="I87" s="426"/>
      <c r="J87" s="427">
        <v>6118821077.0138874</v>
      </c>
      <c r="K87" s="427"/>
      <c r="L87" s="427">
        <v>5569045486.7889786</v>
      </c>
      <c r="M87" s="429"/>
      <c r="N87" s="423"/>
      <c r="O87" s="423"/>
      <c r="P87" s="424" t="s">
        <v>5</v>
      </c>
      <c r="Q87" s="425">
        <v>74421017</v>
      </c>
      <c r="R87" s="426">
        <v>7317052852</v>
      </c>
      <c r="S87" s="426">
        <v>7044164800</v>
      </c>
      <c r="T87" s="427"/>
      <c r="U87" s="428"/>
    </row>
    <row r="88" spans="3:21" x14ac:dyDescent="0.25">
      <c r="C88" s="424"/>
      <c r="D88" s="425">
        <v>63453507</v>
      </c>
      <c r="E88" s="427">
        <v>5880117484.2040462</v>
      </c>
      <c r="F88" s="437">
        <f>J88/L88-1</f>
        <v>-6.8552823741646063E-2</v>
      </c>
      <c r="G88" s="427">
        <v>-6.8552823741646063E-2</v>
      </c>
      <c r="H88" s="426"/>
      <c r="I88" s="426"/>
      <c r="J88" s="427">
        <v>5787246983.4031582</v>
      </c>
      <c r="K88" s="427"/>
      <c r="L88" s="427">
        <v>6213177870.8596992</v>
      </c>
      <c r="M88" s="429"/>
      <c r="N88" s="423"/>
      <c r="O88" s="423"/>
      <c r="P88" s="424" t="s">
        <v>6</v>
      </c>
      <c r="Q88" s="425">
        <v>76761100</v>
      </c>
      <c r="R88" s="426">
        <v>7623618289</v>
      </c>
      <c r="S88" s="426">
        <v>7460414658</v>
      </c>
      <c r="T88" s="427"/>
      <c r="U88" s="428"/>
    </row>
    <row r="89" spans="3:21" ht="15.75" thickBot="1" x14ac:dyDescent="0.3">
      <c r="C89" s="424" t="s">
        <v>4</v>
      </c>
      <c r="D89" s="425">
        <v>69678564</v>
      </c>
      <c r="E89" s="426">
        <v>6552679133</v>
      </c>
      <c r="F89" s="437">
        <f>J89/L89-1</f>
        <v>0.11437894746196453</v>
      </c>
      <c r="G89" s="427">
        <v>8.1592493501527752E-2</v>
      </c>
      <c r="H89" s="426">
        <v>6552679133</v>
      </c>
      <c r="I89" s="426"/>
      <c r="J89" s="426">
        <f>E89</f>
        <v>6552679133</v>
      </c>
      <c r="K89" s="427" t="s">
        <v>101</v>
      </c>
      <c r="L89" s="427">
        <v>5880117484.2040462</v>
      </c>
      <c r="M89" s="429">
        <f>E89/D89</f>
        <v>94.041535256093965</v>
      </c>
      <c r="N89" s="423"/>
      <c r="O89" s="423"/>
      <c r="P89" s="432" t="s">
        <v>7</v>
      </c>
      <c r="Q89" s="433">
        <v>81263904</v>
      </c>
      <c r="R89" s="434">
        <v>8516922013</v>
      </c>
      <c r="S89" s="434">
        <v>8401423542</v>
      </c>
      <c r="T89" s="427" t="s">
        <v>101</v>
      </c>
      <c r="U89" s="428" t="s">
        <v>101</v>
      </c>
    </row>
    <row r="90" spans="3:21" x14ac:dyDescent="0.25">
      <c r="C90" s="424" t="s">
        <v>5</v>
      </c>
      <c r="D90" s="425">
        <v>74421017</v>
      </c>
      <c r="E90" s="426">
        <v>7317052852</v>
      </c>
      <c r="F90" s="437">
        <f>K90/L90-1</f>
        <v>4.3189293776056958E-2</v>
      </c>
      <c r="G90" s="426">
        <v>7.5530951423579351E-2</v>
      </c>
      <c r="H90" s="426">
        <v>7317052852</v>
      </c>
      <c r="I90" s="426">
        <v>7.5530951423579351E-2</v>
      </c>
      <c r="J90" s="426">
        <v>7041261652</v>
      </c>
      <c r="K90" s="426">
        <v>6832343870</v>
      </c>
      <c r="L90" s="430">
        <v>6549476601</v>
      </c>
      <c r="M90" s="429">
        <f>E90/D90</f>
        <v>98.319710573157039</v>
      </c>
      <c r="N90" s="431">
        <f>J90/L90-1</f>
        <v>7.5087687300831485E-2</v>
      </c>
      <c r="O90" s="423"/>
      <c r="T90" s="426">
        <v>6832343870</v>
      </c>
      <c r="U90" s="430">
        <v>6549476601</v>
      </c>
    </row>
    <row r="91" spans="3:21" x14ac:dyDescent="0.25">
      <c r="C91" s="424" t="s">
        <v>6</v>
      </c>
      <c r="D91" s="425">
        <v>76761100</v>
      </c>
      <c r="E91" s="426">
        <v>7623618289</v>
      </c>
      <c r="F91" s="437">
        <f>K91/L91-1</f>
        <v>6.8588948464016086E-2</v>
      </c>
      <c r="G91" s="426">
        <v>2.0073430802318493E-2</v>
      </c>
      <c r="H91" s="426">
        <v>7623618289</v>
      </c>
      <c r="I91" s="426">
        <v>2.0073430802318493E-2</v>
      </c>
      <c r="J91" s="426">
        <v>7461952695</v>
      </c>
      <c r="K91" s="426">
        <v>7815238015</v>
      </c>
      <c r="L91" s="430">
        <v>7313605504</v>
      </c>
      <c r="M91" s="429">
        <f>E91/D91</f>
        <v>99.316167811560803</v>
      </c>
      <c r="N91" s="431">
        <f>J91/L91-1</f>
        <v>2.0283728855605476E-2</v>
      </c>
      <c r="O91" s="423"/>
      <c r="T91" s="426">
        <v>7815238015</v>
      </c>
      <c r="U91" s="430">
        <v>7313605504</v>
      </c>
    </row>
    <row r="92" spans="3:21" ht="15.75" thickBot="1" x14ac:dyDescent="0.3">
      <c r="C92" s="432" t="s">
        <v>7</v>
      </c>
      <c r="D92" s="433">
        <v>81263904</v>
      </c>
      <c r="E92" s="434">
        <v>8516922013</v>
      </c>
      <c r="F92" s="437">
        <f>K92/L92-1</f>
        <v>3.6282611852473945E-2</v>
      </c>
      <c r="G92" s="434">
        <v>0.10078240201895516</v>
      </c>
      <c r="H92" s="434">
        <v>8516922013</v>
      </c>
      <c r="I92" s="434">
        <v>0.10078240201895516</v>
      </c>
      <c r="J92" s="434">
        <v>8403055628</v>
      </c>
      <c r="K92" s="434">
        <v>7909146363</v>
      </c>
      <c r="L92" s="435">
        <v>7632229155</v>
      </c>
      <c r="M92" s="429">
        <f>E92/D92</f>
        <v>104.80572054475749</v>
      </c>
      <c r="N92" s="431">
        <f>J92/L92-1</f>
        <v>0.10099624334458279</v>
      </c>
      <c r="O92" s="423"/>
      <c r="T92" s="434">
        <v>7909146363</v>
      </c>
      <c r="U92" s="435">
        <v>7632229155</v>
      </c>
    </row>
    <row r="93" spans="3:21" ht="15.75" thickBot="1" x14ac:dyDescent="0.3"/>
    <row r="94" spans="3:21" ht="25.5" x14ac:dyDescent="0.25">
      <c r="C94" s="420" t="s">
        <v>1</v>
      </c>
      <c r="D94" s="421" t="s">
        <v>139</v>
      </c>
      <c r="E94" s="421" t="s">
        <v>92</v>
      </c>
      <c r="F94" s="421"/>
      <c r="G94" s="421"/>
      <c r="H94" s="421"/>
      <c r="I94" s="421"/>
      <c r="J94" s="421" t="s">
        <v>451</v>
      </c>
      <c r="K94" s="421" t="s">
        <v>141</v>
      </c>
      <c r="L94" s="422" t="s">
        <v>142</v>
      </c>
    </row>
    <row r="95" spans="3:21" x14ac:dyDescent="0.25">
      <c r="C95" s="424"/>
      <c r="D95" s="425">
        <v>52724302</v>
      </c>
      <c r="E95" s="426"/>
      <c r="F95" s="437"/>
      <c r="G95" s="426"/>
      <c r="H95" s="426"/>
      <c r="I95" s="426"/>
      <c r="J95" s="427">
        <v>6118821077.0138874</v>
      </c>
      <c r="K95" s="427"/>
      <c r="L95" s="428"/>
    </row>
    <row r="96" spans="3:21" x14ac:dyDescent="0.25">
      <c r="C96" s="424"/>
      <c r="D96" s="425">
        <v>60541477</v>
      </c>
      <c r="E96" s="426"/>
      <c r="F96" s="437">
        <f t="shared" ref="F96:F101" si="1">J96/L96-1</f>
        <v>3.9181130255050434E-2</v>
      </c>
      <c r="G96" s="426"/>
      <c r="H96" s="426"/>
      <c r="I96" s="426"/>
      <c r="J96" s="427">
        <v>5787246983.4031582</v>
      </c>
      <c r="K96" s="427">
        <v>5569045486.7889786</v>
      </c>
      <c r="L96" s="427">
        <v>5569045486.7889786</v>
      </c>
    </row>
    <row r="97" spans="3:12" x14ac:dyDescent="0.25">
      <c r="C97" s="424"/>
      <c r="D97" s="425">
        <v>63453507</v>
      </c>
      <c r="E97" s="426"/>
      <c r="F97" s="437">
        <f t="shared" si="1"/>
        <v>-6.8552823741646063E-2</v>
      </c>
      <c r="G97" s="426"/>
      <c r="H97" s="426"/>
      <c r="I97" s="426"/>
      <c r="J97" s="427">
        <v>5787246983.4031582</v>
      </c>
      <c r="K97" s="427">
        <v>6213177870.8596992</v>
      </c>
      <c r="L97" s="427">
        <v>6213177870.8596992</v>
      </c>
    </row>
    <row r="98" spans="3:12" x14ac:dyDescent="0.25">
      <c r="C98" s="424" t="s">
        <v>4</v>
      </c>
      <c r="D98" s="425">
        <v>69678564</v>
      </c>
      <c r="E98" s="426">
        <v>6552679133</v>
      </c>
      <c r="F98" s="437">
        <f t="shared" si="1"/>
        <v>8.1592493501527752E-2</v>
      </c>
      <c r="G98" s="426"/>
      <c r="H98" s="426"/>
      <c r="I98" s="426"/>
      <c r="J98" s="427">
        <v>6359890931.8221846</v>
      </c>
      <c r="K98" s="427">
        <v>5880117484.2040462</v>
      </c>
      <c r="L98" s="427">
        <v>5880117484.2040462</v>
      </c>
    </row>
    <row r="99" spans="3:12" x14ac:dyDescent="0.25">
      <c r="C99" s="424" t="s">
        <v>5</v>
      </c>
      <c r="D99" s="425">
        <v>74421017</v>
      </c>
      <c r="E99" s="426">
        <v>7317052852</v>
      </c>
      <c r="F99" s="437">
        <f t="shared" si="1"/>
        <v>7.5530951423579351E-2</v>
      </c>
      <c r="G99" s="426"/>
      <c r="H99" s="426"/>
      <c r="I99" s="426"/>
      <c r="J99" s="426">
        <v>7044164800</v>
      </c>
      <c r="K99" s="426">
        <v>6832343870</v>
      </c>
      <c r="L99" s="430">
        <v>6549476601</v>
      </c>
    </row>
    <row r="100" spans="3:12" x14ac:dyDescent="0.25">
      <c r="C100" s="424" t="s">
        <v>6</v>
      </c>
      <c r="D100" s="425">
        <v>76761100</v>
      </c>
      <c r="E100" s="426">
        <v>7623618289</v>
      </c>
      <c r="F100" s="437">
        <f t="shared" si="1"/>
        <v>2.0073430802318493E-2</v>
      </c>
      <c r="G100" s="426"/>
      <c r="H100" s="426"/>
      <c r="I100" s="426"/>
      <c r="J100" s="426">
        <v>7460414658</v>
      </c>
      <c r="K100" s="426">
        <v>7815238015</v>
      </c>
      <c r="L100" s="430">
        <v>7313605504</v>
      </c>
    </row>
    <row r="101" spans="3:12" ht="15.75" thickBot="1" x14ac:dyDescent="0.3">
      <c r="C101" s="432" t="s">
        <v>7</v>
      </c>
      <c r="D101" s="433">
        <v>81263904</v>
      </c>
      <c r="E101" s="434">
        <v>8516922013</v>
      </c>
      <c r="F101" s="437">
        <f t="shared" si="1"/>
        <v>0.10078240201895516</v>
      </c>
      <c r="G101" s="434"/>
      <c r="H101" s="434"/>
      <c r="I101" s="434"/>
      <c r="J101" s="434">
        <v>8401423542</v>
      </c>
      <c r="K101" s="434">
        <v>7909146363</v>
      </c>
      <c r="L101" s="435">
        <v>7632229155</v>
      </c>
    </row>
    <row r="102" spans="3:12" x14ac:dyDescent="0.25">
      <c r="F102" t="s">
        <v>454</v>
      </c>
    </row>
  </sheetData>
  <mergeCells count="8">
    <mergeCell ref="C64:L65"/>
    <mergeCell ref="C75:L75"/>
    <mergeCell ref="C2:L2"/>
    <mergeCell ref="C12:L12"/>
    <mergeCell ref="C23:L23"/>
    <mergeCell ref="C33:L33"/>
    <mergeCell ref="C43:L44"/>
    <mergeCell ref="C54:L54"/>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4:AI112"/>
  <sheetViews>
    <sheetView showGridLines="0" showRowColHeaders="0" topLeftCell="H1" zoomScale="60" zoomScaleNormal="60" workbookViewId="0">
      <selection activeCell="I34" sqref="I34"/>
    </sheetView>
  </sheetViews>
  <sheetFormatPr defaultRowHeight="15" x14ac:dyDescent="0.25"/>
  <cols>
    <col min="3" max="3" width="13.42578125" bestFit="1" customWidth="1"/>
    <col min="4" max="4" width="14.7109375" customWidth="1"/>
    <col min="5" max="5" width="21.140625" customWidth="1"/>
    <col min="6" max="6" width="27" customWidth="1"/>
    <col min="7" max="7" width="27.5703125" customWidth="1"/>
    <col min="8" max="8" width="22.28515625" customWidth="1"/>
    <col min="9" max="9" width="47.28515625" customWidth="1"/>
    <col min="10" max="10" width="43.42578125" customWidth="1"/>
    <col min="11" max="11" width="39.42578125" customWidth="1"/>
    <col min="12" max="12" width="28.28515625" customWidth="1"/>
    <col min="13" max="13" width="32.7109375" customWidth="1"/>
    <col min="14" max="14" width="16.28515625" customWidth="1"/>
    <col min="15" max="15" width="26.28515625" bestFit="1" customWidth="1"/>
    <col min="16" max="16" width="16.28515625" bestFit="1" customWidth="1"/>
    <col min="17" max="17" width="22.5703125" bestFit="1" customWidth="1"/>
    <col min="18" max="18" width="21.28515625" bestFit="1" customWidth="1"/>
    <col min="19" max="19" width="22.28515625" bestFit="1" customWidth="1"/>
  </cols>
  <sheetData>
    <row r="4" spans="2:35" ht="59.25" x14ac:dyDescent="0.75">
      <c r="D4" s="4" t="s">
        <v>138</v>
      </c>
    </row>
    <row r="5" spans="2:35" ht="59.25" x14ac:dyDescent="0.75">
      <c r="D5" s="4"/>
      <c r="E5" s="446">
        <v>23.7</v>
      </c>
      <c r="F5" s="447">
        <v>23.7</v>
      </c>
      <c r="G5" s="447">
        <v>23.6</v>
      </c>
    </row>
    <row r="6" spans="2:35" ht="23.25" customHeight="1" x14ac:dyDescent="0.25"/>
    <row r="8" spans="2:35" x14ac:dyDescent="0.25">
      <c r="B8" s="8"/>
      <c r="T8" s="8"/>
      <c r="U8" s="8"/>
      <c r="V8" s="8"/>
      <c r="W8" s="8"/>
    </row>
    <row r="9" spans="2:35" x14ac:dyDescent="0.25">
      <c r="B9" s="8"/>
      <c r="T9" s="8"/>
      <c r="U9" s="8"/>
      <c r="V9" s="8"/>
      <c r="W9" s="8"/>
    </row>
    <row r="10" spans="2:35" x14ac:dyDescent="0.25">
      <c r="B10" s="8"/>
      <c r="T10" s="8"/>
      <c r="U10" s="8"/>
      <c r="V10" s="8"/>
      <c r="W10" s="8"/>
    </row>
    <row r="11" spans="2:35" ht="23.25" thickBot="1" x14ac:dyDescent="0.3">
      <c r="B11" s="8"/>
      <c r="D11" s="1963" t="s">
        <v>90</v>
      </c>
      <c r="E11" s="1963"/>
      <c r="F11" s="1963"/>
      <c r="G11" s="1963"/>
      <c r="H11" s="1963"/>
      <c r="I11" s="1963"/>
      <c r="J11" s="1963"/>
      <c r="K11" s="1963"/>
      <c r="L11" s="1963"/>
      <c r="M11" s="1963"/>
      <c r="T11" s="8"/>
      <c r="U11" s="8"/>
      <c r="V11" s="8"/>
      <c r="W11" s="8"/>
    </row>
    <row r="12" spans="2:35" ht="67.5" x14ac:dyDescent="0.25">
      <c r="B12" s="8">
        <v>0.96919999999999995</v>
      </c>
      <c r="D12" s="42" t="s">
        <v>1</v>
      </c>
      <c r="E12" s="43" t="s">
        <v>91</v>
      </c>
      <c r="F12" s="43" t="s">
        <v>89</v>
      </c>
      <c r="G12" s="43" t="s">
        <v>92</v>
      </c>
      <c r="H12" s="43" t="s">
        <v>318</v>
      </c>
      <c r="I12" s="43" t="s">
        <v>315</v>
      </c>
      <c r="J12" s="43" t="s">
        <v>316</v>
      </c>
      <c r="K12" s="43" t="s">
        <v>317</v>
      </c>
      <c r="L12" s="16" t="s">
        <v>435</v>
      </c>
      <c r="M12" s="16"/>
      <c r="T12" s="8"/>
      <c r="U12" s="8"/>
      <c r="V12" s="8"/>
      <c r="W12" s="8"/>
    </row>
    <row r="13" spans="2:35" ht="45" x14ac:dyDescent="0.35">
      <c r="B13" s="8">
        <v>0.96940000000000004</v>
      </c>
      <c r="D13" s="439" t="s">
        <v>68</v>
      </c>
      <c r="E13" s="225"/>
      <c r="F13" s="442"/>
      <c r="G13" s="440"/>
      <c r="H13" s="440" t="s">
        <v>413</v>
      </c>
      <c r="I13" s="8">
        <v>0.96919999999999995</v>
      </c>
      <c r="J13" s="450">
        <v>0.96940000000000004</v>
      </c>
      <c r="K13" s="514">
        <v>0.97070000000000001</v>
      </c>
      <c r="L13" s="444">
        <v>0.97009999999999996</v>
      </c>
      <c r="M13" s="515">
        <v>0.97140000000000004</v>
      </c>
      <c r="N13" s="403">
        <v>0.97240000000000004</v>
      </c>
      <c r="P13" s="439" t="s">
        <v>74</v>
      </c>
      <c r="Q13" s="225">
        <v>6433933</v>
      </c>
      <c r="R13" s="442">
        <v>1031</v>
      </c>
      <c r="S13" s="440">
        <f>Q13*R13</f>
        <v>6633384923</v>
      </c>
      <c r="T13" s="440" t="s">
        <v>413</v>
      </c>
      <c r="U13" s="450">
        <v>0.99380000000000002</v>
      </c>
      <c r="V13" s="451">
        <v>56.3</v>
      </c>
      <c r="W13" s="448">
        <v>23.7</v>
      </c>
      <c r="X13" s="446">
        <v>104</v>
      </c>
      <c r="Y13" s="441"/>
      <c r="AF13" s="8"/>
      <c r="AG13" s="8"/>
      <c r="AH13" s="8"/>
      <c r="AI13" s="8"/>
    </row>
    <row r="14" spans="2:35" ht="45" x14ac:dyDescent="0.35">
      <c r="B14" s="8">
        <v>0.97070000000000001</v>
      </c>
      <c r="D14" s="439" t="s">
        <v>69</v>
      </c>
      <c r="E14" s="225"/>
      <c r="F14" s="443"/>
      <c r="G14" s="440"/>
      <c r="H14" s="440" t="s">
        <v>413</v>
      </c>
      <c r="I14" s="8">
        <v>0.96940000000000004</v>
      </c>
      <c r="J14" s="453"/>
      <c r="K14" s="449"/>
      <c r="L14" s="447"/>
      <c r="M14" s="441"/>
      <c r="P14" s="439" t="s">
        <v>75</v>
      </c>
      <c r="Q14" s="225">
        <v>6864612</v>
      </c>
      <c r="R14" s="443">
        <v>1041</v>
      </c>
      <c r="S14" s="440">
        <f>Q14*R14</f>
        <v>7146061092</v>
      </c>
      <c r="T14" s="440" t="s">
        <v>413</v>
      </c>
      <c r="U14" s="452">
        <v>0.99470000000000003</v>
      </c>
      <c r="V14" s="453">
        <v>53.9</v>
      </c>
      <c r="W14" s="449">
        <v>23.7</v>
      </c>
      <c r="X14" s="447">
        <v>95</v>
      </c>
      <c r="Y14" s="441"/>
      <c r="AF14" s="8"/>
      <c r="AG14" s="8"/>
      <c r="AH14" s="8"/>
      <c r="AI14" s="8"/>
    </row>
    <row r="15" spans="2:35" ht="45" x14ac:dyDescent="0.35">
      <c r="B15" s="8">
        <v>0.97009999999999996</v>
      </c>
      <c r="D15" s="439" t="s">
        <v>70</v>
      </c>
      <c r="E15" s="225"/>
      <c r="F15" s="443"/>
      <c r="G15" s="440"/>
      <c r="H15" s="440" t="s">
        <v>413</v>
      </c>
      <c r="I15" s="8">
        <v>0.97070000000000001</v>
      </c>
      <c r="J15" s="453"/>
      <c r="K15" s="449"/>
      <c r="L15" s="447"/>
      <c r="M15" s="441"/>
      <c r="P15" s="439" t="s">
        <v>76</v>
      </c>
      <c r="Q15" s="225">
        <v>7194697</v>
      </c>
      <c r="R15" s="443">
        <v>1036</v>
      </c>
      <c r="S15" s="440">
        <f>Q15*R15</f>
        <v>7453706092</v>
      </c>
      <c r="T15" s="440" t="s">
        <v>413</v>
      </c>
      <c r="U15" s="452">
        <v>0.99509999999999998</v>
      </c>
      <c r="V15" s="453">
        <v>54.4</v>
      </c>
      <c r="W15" s="449">
        <v>23.6</v>
      </c>
      <c r="X15" s="447">
        <v>89</v>
      </c>
      <c r="Y15" s="441"/>
      <c r="AF15" s="8"/>
      <c r="AG15" s="8"/>
      <c r="AH15" s="8"/>
      <c r="AI15" s="8"/>
    </row>
    <row r="16" spans="2:35" ht="22.5" x14ac:dyDescent="0.25">
      <c r="B16" s="8">
        <v>0.97140000000000004</v>
      </c>
      <c r="D16" s="24" t="s">
        <v>71</v>
      </c>
      <c r="E16" s="108"/>
      <c r="F16" s="26"/>
      <c r="G16" s="109"/>
      <c r="H16" s="440" t="s">
        <v>413</v>
      </c>
      <c r="I16" s="8">
        <v>0.97009999999999996</v>
      </c>
      <c r="J16" s="25"/>
      <c r="K16" s="25"/>
      <c r="L16" s="92"/>
      <c r="M16" s="92"/>
      <c r="P16" s="24" t="s">
        <v>4</v>
      </c>
      <c r="Q16" s="108">
        <v>7592096</v>
      </c>
      <c r="R16" s="26">
        <v>1091</v>
      </c>
      <c r="S16" s="109">
        <v>8282716573</v>
      </c>
      <c r="T16" s="27">
        <v>0.99850000000000005</v>
      </c>
      <c r="U16" s="27">
        <v>0.99709999999999999</v>
      </c>
      <c r="V16" s="25">
        <v>54.63</v>
      </c>
      <c r="W16" s="25">
        <v>23.49</v>
      </c>
      <c r="X16" s="92">
        <v>73.89</v>
      </c>
      <c r="Y16" s="92"/>
      <c r="AF16" s="8"/>
      <c r="AG16" s="8"/>
      <c r="AH16" s="8"/>
      <c r="AI16" s="8"/>
    </row>
    <row r="17" spans="1:35" ht="22.5" x14ac:dyDescent="0.25">
      <c r="B17" s="8">
        <v>0.97240000000000004</v>
      </c>
      <c r="D17" s="24" t="s">
        <v>72</v>
      </c>
      <c r="E17" s="108"/>
      <c r="F17" s="26"/>
      <c r="G17" s="109"/>
      <c r="H17" s="440" t="s">
        <v>413</v>
      </c>
      <c r="I17" s="8">
        <v>0.97140000000000004</v>
      </c>
      <c r="J17" s="25"/>
      <c r="K17" s="25"/>
      <c r="L17" s="92"/>
      <c r="M17" s="92"/>
      <c r="P17" s="24" t="s">
        <v>5</v>
      </c>
      <c r="Q17" s="108">
        <v>8140742</v>
      </c>
      <c r="R17" s="26">
        <v>1092</v>
      </c>
      <c r="S17" s="109">
        <v>8889714686</v>
      </c>
      <c r="T17" s="27">
        <v>0.99870000000000003</v>
      </c>
      <c r="U17" s="27">
        <v>0.99739999999999995</v>
      </c>
      <c r="V17" s="25">
        <v>55.05</v>
      </c>
      <c r="W17" s="25">
        <v>23.24</v>
      </c>
      <c r="X17" s="92">
        <v>59.77</v>
      </c>
      <c r="Y17" s="92"/>
      <c r="AF17" s="8"/>
      <c r="AG17" s="8"/>
      <c r="AH17" s="8"/>
      <c r="AI17" s="8"/>
    </row>
    <row r="18" spans="1:35" ht="23.25" thickBot="1" x14ac:dyDescent="0.3">
      <c r="B18" s="8"/>
      <c r="D18" s="24" t="s">
        <v>73</v>
      </c>
      <c r="E18" s="108"/>
      <c r="F18" s="26"/>
      <c r="G18" s="109"/>
      <c r="H18" s="440" t="s">
        <v>413</v>
      </c>
      <c r="I18" s="8">
        <v>0.97240000000000004</v>
      </c>
      <c r="J18" s="25"/>
      <c r="K18" s="25"/>
      <c r="L18" s="94"/>
      <c r="M18" s="92"/>
      <c r="P18" s="24" t="s">
        <v>6</v>
      </c>
      <c r="Q18" s="108">
        <v>8465757</v>
      </c>
      <c r="R18" s="26">
        <v>1087</v>
      </c>
      <c r="S18" s="109">
        <v>9203218618</v>
      </c>
      <c r="T18" s="27">
        <v>0.99880000000000002</v>
      </c>
      <c r="U18" s="27">
        <v>0.99760000000000004</v>
      </c>
      <c r="V18" s="25">
        <v>55.34</v>
      </c>
      <c r="W18" s="25">
        <v>23.39</v>
      </c>
      <c r="X18" s="94">
        <v>65.209999999999994</v>
      </c>
      <c r="Y18" s="92"/>
      <c r="AF18" s="8"/>
      <c r="AG18" s="8"/>
      <c r="AH18" s="8"/>
      <c r="AI18" s="8"/>
    </row>
    <row r="19" spans="1:35" ht="45" x14ac:dyDescent="0.35">
      <c r="B19" s="8"/>
      <c r="D19" s="439" t="s">
        <v>74</v>
      </c>
      <c r="E19" s="225">
        <v>6433933</v>
      </c>
      <c r="F19" s="442">
        <v>1031</v>
      </c>
      <c r="G19" s="440">
        <f>E19*F19</f>
        <v>6633384923</v>
      </c>
      <c r="H19" s="440" t="s">
        <v>413</v>
      </c>
      <c r="I19" s="516">
        <v>0.99380000000000002</v>
      </c>
      <c r="J19" s="451">
        <v>56.3</v>
      </c>
      <c r="K19" s="448">
        <v>23.7</v>
      </c>
      <c r="L19" s="446">
        <v>104</v>
      </c>
      <c r="M19" s="441"/>
      <c r="T19" s="8"/>
      <c r="U19" s="8"/>
      <c r="V19" s="8"/>
      <c r="W19" s="8"/>
    </row>
    <row r="20" spans="1:35" ht="45" x14ac:dyDescent="0.35">
      <c r="B20" s="8"/>
      <c r="D20" s="439" t="s">
        <v>75</v>
      </c>
      <c r="E20" s="225">
        <v>6864612</v>
      </c>
      <c r="F20" s="443">
        <v>1041</v>
      </c>
      <c r="G20" s="440">
        <f>E20*F20</f>
        <v>7146061092</v>
      </c>
      <c r="H20" s="440" t="s">
        <v>413</v>
      </c>
      <c r="I20" s="452">
        <v>0.99470000000000003</v>
      </c>
      <c r="J20" s="453">
        <v>53.9</v>
      </c>
      <c r="K20" s="449">
        <v>23.7</v>
      </c>
      <c r="L20" s="447">
        <v>95</v>
      </c>
      <c r="M20" s="441"/>
      <c r="T20" s="8"/>
      <c r="U20" s="8"/>
      <c r="V20" s="8"/>
      <c r="W20" s="8"/>
    </row>
    <row r="21" spans="1:35" ht="45" x14ac:dyDescent="0.35">
      <c r="B21" s="8"/>
      <c r="D21" s="439" t="s">
        <v>76</v>
      </c>
      <c r="E21" s="225">
        <v>7194697</v>
      </c>
      <c r="F21" s="443">
        <v>1036</v>
      </c>
      <c r="G21" s="440">
        <f>E21*F21</f>
        <v>7453706092</v>
      </c>
      <c r="H21" s="440" t="s">
        <v>413</v>
      </c>
      <c r="I21" s="452">
        <v>0.99509999999999998</v>
      </c>
      <c r="J21" s="453">
        <v>54.4</v>
      </c>
      <c r="K21" s="449">
        <v>23.6</v>
      </c>
      <c r="L21" s="447">
        <v>89</v>
      </c>
      <c r="M21" s="441"/>
      <c r="T21" s="8"/>
      <c r="U21" s="8"/>
      <c r="V21" s="8"/>
      <c r="W21" s="8"/>
    </row>
    <row r="22" spans="1:35" ht="22.5" x14ac:dyDescent="0.25">
      <c r="B22" s="8"/>
      <c r="D22" s="24" t="s">
        <v>4</v>
      </c>
      <c r="E22" s="108">
        <v>7592096</v>
      </c>
      <c r="F22" s="26">
        <v>1091</v>
      </c>
      <c r="G22" s="109">
        <v>8282716573</v>
      </c>
      <c r="H22" s="27">
        <v>0.99850000000000005</v>
      </c>
      <c r="I22" s="27">
        <v>0.99709999999999999</v>
      </c>
      <c r="J22" s="25">
        <v>54.63</v>
      </c>
      <c r="K22" s="25">
        <v>23.49</v>
      </c>
      <c r="L22" s="92">
        <v>73.89</v>
      </c>
      <c r="M22" s="92"/>
      <c r="T22" s="8"/>
      <c r="U22" s="8"/>
      <c r="V22" s="8"/>
      <c r="W22" s="8"/>
    </row>
    <row r="23" spans="1:35" ht="22.5" x14ac:dyDescent="0.25">
      <c r="B23" s="8"/>
      <c r="D23" s="24" t="s">
        <v>5</v>
      </c>
      <c r="E23" s="108">
        <v>8140742</v>
      </c>
      <c r="F23" s="26">
        <v>1092</v>
      </c>
      <c r="G23" s="109">
        <v>8889714686</v>
      </c>
      <c r="H23" s="27">
        <v>0.99870000000000003</v>
      </c>
      <c r="I23" s="27">
        <v>0.99739999999999995</v>
      </c>
      <c r="J23" s="25">
        <v>55.05</v>
      </c>
      <c r="K23" s="25">
        <v>23.24</v>
      </c>
      <c r="L23" s="92">
        <v>59.77</v>
      </c>
      <c r="M23" s="92"/>
      <c r="T23" s="8"/>
      <c r="U23" s="8"/>
      <c r="V23" s="8"/>
      <c r="W23" s="8"/>
    </row>
    <row r="24" spans="1:35" ht="23.25" thickBot="1" x14ac:dyDescent="0.3">
      <c r="B24" s="8"/>
      <c r="D24" s="24" t="s">
        <v>6</v>
      </c>
      <c r="E24" s="108">
        <v>8465757</v>
      </c>
      <c r="F24" s="26">
        <v>1087</v>
      </c>
      <c r="G24" s="109">
        <v>9203218618</v>
      </c>
      <c r="H24" s="27">
        <v>0.99880000000000002</v>
      </c>
      <c r="I24" s="27">
        <v>0.99760000000000004</v>
      </c>
      <c r="J24" s="25">
        <v>55.34</v>
      </c>
      <c r="K24" s="25">
        <v>23.39</v>
      </c>
      <c r="L24" s="94">
        <v>65.209999999999994</v>
      </c>
      <c r="M24" s="92"/>
      <c r="T24" s="8"/>
      <c r="U24" s="8"/>
      <c r="V24" s="8"/>
      <c r="W24" s="8"/>
    </row>
    <row r="25" spans="1:35" ht="23.25" thickBot="1" x14ac:dyDescent="0.35">
      <c r="B25" s="8"/>
      <c r="D25" s="29" t="s">
        <v>7</v>
      </c>
      <c r="E25" s="110">
        <v>8755081</v>
      </c>
      <c r="F25" s="31">
        <v>1106</v>
      </c>
      <c r="G25" s="111">
        <v>9686031387</v>
      </c>
      <c r="H25" s="32">
        <v>0.999</v>
      </c>
      <c r="I25" s="32">
        <v>0.99780000000000002</v>
      </c>
      <c r="J25" s="30">
        <v>55.68</v>
      </c>
      <c r="K25" s="30">
        <v>23.36</v>
      </c>
      <c r="L25" s="112">
        <v>75.89</v>
      </c>
      <c r="M25" s="94"/>
      <c r="T25" s="8"/>
      <c r="U25" s="8"/>
      <c r="V25" s="8"/>
      <c r="W25" s="8"/>
    </row>
    <row r="26" spans="1:35" ht="22.5" x14ac:dyDescent="0.3">
      <c r="B26" s="8"/>
      <c r="D26" s="112"/>
      <c r="E26" s="112"/>
      <c r="F26" s="112"/>
      <c r="G26" s="112"/>
      <c r="H26" s="112"/>
      <c r="I26" s="112"/>
      <c r="J26" s="112"/>
      <c r="K26" s="112"/>
      <c r="L26" s="112"/>
      <c r="M26" s="112"/>
      <c r="T26" s="8"/>
      <c r="U26" s="8"/>
      <c r="V26" s="8"/>
      <c r="W26" s="8"/>
    </row>
    <row r="27" spans="1:35" ht="22.5" x14ac:dyDescent="0.3">
      <c r="B27" s="8"/>
      <c r="D27" s="442"/>
      <c r="E27" s="443"/>
      <c r="F27" s="443"/>
      <c r="G27" s="112"/>
      <c r="H27" s="112"/>
      <c r="I27" s="112"/>
      <c r="J27" s="112"/>
      <c r="K27" s="112"/>
      <c r="L27" s="446"/>
      <c r="M27" s="447"/>
      <c r="N27" s="447"/>
      <c r="T27" s="8"/>
      <c r="U27" s="8"/>
      <c r="V27" s="8"/>
      <c r="W27" s="8"/>
    </row>
    <row r="28" spans="1:35" ht="22.5" x14ac:dyDescent="0.3">
      <c r="B28" s="8"/>
      <c r="D28" s="112"/>
      <c r="E28" s="112"/>
      <c r="F28" s="112"/>
      <c r="G28" s="112"/>
      <c r="H28" s="112"/>
      <c r="I28" s="112"/>
      <c r="J28" s="112"/>
      <c r="K28" s="112"/>
      <c r="L28" s="112"/>
      <c r="M28" s="112"/>
      <c r="T28" s="8"/>
      <c r="U28" s="8"/>
      <c r="V28" s="8"/>
      <c r="W28" s="8"/>
    </row>
    <row r="29" spans="1:35" ht="22.5" x14ac:dyDescent="0.3">
      <c r="B29" s="8"/>
      <c r="D29" s="112"/>
      <c r="E29" s="112"/>
      <c r="F29" s="112"/>
      <c r="G29" s="112"/>
      <c r="H29" s="112"/>
      <c r="I29" s="112"/>
      <c r="J29" s="112"/>
      <c r="K29" s="112"/>
      <c r="L29" s="112"/>
      <c r="M29" s="112"/>
      <c r="T29" s="8"/>
      <c r="U29" s="8"/>
      <c r="V29" s="8"/>
      <c r="W29" s="8"/>
    </row>
    <row r="30" spans="1:35" ht="23.25" thickBot="1" x14ac:dyDescent="0.35">
      <c r="A30" s="5"/>
      <c r="B30" s="52"/>
      <c r="C30" s="6"/>
      <c r="D30" s="1963" t="s">
        <v>93</v>
      </c>
      <c r="E30" s="1963"/>
      <c r="F30" s="1963"/>
      <c r="G30" s="1963"/>
      <c r="H30" s="1963"/>
      <c r="I30" s="1963"/>
      <c r="J30" s="1963"/>
      <c r="K30" s="1963"/>
      <c r="L30" s="112"/>
      <c r="M30" s="446">
        <v>1210</v>
      </c>
      <c r="N30" s="443">
        <v>1241</v>
      </c>
      <c r="O30" s="443">
        <v>1244</v>
      </c>
      <c r="T30" s="8"/>
      <c r="U30" s="8"/>
      <c r="V30" s="8"/>
      <c r="W30" s="8"/>
    </row>
    <row r="31" spans="1:35" ht="67.5" x14ac:dyDescent="0.25">
      <c r="A31" s="5"/>
      <c r="B31" s="52"/>
      <c r="C31" s="5"/>
      <c r="D31" s="42" t="s">
        <v>1</v>
      </c>
      <c r="E31" s="43" t="s">
        <v>91</v>
      </c>
      <c r="F31" s="43" t="s">
        <v>89</v>
      </c>
      <c r="G31" s="43" t="s">
        <v>92</v>
      </c>
      <c r="H31" s="43" t="s">
        <v>318</v>
      </c>
      <c r="I31" s="43" t="s">
        <v>315</v>
      </c>
      <c r="J31" s="43" t="s">
        <v>316</v>
      </c>
      <c r="K31" s="43" t="s">
        <v>317</v>
      </c>
      <c r="L31" s="16" t="s">
        <v>435</v>
      </c>
      <c r="M31" s="444">
        <v>0.9516</v>
      </c>
      <c r="N31" s="445">
        <v>0.95489999999999997</v>
      </c>
      <c r="O31" s="445">
        <v>0.95650000000000002</v>
      </c>
      <c r="T31" s="8"/>
      <c r="U31" s="8"/>
      <c r="V31" s="8"/>
      <c r="W31" s="8"/>
    </row>
    <row r="32" spans="1:35" ht="22.5" x14ac:dyDescent="0.35">
      <c r="B32" s="8"/>
      <c r="C32" s="5"/>
      <c r="D32" s="24" t="s">
        <v>74</v>
      </c>
      <c r="E32" s="442">
        <v>6009802</v>
      </c>
      <c r="F32" s="454">
        <v>1210</v>
      </c>
      <c r="G32" s="455">
        <f>E32*F32</f>
        <v>7271860420</v>
      </c>
      <c r="H32" s="440" t="s">
        <v>413</v>
      </c>
      <c r="I32" s="455">
        <v>0.9516</v>
      </c>
      <c r="J32" s="454">
        <v>41.6</v>
      </c>
      <c r="K32" s="454">
        <v>34.1</v>
      </c>
      <c r="L32" s="92" t="s">
        <v>413</v>
      </c>
      <c r="M32" s="446">
        <v>41.6</v>
      </c>
      <c r="N32" s="447">
        <v>41.6</v>
      </c>
      <c r="O32" s="447">
        <v>41.6</v>
      </c>
      <c r="T32" s="8"/>
      <c r="U32" s="8"/>
      <c r="V32" s="8"/>
      <c r="W32" s="8"/>
    </row>
    <row r="33" spans="1:18" ht="22.5" x14ac:dyDescent="0.35">
      <c r="C33" s="5"/>
      <c r="D33" s="24" t="s">
        <v>75</v>
      </c>
      <c r="E33" s="443">
        <v>6291117</v>
      </c>
      <c r="F33" s="456">
        <v>1241</v>
      </c>
      <c r="G33" s="455">
        <f>E33*F33</f>
        <v>7807276197</v>
      </c>
      <c r="H33" s="440" t="s">
        <v>413</v>
      </c>
      <c r="I33" s="457">
        <v>0.95489999999999997</v>
      </c>
      <c r="J33" s="458">
        <v>41.6</v>
      </c>
      <c r="K33" s="458">
        <v>34.299999999999997</v>
      </c>
      <c r="L33" s="92" t="s">
        <v>413</v>
      </c>
      <c r="M33" s="446">
        <v>34.1</v>
      </c>
      <c r="N33" s="447">
        <v>34.299999999999997</v>
      </c>
      <c r="O33" s="447">
        <v>34.6</v>
      </c>
      <c r="P33" s="442">
        <v>45624</v>
      </c>
      <c r="Q33" s="443">
        <v>41439</v>
      </c>
      <c r="R33" s="443">
        <v>38408</v>
      </c>
    </row>
    <row r="34" spans="1:18" ht="23.25" x14ac:dyDescent="0.35">
      <c r="C34" s="5"/>
      <c r="D34" s="24" t="s">
        <v>76</v>
      </c>
      <c r="E34" s="443">
        <v>6363388</v>
      </c>
      <c r="F34" s="456">
        <v>1244</v>
      </c>
      <c r="G34" s="455">
        <f>E34*F34</f>
        <v>7916054672</v>
      </c>
      <c r="H34" s="440" t="s">
        <v>413</v>
      </c>
      <c r="I34" s="457">
        <v>0.95650000000000002</v>
      </c>
      <c r="J34" s="458">
        <v>41.6</v>
      </c>
      <c r="K34" s="458">
        <v>34.6</v>
      </c>
      <c r="L34" s="92" t="s">
        <v>413</v>
      </c>
      <c r="M34" s="112"/>
    </row>
    <row r="35" spans="1:18" ht="22.5" x14ac:dyDescent="0.3">
      <c r="C35" s="5"/>
      <c r="D35" s="24" t="s">
        <v>4</v>
      </c>
      <c r="E35" s="108">
        <v>6550929</v>
      </c>
      <c r="F35" s="26">
        <v>1237</v>
      </c>
      <c r="G35" s="109">
        <v>8103818876</v>
      </c>
      <c r="H35" s="27">
        <v>0.96560000000000001</v>
      </c>
      <c r="I35" s="27">
        <v>0.95750000000000002</v>
      </c>
      <c r="J35" s="25">
        <v>41.31</v>
      </c>
      <c r="K35" s="92">
        <v>34.76</v>
      </c>
      <c r="L35" s="92" t="s">
        <v>413</v>
      </c>
      <c r="M35" s="112"/>
    </row>
    <row r="36" spans="1:18" ht="22.5" x14ac:dyDescent="0.3">
      <c r="C36" s="5"/>
      <c r="D36" s="24" t="s">
        <v>5</v>
      </c>
      <c r="E36" s="108">
        <v>6782044</v>
      </c>
      <c r="F36" s="26">
        <v>1298</v>
      </c>
      <c r="G36" s="109">
        <v>8805877486</v>
      </c>
      <c r="H36" s="27">
        <v>0.96650000000000003</v>
      </c>
      <c r="I36" s="27">
        <v>0.95799999999999996</v>
      </c>
      <c r="J36" s="25">
        <v>41.88</v>
      </c>
      <c r="K36" s="92">
        <v>34.43</v>
      </c>
      <c r="L36" s="92" t="s">
        <v>413</v>
      </c>
      <c r="M36" s="112"/>
    </row>
    <row r="37" spans="1:18" ht="22.5" x14ac:dyDescent="0.3">
      <c r="C37" s="5"/>
      <c r="D37" s="24" t="s">
        <v>6</v>
      </c>
      <c r="E37" s="108">
        <v>6951379</v>
      </c>
      <c r="F37" s="26">
        <v>1355</v>
      </c>
      <c r="G37" s="109">
        <v>9419309257</v>
      </c>
      <c r="H37" s="27">
        <v>0.96899999999999997</v>
      </c>
      <c r="I37" s="27">
        <v>0.9607</v>
      </c>
      <c r="J37" s="25">
        <v>42.12</v>
      </c>
      <c r="K37" s="92">
        <v>34.61</v>
      </c>
      <c r="L37" s="92" t="s">
        <v>413</v>
      </c>
      <c r="M37" s="112"/>
    </row>
    <row r="38" spans="1:18" ht="23.25" thickBot="1" x14ac:dyDescent="0.35">
      <c r="A38" s="5"/>
      <c r="B38" s="5"/>
      <c r="C38" s="5"/>
      <c r="D38" s="29" t="s">
        <v>7</v>
      </c>
      <c r="E38" s="110">
        <v>7109358</v>
      </c>
      <c r="F38" s="31">
        <v>1397</v>
      </c>
      <c r="G38" s="111">
        <v>9935305034</v>
      </c>
      <c r="H38" s="32">
        <v>0.97019999999999995</v>
      </c>
      <c r="I38" s="32">
        <v>0.96050000000000002</v>
      </c>
      <c r="J38" s="30">
        <v>42.22</v>
      </c>
      <c r="K38" s="94">
        <v>34.81</v>
      </c>
      <c r="L38" s="92" t="s">
        <v>413</v>
      </c>
      <c r="M38" s="112"/>
      <c r="P38" s="443">
        <v>41439</v>
      </c>
      <c r="Q38" s="443">
        <v>38408</v>
      </c>
    </row>
    <row r="39" spans="1:18" ht="22.5" x14ac:dyDescent="0.3">
      <c r="C39" s="5"/>
      <c r="D39" s="112"/>
      <c r="E39" s="112"/>
      <c r="F39" s="112"/>
      <c r="G39" s="112"/>
      <c r="H39" s="112"/>
      <c r="I39" s="112"/>
      <c r="J39" s="112"/>
      <c r="K39" s="112"/>
      <c r="L39" s="112"/>
      <c r="M39" s="112"/>
      <c r="P39" s="447">
        <v>673</v>
      </c>
      <c r="Q39" s="447">
        <v>656</v>
      </c>
    </row>
    <row r="40" spans="1:18" ht="22.5" x14ac:dyDescent="0.3">
      <c r="C40" s="5"/>
      <c r="D40" s="112"/>
      <c r="E40" s="112"/>
      <c r="F40" s="112"/>
      <c r="G40" s="112"/>
      <c r="H40" s="112"/>
      <c r="I40" s="112"/>
      <c r="J40" s="112"/>
      <c r="K40" s="112"/>
      <c r="L40" s="112"/>
      <c r="M40" s="112"/>
      <c r="P40" s="445">
        <v>0.98009999999999997</v>
      </c>
      <c r="Q40" s="445">
        <v>0.98150000000000004</v>
      </c>
    </row>
    <row r="41" spans="1:18" ht="22.5" x14ac:dyDescent="0.3">
      <c r="C41" s="5"/>
      <c r="D41" s="112"/>
      <c r="E41" s="112"/>
      <c r="F41" s="112"/>
      <c r="G41" s="112"/>
      <c r="H41" s="112"/>
      <c r="I41" s="112"/>
      <c r="J41" s="112"/>
      <c r="K41" s="112"/>
      <c r="L41" s="112"/>
      <c r="M41" s="112"/>
      <c r="P41" s="447">
        <v>30</v>
      </c>
      <c r="Q41" s="447">
        <v>30.6</v>
      </c>
    </row>
    <row r="42" spans="1:18" ht="22.5" x14ac:dyDescent="0.3">
      <c r="C42" s="5"/>
      <c r="D42" s="112"/>
      <c r="E42" s="112"/>
      <c r="F42" s="112"/>
      <c r="G42" s="112"/>
      <c r="H42" s="112"/>
      <c r="I42" s="112"/>
      <c r="J42" s="112"/>
      <c r="K42" s="112"/>
      <c r="L42" s="112"/>
      <c r="M42" s="112"/>
      <c r="P42" s="447">
        <v>265</v>
      </c>
      <c r="Q42" s="447">
        <v>257</v>
      </c>
    </row>
    <row r="43" spans="1:18" ht="23.25" thickBot="1" x14ac:dyDescent="0.3">
      <c r="D43" s="1963" t="s">
        <v>94</v>
      </c>
      <c r="E43" s="1963"/>
      <c r="F43" s="1963"/>
      <c r="G43" s="1963"/>
      <c r="H43" s="1963"/>
      <c r="I43" s="1963"/>
      <c r="J43" s="1963"/>
      <c r="K43" s="1963"/>
      <c r="L43" s="1963"/>
      <c r="M43" s="1963"/>
    </row>
    <row r="44" spans="1:18" ht="67.5" x14ac:dyDescent="0.25">
      <c r="D44" s="42" t="s">
        <v>1</v>
      </c>
      <c r="E44" s="43" t="s">
        <v>91</v>
      </c>
      <c r="F44" s="43" t="s">
        <v>89</v>
      </c>
      <c r="G44" s="43" t="s">
        <v>92</v>
      </c>
      <c r="H44" s="43" t="s">
        <v>318</v>
      </c>
      <c r="I44" s="43" t="s">
        <v>315</v>
      </c>
      <c r="J44" s="43" t="s">
        <v>316</v>
      </c>
      <c r="K44" s="43" t="s">
        <v>317</v>
      </c>
      <c r="L44" s="16" t="s">
        <v>435</v>
      </c>
      <c r="M44" s="16"/>
      <c r="O44" s="442">
        <v>45624</v>
      </c>
    </row>
    <row r="45" spans="1:18" ht="22.5" x14ac:dyDescent="0.25">
      <c r="D45" s="459" t="s">
        <v>74</v>
      </c>
      <c r="E45" s="460">
        <v>45624</v>
      </c>
      <c r="F45" s="451">
        <v>689</v>
      </c>
      <c r="G45" s="450">
        <f>E45*F45</f>
        <v>31434936</v>
      </c>
      <c r="H45" s="440" t="s">
        <v>413</v>
      </c>
      <c r="I45" s="450">
        <v>0.97719999999999996</v>
      </c>
      <c r="J45" s="461" t="s">
        <v>413</v>
      </c>
      <c r="K45" s="451">
        <v>30.1</v>
      </c>
      <c r="L45" s="451">
        <v>40</v>
      </c>
      <c r="M45" s="92"/>
      <c r="O45" s="446">
        <v>689</v>
      </c>
    </row>
    <row r="46" spans="1:18" ht="22.5" x14ac:dyDescent="0.25">
      <c r="D46" s="459" t="s">
        <v>75</v>
      </c>
      <c r="E46" s="462">
        <v>41439</v>
      </c>
      <c r="F46" s="453">
        <v>673</v>
      </c>
      <c r="G46" s="450">
        <f>E46*F46</f>
        <v>27888447</v>
      </c>
      <c r="H46" s="440" t="s">
        <v>413</v>
      </c>
      <c r="I46" s="452">
        <v>0.98009999999999997</v>
      </c>
      <c r="J46" s="461" t="s">
        <v>413</v>
      </c>
      <c r="K46" s="453">
        <v>30</v>
      </c>
      <c r="L46" s="453">
        <v>265</v>
      </c>
      <c r="M46" s="92"/>
      <c r="O46" s="444">
        <v>0.97719999999999996</v>
      </c>
    </row>
    <row r="47" spans="1:18" ht="22.5" x14ac:dyDescent="0.25">
      <c r="D47" s="459" t="s">
        <v>76</v>
      </c>
      <c r="E47" s="462">
        <v>38408</v>
      </c>
      <c r="F47" s="453">
        <v>656</v>
      </c>
      <c r="G47" s="450">
        <f>E47*F47</f>
        <v>25195648</v>
      </c>
      <c r="H47" s="440" t="s">
        <v>413</v>
      </c>
      <c r="I47" s="452">
        <v>0.98150000000000004</v>
      </c>
      <c r="J47" s="461" t="s">
        <v>413</v>
      </c>
      <c r="K47" s="453">
        <v>30.6</v>
      </c>
      <c r="L47" s="453">
        <v>257</v>
      </c>
      <c r="M47" s="92"/>
      <c r="O47" s="446">
        <v>30.1</v>
      </c>
    </row>
    <row r="48" spans="1:18" ht="22.5" x14ac:dyDescent="0.25">
      <c r="D48" s="459" t="s">
        <v>4</v>
      </c>
      <c r="E48" s="463">
        <v>33864</v>
      </c>
      <c r="F48" s="464">
        <v>1202</v>
      </c>
      <c r="G48" s="465">
        <v>40708551</v>
      </c>
      <c r="H48" s="466">
        <v>0.98740000000000006</v>
      </c>
      <c r="I48" s="466">
        <v>0.98319999999999996</v>
      </c>
      <c r="J48" s="461">
        <v>45.97</v>
      </c>
      <c r="K48" s="461">
        <v>29.87</v>
      </c>
      <c r="L48" s="467">
        <v>31.75</v>
      </c>
      <c r="M48" s="92"/>
      <c r="O48" s="446">
        <v>40</v>
      </c>
    </row>
    <row r="49" spans="3:16" ht="22.5" x14ac:dyDescent="0.25">
      <c r="D49" s="459" t="s">
        <v>5</v>
      </c>
      <c r="E49" s="463">
        <v>25694</v>
      </c>
      <c r="F49" s="464">
        <v>1134</v>
      </c>
      <c r="G49" s="465">
        <v>29138585</v>
      </c>
      <c r="H49" s="466">
        <v>0.98860000000000003</v>
      </c>
      <c r="I49" s="466">
        <v>0.98429999999999995</v>
      </c>
      <c r="J49" s="461">
        <v>47.17</v>
      </c>
      <c r="K49" s="461">
        <v>29</v>
      </c>
      <c r="L49" s="467">
        <v>41.54</v>
      </c>
      <c r="M49" s="92"/>
    </row>
    <row r="50" spans="3:16" ht="22.5" x14ac:dyDescent="0.25">
      <c r="D50" s="459" t="s">
        <v>6</v>
      </c>
      <c r="E50" s="463">
        <v>28143</v>
      </c>
      <c r="F50" s="464">
        <v>1195</v>
      </c>
      <c r="G50" s="465">
        <v>33642269</v>
      </c>
      <c r="H50" s="466">
        <v>0.99009999999999998</v>
      </c>
      <c r="I50" s="466">
        <v>0.98609999999999998</v>
      </c>
      <c r="J50" s="461">
        <v>47.06</v>
      </c>
      <c r="K50" s="461">
        <v>29.38</v>
      </c>
      <c r="L50" s="467">
        <v>27.52</v>
      </c>
      <c r="M50" s="92"/>
    </row>
    <row r="51" spans="3:16" ht="23.25" thickBot="1" x14ac:dyDescent="0.3">
      <c r="D51" s="29" t="s">
        <v>7</v>
      </c>
      <c r="E51" s="110">
        <v>30714</v>
      </c>
      <c r="F51" s="31">
        <v>1297</v>
      </c>
      <c r="G51" s="111">
        <v>39845598</v>
      </c>
      <c r="H51" s="32">
        <v>0.99180000000000001</v>
      </c>
      <c r="I51" s="32">
        <v>0.98850000000000005</v>
      </c>
      <c r="J51" s="30">
        <v>46.2</v>
      </c>
      <c r="K51" s="30">
        <v>30.16</v>
      </c>
      <c r="L51" s="402">
        <v>36.6</v>
      </c>
      <c r="M51" s="94"/>
    </row>
    <row r="52" spans="3:16" ht="22.5" x14ac:dyDescent="0.3">
      <c r="C52" s="225">
        <f>E58+E45</f>
        <v>169607</v>
      </c>
      <c r="D52" s="112"/>
      <c r="E52" s="112"/>
      <c r="F52" s="112"/>
      <c r="G52" s="112"/>
      <c r="H52" s="112"/>
      <c r="I52" s="112"/>
      <c r="J52" s="112"/>
      <c r="K52" s="112"/>
      <c r="L52" s="112"/>
      <c r="M52" s="112"/>
    </row>
    <row r="53" spans="3:16" ht="22.5" x14ac:dyDescent="0.3">
      <c r="C53" s="225">
        <f>E59+E46</f>
        <v>161642</v>
      </c>
      <c r="D53" s="442"/>
      <c r="E53" s="443"/>
      <c r="F53" s="443"/>
      <c r="G53" s="112"/>
      <c r="H53" s="112"/>
      <c r="I53" s="112"/>
      <c r="J53" s="112"/>
      <c r="K53" s="112"/>
      <c r="L53" s="112"/>
      <c r="M53" s="112"/>
      <c r="P53" s="443">
        <v>1012</v>
      </c>
    </row>
    <row r="54" spans="3:16" ht="22.5" x14ac:dyDescent="0.3">
      <c r="C54" s="225">
        <f>E60+E47</f>
        <v>153968</v>
      </c>
      <c r="D54" s="112"/>
      <c r="E54" s="112"/>
      <c r="F54" s="112"/>
      <c r="G54" s="112"/>
      <c r="H54" s="112"/>
      <c r="I54" s="112"/>
      <c r="J54" s="112"/>
      <c r="K54" s="112"/>
      <c r="L54" s="112"/>
      <c r="M54" s="112"/>
      <c r="P54" s="445">
        <v>0.9738</v>
      </c>
    </row>
    <row r="55" spans="3:16" ht="23.25" thickBot="1" x14ac:dyDescent="0.35">
      <c r="D55" s="112"/>
      <c r="E55" s="112"/>
      <c r="F55" s="112"/>
      <c r="G55" s="112"/>
      <c r="H55" s="112"/>
      <c r="I55" s="112"/>
      <c r="J55" s="112"/>
      <c r="K55" s="112"/>
      <c r="L55" s="112"/>
      <c r="M55" s="112"/>
      <c r="P55" s="469">
        <v>29</v>
      </c>
    </row>
    <row r="56" spans="3:16" ht="23.25" thickBot="1" x14ac:dyDescent="0.35">
      <c r="D56" s="1963" t="s">
        <v>95</v>
      </c>
      <c r="E56" s="1963"/>
      <c r="F56" s="1963"/>
      <c r="G56" s="1963"/>
      <c r="H56" s="1963"/>
      <c r="I56" s="1963"/>
      <c r="J56" s="1963"/>
      <c r="K56" s="1963"/>
      <c r="L56" s="112"/>
      <c r="M56" s="112"/>
    </row>
    <row r="57" spans="3:16" ht="67.5" x14ac:dyDescent="0.3">
      <c r="D57" s="470" t="s">
        <v>1</v>
      </c>
      <c r="E57" s="471" t="s">
        <v>91</v>
      </c>
      <c r="F57" s="471" t="s">
        <v>89</v>
      </c>
      <c r="G57" s="471" t="s">
        <v>92</v>
      </c>
      <c r="H57" s="471" t="s">
        <v>318</v>
      </c>
      <c r="I57" s="471" t="s">
        <v>315</v>
      </c>
      <c r="J57" s="43" t="s">
        <v>316</v>
      </c>
      <c r="K57" s="43" t="s">
        <v>317</v>
      </c>
      <c r="L57" s="16" t="s">
        <v>435</v>
      </c>
      <c r="M57" s="112"/>
    </row>
    <row r="58" spans="3:16" ht="24" thickBot="1" x14ac:dyDescent="0.4">
      <c r="C58" s="438">
        <f>G64+G51</f>
        <v>221696178</v>
      </c>
      <c r="D58" s="472" t="s">
        <v>74</v>
      </c>
      <c r="E58" s="473">
        <v>123983</v>
      </c>
      <c r="F58" s="473">
        <v>1012</v>
      </c>
      <c r="G58" s="455">
        <f>E58*F58</f>
        <v>125470796</v>
      </c>
      <c r="H58" s="474" t="s">
        <v>413</v>
      </c>
      <c r="I58" s="455">
        <v>0.96960000000000002</v>
      </c>
      <c r="J58" s="461" t="s">
        <v>413</v>
      </c>
      <c r="K58" s="474">
        <v>28.7</v>
      </c>
      <c r="L58" s="92" t="s">
        <v>413</v>
      </c>
      <c r="M58" s="112"/>
    </row>
    <row r="59" spans="3:16" ht="24" thickBot="1" x14ac:dyDescent="0.4">
      <c r="D59" s="472" t="s">
        <v>75</v>
      </c>
      <c r="E59" s="456">
        <v>120203</v>
      </c>
      <c r="F59" s="456">
        <v>1012</v>
      </c>
      <c r="G59" s="455">
        <f>E59*F59</f>
        <v>121645436</v>
      </c>
      <c r="H59" s="476" t="s">
        <v>413</v>
      </c>
      <c r="I59" s="457">
        <v>0.97219999999999995</v>
      </c>
      <c r="J59" s="461" t="s">
        <v>413</v>
      </c>
      <c r="K59" s="476">
        <v>28.9</v>
      </c>
      <c r="L59" s="92" t="s">
        <v>413</v>
      </c>
      <c r="M59" s="112"/>
      <c r="N59" s="442">
        <v>1012</v>
      </c>
      <c r="O59" s="443">
        <v>1012</v>
      </c>
    </row>
    <row r="60" spans="3:16" ht="24" thickBot="1" x14ac:dyDescent="0.4">
      <c r="D60" s="472" t="s">
        <v>76</v>
      </c>
      <c r="E60" s="456">
        <v>115560</v>
      </c>
      <c r="F60" s="456">
        <v>1012</v>
      </c>
      <c r="G60" s="455">
        <f>E60*F60</f>
        <v>116946720</v>
      </c>
      <c r="H60" s="476" t="s">
        <v>413</v>
      </c>
      <c r="I60" s="457">
        <v>0.9738</v>
      </c>
      <c r="J60" s="461" t="s">
        <v>413</v>
      </c>
      <c r="K60" s="476">
        <v>29</v>
      </c>
      <c r="L60" s="92" t="s">
        <v>413</v>
      </c>
      <c r="M60" s="112"/>
      <c r="N60" s="444">
        <v>0.96960000000000002</v>
      </c>
      <c r="O60" s="445">
        <v>0.97219999999999995</v>
      </c>
    </row>
    <row r="61" spans="3:16" ht="23.25" thickBot="1" x14ac:dyDescent="0.35">
      <c r="D61" s="472" t="s">
        <v>4</v>
      </c>
      <c r="E61" s="477">
        <v>111515</v>
      </c>
      <c r="F61" s="478">
        <v>1395</v>
      </c>
      <c r="G61" s="479">
        <v>155579903</v>
      </c>
      <c r="H61" s="475">
        <v>0.98260000000000003</v>
      </c>
      <c r="I61" s="475">
        <v>0.97460000000000002</v>
      </c>
      <c r="J61" s="25">
        <v>48.89</v>
      </c>
      <c r="K61" s="92">
        <v>27.7</v>
      </c>
      <c r="L61" s="92" t="s">
        <v>413</v>
      </c>
      <c r="M61" s="112"/>
      <c r="N61" s="468">
        <v>28.7</v>
      </c>
      <c r="O61" s="469">
        <v>28.9</v>
      </c>
    </row>
    <row r="62" spans="3:16" ht="22.5" x14ac:dyDescent="0.3">
      <c r="D62" s="24" t="s">
        <v>5</v>
      </c>
      <c r="E62" s="108">
        <v>108573</v>
      </c>
      <c r="F62" s="26">
        <v>1361</v>
      </c>
      <c r="G62" s="109">
        <v>147753223</v>
      </c>
      <c r="H62" s="27">
        <v>0.98260000000000003</v>
      </c>
      <c r="I62" s="27">
        <v>0.97399999999999998</v>
      </c>
      <c r="J62" s="25">
        <v>49.53</v>
      </c>
      <c r="K62" s="92">
        <v>27.27</v>
      </c>
      <c r="L62" s="92" t="s">
        <v>413</v>
      </c>
      <c r="M62" s="112"/>
    </row>
    <row r="63" spans="3:16" ht="22.5" x14ac:dyDescent="0.3">
      <c r="D63" s="24" t="s">
        <v>6</v>
      </c>
      <c r="E63" s="108">
        <v>121610</v>
      </c>
      <c r="F63" s="26">
        <v>1365</v>
      </c>
      <c r="G63" s="109">
        <v>166014565</v>
      </c>
      <c r="H63" s="27">
        <v>0.98460000000000003</v>
      </c>
      <c r="I63" s="27">
        <v>0.9768</v>
      </c>
      <c r="J63" s="25">
        <v>49.39</v>
      </c>
      <c r="K63" s="92">
        <v>27.72</v>
      </c>
      <c r="L63" s="92" t="s">
        <v>413</v>
      </c>
      <c r="M63" s="112"/>
    </row>
    <row r="64" spans="3:16" ht="23.25" thickBot="1" x14ac:dyDescent="0.35">
      <c r="D64" s="29" t="s">
        <v>7</v>
      </c>
      <c r="E64" s="110">
        <v>125823</v>
      </c>
      <c r="F64" s="31">
        <v>1445</v>
      </c>
      <c r="G64" s="111">
        <v>181850580</v>
      </c>
      <c r="H64" s="32">
        <v>0.98499999999999999</v>
      </c>
      <c r="I64" s="32">
        <v>0.97629999999999995</v>
      </c>
      <c r="J64" s="30">
        <v>49.66</v>
      </c>
      <c r="K64" s="94">
        <v>27.81</v>
      </c>
      <c r="L64" s="92" t="s">
        <v>413</v>
      </c>
      <c r="M64" s="112"/>
    </row>
    <row r="65" spans="4:13" ht="22.5" x14ac:dyDescent="0.3">
      <c r="D65" s="112"/>
      <c r="E65" s="492">
        <f>E61+E48</f>
        <v>145379</v>
      </c>
      <c r="F65" s="493">
        <f>F61*E61*2+F48*E48*2</f>
        <v>392535906</v>
      </c>
      <c r="G65" s="112"/>
      <c r="H65" s="112"/>
      <c r="I65" s="112"/>
      <c r="J65" s="112"/>
      <c r="K65" s="112"/>
      <c r="L65" s="112"/>
      <c r="M65" s="112"/>
    </row>
    <row r="66" spans="4:13" ht="22.5" x14ac:dyDescent="0.3">
      <c r="D66" s="112"/>
      <c r="E66" s="492">
        <f>E62+E49</f>
        <v>134267</v>
      </c>
      <c r="F66" s="493">
        <f>F62*E62*2+F49*E49*2</f>
        <v>353809698</v>
      </c>
      <c r="G66" s="112"/>
      <c r="H66" s="112"/>
      <c r="I66" s="112"/>
      <c r="J66" s="112"/>
      <c r="K66" s="112"/>
      <c r="L66" s="112"/>
      <c r="M66" s="112"/>
    </row>
    <row r="67" spans="4:13" ht="22.5" x14ac:dyDescent="0.3">
      <c r="D67" s="112"/>
      <c r="E67" s="492">
        <f>E63+E50</f>
        <v>149753</v>
      </c>
      <c r="F67" s="493">
        <f>F63*E63*2+F50*E50*2</f>
        <v>399257070</v>
      </c>
      <c r="G67" s="112"/>
      <c r="H67" s="112"/>
      <c r="I67" s="112"/>
      <c r="J67" s="112"/>
      <c r="K67" s="112"/>
      <c r="L67" s="112"/>
      <c r="M67" s="112"/>
    </row>
    <row r="68" spans="4:13" ht="22.5" x14ac:dyDescent="0.3">
      <c r="D68" s="112"/>
      <c r="E68" s="492">
        <f>E64+E51</f>
        <v>156537</v>
      </c>
      <c r="F68" s="493">
        <f>F64*E64*2+F51*E51*2</f>
        <v>443300586</v>
      </c>
      <c r="G68" s="112"/>
      <c r="H68" s="112"/>
      <c r="I68" s="112"/>
      <c r="J68" s="112"/>
      <c r="K68" s="112"/>
      <c r="L68" s="112"/>
      <c r="M68" s="112"/>
    </row>
    <row r="69" spans="4:13" ht="23.25" thickBot="1" x14ac:dyDescent="0.35">
      <c r="D69" s="1963" t="s">
        <v>96</v>
      </c>
      <c r="E69" s="1963"/>
      <c r="F69" s="1963"/>
      <c r="G69" s="1963"/>
      <c r="H69" s="1963"/>
      <c r="I69" s="1963"/>
      <c r="J69" s="1963"/>
      <c r="K69" s="1963"/>
      <c r="L69" s="112"/>
      <c r="M69" s="112"/>
    </row>
    <row r="70" spans="4:13" ht="22.5" x14ac:dyDescent="0.3">
      <c r="D70" s="42" t="s">
        <v>88</v>
      </c>
      <c r="E70" s="43" t="s">
        <v>97</v>
      </c>
      <c r="F70" s="43" t="s">
        <v>98</v>
      </c>
      <c r="G70" s="43" t="s">
        <v>99</v>
      </c>
      <c r="H70" s="43" t="s">
        <v>100</v>
      </c>
      <c r="I70" s="43" t="s">
        <v>12</v>
      </c>
      <c r="J70" s="43" t="s">
        <v>13</v>
      </c>
      <c r="K70" s="16" t="s">
        <v>14</v>
      </c>
      <c r="L70" s="112"/>
      <c r="M70" s="112"/>
    </row>
    <row r="71" spans="4:13" ht="22.5" x14ac:dyDescent="0.3">
      <c r="D71" s="85">
        <v>708</v>
      </c>
      <c r="E71" s="86">
        <v>7592096</v>
      </c>
      <c r="F71" s="113" t="s">
        <v>101</v>
      </c>
      <c r="G71" s="113" t="s">
        <v>101</v>
      </c>
      <c r="H71" s="113" t="s">
        <v>101</v>
      </c>
      <c r="I71" s="25" t="s">
        <v>101</v>
      </c>
      <c r="J71" s="25" t="s">
        <v>101</v>
      </c>
      <c r="K71" s="92" t="s">
        <v>101</v>
      </c>
      <c r="L71" s="112"/>
      <c r="M71" s="112"/>
    </row>
    <row r="72" spans="4:13" ht="22.5" x14ac:dyDescent="0.3">
      <c r="D72" s="85">
        <v>809</v>
      </c>
      <c r="E72" s="86">
        <v>8140742</v>
      </c>
      <c r="F72" s="113">
        <v>1.0277356</v>
      </c>
      <c r="G72" s="113">
        <v>1.019158</v>
      </c>
      <c r="H72" s="113">
        <v>1.0234468000000001</v>
      </c>
      <c r="I72" s="25">
        <v>1.0530999999999999</v>
      </c>
      <c r="J72" s="25">
        <v>1.0443</v>
      </c>
      <c r="K72" s="92">
        <v>1.0487</v>
      </c>
      <c r="L72" s="112"/>
      <c r="M72" s="112"/>
    </row>
    <row r="73" spans="4:13" ht="22.5" x14ac:dyDescent="0.3">
      <c r="D73" s="85">
        <v>910</v>
      </c>
      <c r="E73" s="86">
        <v>8465757</v>
      </c>
      <c r="F73" s="113">
        <v>1.0813896999999999</v>
      </c>
      <c r="G73" s="113">
        <v>1.0545282</v>
      </c>
      <c r="H73" s="113">
        <v>1.0679589</v>
      </c>
      <c r="I73" s="25">
        <v>0.98170000000000002</v>
      </c>
      <c r="J73" s="25">
        <v>0.95730000000000004</v>
      </c>
      <c r="K73" s="92">
        <v>0.96950000000000003</v>
      </c>
      <c r="L73" s="112"/>
      <c r="M73" s="112"/>
    </row>
    <row r="74" spans="4:13" ht="23.25" thickBot="1" x14ac:dyDescent="0.35">
      <c r="D74" s="88">
        <v>1011</v>
      </c>
      <c r="E74" s="89">
        <v>8755081</v>
      </c>
      <c r="F74" s="114">
        <v>1.0090849</v>
      </c>
      <c r="G74" s="114">
        <v>1.0081461</v>
      </c>
      <c r="H74" s="114">
        <v>1.0086155000000001</v>
      </c>
      <c r="I74" s="30">
        <v>1.044</v>
      </c>
      <c r="J74" s="30">
        <v>1.0429999999999999</v>
      </c>
      <c r="K74" s="94">
        <v>1.0435000000000001</v>
      </c>
      <c r="L74" s="112"/>
      <c r="M74" s="112"/>
    </row>
    <row r="75" spans="4:13" ht="22.5" x14ac:dyDescent="0.3">
      <c r="D75" s="112"/>
      <c r="E75" s="112"/>
      <c r="F75" s="112"/>
      <c r="G75" s="112"/>
      <c r="H75" s="112"/>
      <c r="I75" s="112"/>
      <c r="J75" s="112"/>
      <c r="K75" s="112"/>
      <c r="L75" s="112"/>
      <c r="M75" s="112"/>
    </row>
    <row r="76" spans="4:13" ht="22.5" x14ac:dyDescent="0.3">
      <c r="D76" s="112"/>
      <c r="E76" s="112"/>
      <c r="F76" s="112"/>
      <c r="G76" s="112"/>
      <c r="H76" s="112"/>
      <c r="I76" s="112"/>
      <c r="J76" s="112"/>
      <c r="K76" s="112"/>
      <c r="L76" s="112"/>
      <c r="M76" s="112"/>
    </row>
    <row r="77" spans="4:13" ht="22.5" x14ac:dyDescent="0.3">
      <c r="D77" s="112"/>
      <c r="E77" s="112"/>
      <c r="F77" s="112"/>
      <c r="G77" s="112"/>
      <c r="H77" s="112"/>
      <c r="I77" s="112"/>
      <c r="J77" s="112"/>
      <c r="K77" s="112"/>
      <c r="L77" s="112"/>
      <c r="M77" s="112"/>
    </row>
    <row r="78" spans="4:13" ht="22.5" x14ac:dyDescent="0.3">
      <c r="D78" s="112"/>
      <c r="E78" s="112"/>
      <c r="F78" s="112"/>
      <c r="G78" s="112"/>
      <c r="H78" s="112"/>
      <c r="I78" s="112"/>
      <c r="J78" s="112"/>
      <c r="K78" s="112"/>
      <c r="L78" s="112"/>
      <c r="M78" s="112"/>
    </row>
    <row r="79" spans="4:13" ht="23.25" thickBot="1" x14ac:dyDescent="0.35">
      <c r="D79" s="1963" t="s">
        <v>102</v>
      </c>
      <c r="E79" s="1963"/>
      <c r="F79" s="1963"/>
      <c r="G79" s="1963"/>
      <c r="H79" s="1963"/>
      <c r="I79" s="1963"/>
      <c r="J79" s="1963"/>
      <c r="K79" s="1963"/>
      <c r="L79" s="112"/>
      <c r="M79" s="112"/>
    </row>
    <row r="80" spans="4:13" ht="22.5" x14ac:dyDescent="0.3">
      <c r="D80" s="42" t="s">
        <v>88</v>
      </c>
      <c r="E80" s="43" t="s">
        <v>97</v>
      </c>
      <c r="F80" s="43" t="s">
        <v>98</v>
      </c>
      <c r="G80" s="43" t="s">
        <v>99</v>
      </c>
      <c r="H80" s="43" t="s">
        <v>100</v>
      </c>
      <c r="I80" s="43" t="s">
        <v>12</v>
      </c>
      <c r="J80" s="43" t="s">
        <v>13</v>
      </c>
      <c r="K80" s="16" t="s">
        <v>14</v>
      </c>
      <c r="L80" s="112"/>
      <c r="M80" s="112"/>
    </row>
    <row r="81" spans="4:13" ht="22.5" x14ac:dyDescent="0.3">
      <c r="D81" s="85">
        <v>708</v>
      </c>
      <c r="E81" s="86">
        <v>6550929</v>
      </c>
      <c r="F81" s="113" t="s">
        <v>101</v>
      </c>
      <c r="G81" s="113" t="s">
        <v>101</v>
      </c>
      <c r="H81" s="113" t="s">
        <v>101</v>
      </c>
      <c r="I81" s="25" t="s">
        <v>101</v>
      </c>
      <c r="J81" s="25" t="s">
        <v>101</v>
      </c>
      <c r="K81" s="92" t="s">
        <v>101</v>
      </c>
      <c r="L81" s="112"/>
      <c r="M81" s="112"/>
    </row>
    <row r="82" spans="4:13" ht="22.5" x14ac:dyDescent="0.3">
      <c r="D82" s="85">
        <v>809</v>
      </c>
      <c r="E82" s="86">
        <v>6782044</v>
      </c>
      <c r="F82" s="113">
        <v>1.0706081000000001</v>
      </c>
      <c r="G82" s="113">
        <v>1.0976075000000001</v>
      </c>
      <c r="H82" s="113">
        <v>1.0841078</v>
      </c>
      <c r="I82" s="25">
        <v>0.99</v>
      </c>
      <c r="J82" s="25">
        <v>1.0149999999999999</v>
      </c>
      <c r="K82" s="92">
        <v>1.0024999999999999</v>
      </c>
      <c r="L82" s="112"/>
      <c r="M82" s="112"/>
    </row>
    <row r="83" spans="4:13" ht="22.5" x14ac:dyDescent="0.3">
      <c r="D83" s="85">
        <v>910</v>
      </c>
      <c r="E83" s="86">
        <v>6951379</v>
      </c>
      <c r="F83" s="113">
        <v>1.0516683</v>
      </c>
      <c r="G83" s="113">
        <v>1.0639358000000001</v>
      </c>
      <c r="H83" s="113">
        <v>1.0578019999999999</v>
      </c>
      <c r="I83" s="25">
        <v>1.0054000000000001</v>
      </c>
      <c r="J83" s="25">
        <v>1.0170999999999999</v>
      </c>
      <c r="K83" s="92">
        <v>1.0112000000000001</v>
      </c>
      <c r="L83" s="112"/>
      <c r="M83" s="112"/>
    </row>
    <row r="84" spans="4:13" ht="23.25" thickBot="1" x14ac:dyDescent="0.35">
      <c r="D84" s="88">
        <v>1011</v>
      </c>
      <c r="E84" s="89">
        <v>7109358</v>
      </c>
      <c r="F84" s="114">
        <v>1.0112569</v>
      </c>
      <c r="G84" s="114">
        <v>1.0290861</v>
      </c>
      <c r="H84" s="114">
        <v>1.0201715</v>
      </c>
      <c r="I84" s="30">
        <v>1.0249999999999999</v>
      </c>
      <c r="J84" s="30">
        <v>1.0429999999999999</v>
      </c>
      <c r="K84" s="94">
        <v>1.034</v>
      </c>
      <c r="L84" s="112"/>
      <c r="M84" s="112"/>
    </row>
    <row r="85" spans="4:13" ht="22.5" x14ac:dyDescent="0.3">
      <c r="D85" s="112"/>
      <c r="E85" s="112"/>
      <c r="F85" s="112"/>
      <c r="G85" s="112"/>
      <c r="H85" s="112"/>
      <c r="I85" s="112"/>
      <c r="J85" s="112"/>
      <c r="K85" s="112"/>
      <c r="L85" s="112"/>
      <c r="M85" s="112"/>
    </row>
    <row r="86" spans="4:13" ht="22.5" x14ac:dyDescent="0.3">
      <c r="D86" s="112"/>
      <c r="E86" s="112"/>
      <c r="F86" s="112"/>
      <c r="G86" s="112"/>
      <c r="H86" s="112"/>
      <c r="I86" s="112"/>
      <c r="J86" s="112"/>
      <c r="K86" s="112"/>
      <c r="L86" s="112"/>
      <c r="M86" s="112"/>
    </row>
    <row r="87" spans="4:13" ht="22.5" x14ac:dyDescent="0.3">
      <c r="D87" s="112"/>
      <c r="E87" s="112"/>
      <c r="F87" s="112"/>
      <c r="G87" s="112"/>
      <c r="H87" s="112"/>
      <c r="I87" s="112"/>
      <c r="J87" s="112"/>
      <c r="K87" s="112"/>
      <c r="L87" s="112"/>
      <c r="M87" s="112"/>
    </row>
    <row r="88" spans="4:13" ht="22.5" x14ac:dyDescent="0.3">
      <c r="D88" s="112"/>
      <c r="E88" s="112"/>
      <c r="F88" s="112"/>
      <c r="G88" s="112"/>
      <c r="H88" s="112"/>
      <c r="I88" s="112"/>
      <c r="J88" s="112"/>
      <c r="K88" s="112"/>
      <c r="L88" s="112"/>
      <c r="M88" s="112"/>
    </row>
    <row r="89" spans="4:13" ht="23.25" thickBot="1" x14ac:dyDescent="0.35">
      <c r="D89" s="1963" t="s">
        <v>103</v>
      </c>
      <c r="E89" s="1963"/>
      <c r="F89" s="1963"/>
      <c r="G89" s="1963"/>
      <c r="H89" s="1963"/>
      <c r="I89" s="1963"/>
      <c r="J89" s="1963"/>
      <c r="K89" s="1963"/>
      <c r="L89" s="112"/>
      <c r="M89" s="112"/>
    </row>
    <row r="90" spans="4:13" ht="22.5" x14ac:dyDescent="0.3">
      <c r="D90" s="42" t="s">
        <v>88</v>
      </c>
      <c r="E90" s="43" t="s">
        <v>97</v>
      </c>
      <c r="F90" s="43" t="s">
        <v>98</v>
      </c>
      <c r="G90" s="43" t="s">
        <v>99</v>
      </c>
      <c r="H90" s="43" t="s">
        <v>100</v>
      </c>
      <c r="I90" s="43" t="s">
        <v>12</v>
      </c>
      <c r="J90" s="43" t="s">
        <v>13</v>
      </c>
      <c r="K90" s="16" t="s">
        <v>14</v>
      </c>
      <c r="L90" s="112"/>
      <c r="M90" s="112"/>
    </row>
    <row r="91" spans="4:13" ht="22.5" x14ac:dyDescent="0.3">
      <c r="D91" s="85">
        <v>708</v>
      </c>
      <c r="E91" s="86">
        <v>33864</v>
      </c>
      <c r="F91" s="113" t="s">
        <v>101</v>
      </c>
      <c r="G91" s="113" t="s">
        <v>101</v>
      </c>
      <c r="H91" s="113" t="s">
        <v>101</v>
      </c>
      <c r="I91" s="25" t="s">
        <v>101</v>
      </c>
      <c r="J91" s="25" t="s">
        <v>101</v>
      </c>
      <c r="K91" s="92" t="s">
        <v>101</v>
      </c>
      <c r="L91" s="112"/>
      <c r="M91" s="112"/>
    </row>
    <row r="92" spans="4:13" ht="22.5" x14ac:dyDescent="0.3">
      <c r="D92" s="85">
        <v>809</v>
      </c>
      <c r="E92" s="86">
        <v>25694</v>
      </c>
      <c r="F92" s="113">
        <v>0.91480139999999999</v>
      </c>
      <c r="G92" s="113">
        <v>0.94699979999999995</v>
      </c>
      <c r="H92" s="113">
        <v>0.93090059999999997</v>
      </c>
      <c r="I92" s="25">
        <v>0.75580000000000003</v>
      </c>
      <c r="J92" s="25">
        <v>0.78239999999999998</v>
      </c>
      <c r="K92" s="92">
        <v>0.76910000000000001</v>
      </c>
      <c r="L92" s="112"/>
      <c r="M92" s="112"/>
    </row>
    <row r="93" spans="4:13" ht="22.5" x14ac:dyDescent="0.3">
      <c r="D93" s="85">
        <v>910</v>
      </c>
      <c r="E93" s="86">
        <v>28143</v>
      </c>
      <c r="F93" s="113">
        <v>1.0557335999999999</v>
      </c>
      <c r="G93" s="113">
        <v>1.0560243</v>
      </c>
      <c r="H93" s="113">
        <v>1.055879</v>
      </c>
      <c r="I93" s="25">
        <v>1.0932999999999999</v>
      </c>
      <c r="J93" s="25">
        <v>1.0935999999999999</v>
      </c>
      <c r="K93" s="92">
        <v>1.0934999999999999</v>
      </c>
      <c r="L93" s="112"/>
      <c r="M93" s="112"/>
    </row>
    <row r="94" spans="4:13" ht="23.25" thickBot="1" x14ac:dyDescent="0.35">
      <c r="D94" s="88">
        <v>1011</v>
      </c>
      <c r="E94" s="89">
        <v>30714</v>
      </c>
      <c r="F94" s="114">
        <v>1.0875363</v>
      </c>
      <c r="G94" s="114">
        <v>1.0879146</v>
      </c>
      <c r="H94" s="114">
        <v>1.0877254999999999</v>
      </c>
      <c r="I94" s="30">
        <v>1.0887</v>
      </c>
      <c r="J94" s="30">
        <v>1.0891</v>
      </c>
      <c r="K94" s="94">
        <v>1.0889</v>
      </c>
      <c r="L94" s="112"/>
      <c r="M94" s="112"/>
    </row>
    <row r="95" spans="4:13" ht="22.5" x14ac:dyDescent="0.3">
      <c r="D95" s="112"/>
      <c r="E95" s="112"/>
      <c r="F95" s="112"/>
      <c r="G95" s="112"/>
      <c r="H95" s="112"/>
      <c r="I95" s="112"/>
      <c r="J95" s="112"/>
      <c r="K95" s="112"/>
      <c r="L95" s="112"/>
      <c r="M95" s="112"/>
    </row>
    <row r="96" spans="4:13" ht="22.5" x14ac:dyDescent="0.3">
      <c r="D96" s="112"/>
      <c r="E96" s="112"/>
      <c r="F96" s="112"/>
      <c r="G96" s="112"/>
      <c r="H96" s="112"/>
      <c r="I96" s="112"/>
      <c r="J96" s="112"/>
      <c r="K96" s="112"/>
      <c r="L96" s="112"/>
      <c r="M96" s="112"/>
    </row>
    <row r="97" spans="4:13" ht="22.5" x14ac:dyDescent="0.3">
      <c r="D97" s="112"/>
      <c r="E97" s="112"/>
      <c r="F97" s="112"/>
      <c r="G97" s="112"/>
      <c r="H97" s="112"/>
      <c r="I97" s="112"/>
      <c r="J97" s="112"/>
      <c r="K97" s="112"/>
      <c r="L97" s="112"/>
      <c r="M97" s="112"/>
    </row>
    <row r="98" spans="4:13" ht="22.5" x14ac:dyDescent="0.3">
      <c r="D98" s="112"/>
      <c r="E98" s="112"/>
      <c r="F98" s="112"/>
      <c r="G98" s="112"/>
      <c r="H98" s="112"/>
      <c r="I98" s="112"/>
      <c r="J98" s="112"/>
      <c r="K98" s="112"/>
      <c r="L98" s="112"/>
      <c r="M98" s="112"/>
    </row>
    <row r="99" spans="4:13" ht="23.25" thickBot="1" x14ac:dyDescent="0.35">
      <c r="D99" s="1963" t="s">
        <v>104</v>
      </c>
      <c r="E99" s="1963"/>
      <c r="F99" s="1963"/>
      <c r="G99" s="1963"/>
      <c r="H99" s="1963"/>
      <c r="I99" s="1963"/>
      <c r="J99" s="1963"/>
      <c r="K99" s="1963"/>
      <c r="L99" s="112"/>
      <c r="M99" s="112"/>
    </row>
    <row r="100" spans="4:13" ht="22.5" x14ac:dyDescent="0.3">
      <c r="D100" s="42" t="s">
        <v>88</v>
      </c>
      <c r="E100" s="43" t="s">
        <v>97</v>
      </c>
      <c r="F100" s="43" t="s">
        <v>98</v>
      </c>
      <c r="G100" s="43" t="s">
        <v>99</v>
      </c>
      <c r="H100" s="43" t="s">
        <v>100</v>
      </c>
      <c r="I100" s="43" t="s">
        <v>12</v>
      </c>
      <c r="J100" s="43" t="s">
        <v>13</v>
      </c>
      <c r="K100" s="16" t="s">
        <v>14</v>
      </c>
      <c r="L100" s="112"/>
      <c r="M100" s="112"/>
    </row>
    <row r="101" spans="4:13" ht="22.5" x14ac:dyDescent="0.3">
      <c r="D101" s="85">
        <v>708</v>
      </c>
      <c r="E101" s="86">
        <v>111515</v>
      </c>
      <c r="F101" s="113" t="s">
        <v>101</v>
      </c>
      <c r="G101" s="113" t="s">
        <v>101</v>
      </c>
      <c r="H101" s="113" t="s">
        <v>101</v>
      </c>
      <c r="I101" s="25" t="s">
        <v>101</v>
      </c>
      <c r="J101" s="25" t="s">
        <v>101</v>
      </c>
      <c r="K101" s="92" t="s">
        <v>101</v>
      </c>
      <c r="L101" s="112"/>
      <c r="M101" s="112"/>
    </row>
    <row r="102" spans="4:13" ht="22.5" x14ac:dyDescent="0.3">
      <c r="D102" s="85">
        <v>809</v>
      </c>
      <c r="E102" s="86">
        <v>108573</v>
      </c>
      <c r="F102" s="113">
        <v>0.96501700000000001</v>
      </c>
      <c r="G102" s="113">
        <v>0.98091799999999996</v>
      </c>
      <c r="H102" s="113">
        <v>0.97296749999999999</v>
      </c>
      <c r="I102" s="25">
        <v>0.96819999999999995</v>
      </c>
      <c r="J102" s="25">
        <v>0.98409999999999997</v>
      </c>
      <c r="K102" s="92">
        <v>0.97609999999999997</v>
      </c>
      <c r="L102" s="112"/>
      <c r="M102" s="112"/>
    </row>
    <row r="103" spans="4:13" ht="22.5" x14ac:dyDescent="0.3">
      <c r="D103" s="85">
        <v>910</v>
      </c>
      <c r="E103" s="86">
        <v>121610</v>
      </c>
      <c r="F103" s="113">
        <v>1.0036959000000001</v>
      </c>
      <c r="G103" s="113">
        <v>1.0036289</v>
      </c>
      <c r="H103" s="113">
        <v>1.0036624000000001</v>
      </c>
      <c r="I103" s="25">
        <v>1.1194999999999999</v>
      </c>
      <c r="J103" s="25">
        <v>1.1194999999999999</v>
      </c>
      <c r="K103" s="92">
        <v>1.1194999999999999</v>
      </c>
      <c r="L103" s="112"/>
      <c r="M103" s="112"/>
    </row>
    <row r="104" spans="4:13" ht="23.25" thickBot="1" x14ac:dyDescent="0.35">
      <c r="D104" s="88">
        <v>1011</v>
      </c>
      <c r="E104" s="89">
        <v>125823</v>
      </c>
      <c r="F104" s="114">
        <v>1.0582005000000001</v>
      </c>
      <c r="G104" s="114">
        <v>1.0580438000000001</v>
      </c>
      <c r="H104" s="114">
        <v>1.0581221999999999</v>
      </c>
      <c r="I104" s="30">
        <v>1.0353000000000001</v>
      </c>
      <c r="J104" s="30">
        <v>1.0350999999999999</v>
      </c>
      <c r="K104" s="94">
        <v>1.0351999999999999</v>
      </c>
      <c r="L104" s="112"/>
      <c r="M104" s="112"/>
    </row>
    <row r="105" spans="4:13" ht="22.5" x14ac:dyDescent="0.3">
      <c r="D105" s="112"/>
      <c r="E105" s="112"/>
      <c r="F105" s="112"/>
      <c r="G105" s="112"/>
      <c r="H105" s="112"/>
      <c r="I105" s="112"/>
      <c r="J105" s="112"/>
      <c r="K105" s="112"/>
      <c r="L105" s="112"/>
      <c r="M105" s="112"/>
    </row>
    <row r="109" spans="4:13" ht="22.5" x14ac:dyDescent="0.3">
      <c r="D109" s="112" t="s">
        <v>310</v>
      </c>
    </row>
    <row r="110" spans="4:13" ht="22.5" x14ac:dyDescent="0.3">
      <c r="D110" s="112" t="s">
        <v>311</v>
      </c>
    </row>
    <row r="111" spans="4:13" ht="22.5" x14ac:dyDescent="0.3">
      <c r="D111" s="112" t="s">
        <v>312</v>
      </c>
    </row>
    <row r="112" spans="4:13" ht="22.5" x14ac:dyDescent="0.3">
      <c r="D112" s="112" t="s">
        <v>313</v>
      </c>
    </row>
  </sheetData>
  <customSheetViews>
    <customSheetView guid="{9EA95E61-FCA5-4867-AEB4-B8C24058ACDD}" scale="60" showGridLines="0" showRowCol="0" state="hidden" topLeftCell="A24">
      <selection activeCell="H42" sqref="H42"/>
      <pageMargins left="0.7" right="0.7" top="0.75" bottom="0.75" header="0.3" footer="0.3"/>
      <pageSetup paperSize="9" orientation="portrait" r:id="rId1"/>
    </customSheetView>
  </customSheetViews>
  <mergeCells count="8">
    <mergeCell ref="D99:K99"/>
    <mergeCell ref="D56:K56"/>
    <mergeCell ref="D69:K69"/>
    <mergeCell ref="D43:M43"/>
    <mergeCell ref="D11:M11"/>
    <mergeCell ref="D30:K30"/>
    <mergeCell ref="D79:K79"/>
    <mergeCell ref="D89:K89"/>
  </mergeCells>
  <pageMargins left="0.7" right="0.7" top="0.75" bottom="0.75" header="0.3" footer="0.3"/>
  <pageSetup paperSize="9" orientation="portrait" r:id="rId2"/>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B1:B4"/>
  <sheetViews>
    <sheetView workbookViewId="0">
      <selection activeCell="D2" sqref="D2"/>
    </sheetView>
  </sheetViews>
  <sheetFormatPr defaultRowHeight="15" x14ac:dyDescent="0.25"/>
  <cols>
    <col min="1" max="1" width="30.85546875" customWidth="1"/>
  </cols>
  <sheetData>
    <row r="1" spans="2:2" ht="312" customHeight="1" x14ac:dyDescent="0.25">
      <c r="B1" t="s">
        <v>570</v>
      </c>
    </row>
    <row r="2" spans="2:2" ht="310.5" customHeight="1" x14ac:dyDescent="0.25">
      <c r="B2" t="s">
        <v>568</v>
      </c>
    </row>
    <row r="3" spans="2:2" ht="312.75" customHeight="1" x14ac:dyDescent="0.25">
      <c r="B3" t="s">
        <v>569</v>
      </c>
    </row>
    <row r="4" spans="2:2" ht="312" customHeight="1" x14ac:dyDescent="0.25">
      <c r="B4" t="s">
        <v>571</v>
      </c>
    </row>
  </sheetData>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3"/>
  <sheetViews>
    <sheetView workbookViewId="0">
      <selection activeCell="H4" sqref="H4"/>
    </sheetView>
  </sheetViews>
  <sheetFormatPr defaultRowHeight="15" x14ac:dyDescent="0.25"/>
  <cols>
    <col min="1" max="1" width="31.5703125" customWidth="1"/>
  </cols>
  <sheetData>
    <row r="1" spans="2:2" ht="85.5" customHeight="1" x14ac:dyDescent="0.25">
      <c r="B1" t="s">
        <v>578</v>
      </c>
    </row>
    <row r="2" spans="2:2" ht="85.5" customHeight="1" x14ac:dyDescent="0.25">
      <c r="B2" t="s">
        <v>583</v>
      </c>
    </row>
    <row r="3" spans="2:2" ht="86.25" customHeight="1" x14ac:dyDescent="0.25">
      <c r="B3" t="s">
        <v>582</v>
      </c>
    </row>
  </sheetData>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3"/>
  <sheetViews>
    <sheetView workbookViewId="0">
      <selection activeCell="C8" sqref="C8"/>
    </sheetView>
  </sheetViews>
  <sheetFormatPr defaultRowHeight="15" x14ac:dyDescent="0.25"/>
  <cols>
    <col min="1" max="1" width="31.140625" customWidth="1"/>
    <col min="2" max="2" width="64.28515625" customWidth="1"/>
  </cols>
  <sheetData>
    <row r="1" spans="2:2" ht="101.25" customHeight="1" x14ac:dyDescent="0.25">
      <c r="B1" t="s">
        <v>582</v>
      </c>
    </row>
    <row r="2" spans="2:2" ht="108" customHeight="1" x14ac:dyDescent="0.25">
      <c r="B2" t="s">
        <v>578</v>
      </c>
    </row>
    <row r="3" spans="2:2" ht="105.75" customHeight="1" x14ac:dyDescent="0.25">
      <c r="B3" t="s">
        <v>583</v>
      </c>
    </row>
  </sheetData>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AE289"/>
  <sheetViews>
    <sheetView showGridLines="0" showRowColHeaders="0" zoomScaleNormal="100" workbookViewId="0">
      <selection activeCell="B78" sqref="B78"/>
    </sheetView>
  </sheetViews>
  <sheetFormatPr defaultRowHeight="15" x14ac:dyDescent="0.25"/>
  <cols>
    <col min="1" max="1" width="9.140625" style="233"/>
    <col min="2" max="2" width="16.5703125" style="233" customWidth="1"/>
    <col min="3" max="3" width="14.7109375" style="233" customWidth="1"/>
    <col min="4" max="4" width="11.7109375" style="233" customWidth="1"/>
    <col min="5" max="5" width="4.7109375" style="233" customWidth="1"/>
    <col min="6" max="7" width="10.85546875" style="233" customWidth="1"/>
    <col min="8" max="8" width="6.7109375" style="233" customWidth="1"/>
    <col min="9" max="9" width="5.5703125" style="233" customWidth="1"/>
    <col min="10" max="10" width="25.7109375" style="233" customWidth="1"/>
    <col min="11" max="11" width="6.7109375" style="233" customWidth="1"/>
    <col min="12" max="16" width="8.7109375" style="233" customWidth="1"/>
    <col min="17" max="16384" width="9.140625" style="233"/>
  </cols>
  <sheetData>
    <row r="1" spans="1:31" x14ac:dyDescent="0.25">
      <c r="B1" s="658"/>
      <c r="C1" s="658"/>
      <c r="D1" s="658"/>
      <c r="E1" s="658"/>
      <c r="F1" s="658"/>
    </row>
    <row r="4" spans="1:31" ht="31.5" x14ac:dyDescent="0.5">
      <c r="B4" s="626" t="s">
        <v>554</v>
      </c>
    </row>
    <row r="5" spans="1:31" ht="18" customHeight="1" x14ac:dyDescent="0.9">
      <c r="B5" s="762"/>
    </row>
    <row r="6" spans="1:31" ht="18" customHeight="1" x14ac:dyDescent="0.25">
      <c r="B6" s="627" t="s">
        <v>393</v>
      </c>
      <c r="C6" s="276"/>
      <c r="D6" s="276"/>
      <c r="E6" s="276"/>
      <c r="F6" s="276"/>
      <c r="G6" s="276"/>
      <c r="H6" s="276"/>
      <c r="I6" s="276"/>
      <c r="J6" s="276"/>
      <c r="K6" s="276"/>
      <c r="L6" s="276"/>
    </row>
    <row r="7" spans="1:31" ht="18" customHeight="1" x14ac:dyDescent="0.25">
      <c r="A7" s="259">
        <v>1</v>
      </c>
      <c r="B7" s="723" t="s">
        <v>429</v>
      </c>
      <c r="C7" s="279"/>
      <c r="D7" s="279"/>
      <c r="E7" s="279"/>
      <c r="F7" s="279"/>
      <c r="G7" s="276"/>
      <c r="H7" s="276"/>
      <c r="I7" s="276"/>
      <c r="J7" s="276"/>
      <c r="K7" s="276"/>
      <c r="L7" s="276"/>
    </row>
    <row r="8" spans="1:31" ht="18" customHeight="1" x14ac:dyDescent="0.25">
      <c r="A8" s="259"/>
      <c r="B8" s="723"/>
      <c r="C8" s="279"/>
      <c r="D8" s="279"/>
      <c r="E8" s="279"/>
      <c r="F8" s="279"/>
      <c r="G8" s="276"/>
      <c r="H8" s="276"/>
      <c r="I8" s="276"/>
      <c r="J8" s="276"/>
      <c r="K8" s="276"/>
      <c r="L8" s="276"/>
    </row>
    <row r="9" spans="1:31" ht="18" customHeight="1" x14ac:dyDescent="0.25">
      <c r="A9" s="259"/>
      <c r="B9" s="723"/>
      <c r="C9" s="279"/>
      <c r="D9" s="279"/>
      <c r="E9" s="279"/>
      <c r="F9" s="279"/>
      <c r="G9" s="276"/>
      <c r="H9" s="276"/>
      <c r="I9" s="276"/>
      <c r="J9" s="276"/>
      <c r="K9" s="276"/>
      <c r="L9" s="276"/>
    </row>
    <row r="10" spans="1:31" ht="18" customHeight="1" x14ac:dyDescent="0.25">
      <c r="B10" s="627"/>
      <c r="C10" s="276"/>
      <c r="D10" s="276"/>
      <c r="E10" s="276"/>
      <c r="F10" s="276"/>
      <c r="G10" s="276"/>
      <c r="H10" s="276"/>
      <c r="I10" s="276"/>
      <c r="J10" s="276"/>
      <c r="K10" s="276"/>
      <c r="L10" s="276"/>
    </row>
    <row r="11" spans="1:31" ht="26.1" customHeight="1" x14ac:dyDescent="0.25">
      <c r="A11" s="763"/>
      <c r="B11" s="770" t="s">
        <v>428</v>
      </c>
      <c r="C11" s="1529" t="s">
        <v>536</v>
      </c>
      <c r="D11" s="790" t="s">
        <v>654</v>
      </c>
      <c r="E11" s="1529"/>
      <c r="F11" s="1529" t="s">
        <v>526</v>
      </c>
      <c r="G11" s="1529" t="s">
        <v>507</v>
      </c>
      <c r="H11" s="1453" t="s">
        <v>635</v>
      </c>
      <c r="I11" s="1954" t="s">
        <v>503</v>
      </c>
      <c r="J11" s="1954"/>
      <c r="K11" s="1454" t="s">
        <v>536</v>
      </c>
      <c r="L11" s="694"/>
      <c r="M11" s="694"/>
      <c r="N11" s="694"/>
      <c r="O11" s="694"/>
      <c r="P11" s="694"/>
      <c r="Q11" s="694"/>
      <c r="R11" s="657"/>
      <c r="S11" s="657"/>
      <c r="T11" s="657"/>
      <c r="U11" s="657"/>
      <c r="V11" s="657"/>
      <c r="W11" s="657"/>
      <c r="X11" s="765"/>
      <c r="Y11" s="765"/>
      <c r="Z11" s="765"/>
    </row>
    <row r="12" spans="1:31" ht="26.1" customHeight="1" x14ac:dyDescent="0.25">
      <c r="A12" s="763"/>
      <c r="B12" s="770" t="s">
        <v>266</v>
      </c>
      <c r="C12" s="1382">
        <v>14941588</v>
      </c>
      <c r="D12" s="791">
        <v>0.15279187860339372</v>
      </c>
      <c r="E12" s="792">
        <f>D12</f>
        <v>0.15279187860339372</v>
      </c>
      <c r="F12" s="771">
        <v>5077117.7869999995</v>
      </c>
      <c r="G12" s="771">
        <v>14941588</v>
      </c>
      <c r="H12" s="793">
        <f>C51/1000000</f>
        <v>5.0771177869999997</v>
      </c>
      <c r="I12" s="1948"/>
      <c r="J12" s="1949"/>
      <c r="K12" s="1948">
        <v>14.9</v>
      </c>
      <c r="L12" s="1949"/>
      <c r="M12" s="766"/>
      <c r="N12" s="766"/>
      <c r="O12" s="766"/>
      <c r="P12" s="766"/>
      <c r="Q12" s="767"/>
      <c r="R12" s="767"/>
      <c r="S12" s="657"/>
      <c r="T12" s="657"/>
      <c r="U12" s="657"/>
      <c r="V12" s="657"/>
      <c r="W12" s="657"/>
      <c r="X12" s="657"/>
      <c r="Y12" s="765"/>
      <c r="Z12" s="765"/>
      <c r="AA12" s="765"/>
      <c r="AB12" s="768"/>
      <c r="AC12" s="768"/>
      <c r="AD12" s="768"/>
      <c r="AE12" s="769"/>
    </row>
    <row r="13" spans="1:31" x14ac:dyDescent="0.25">
      <c r="A13" s="763"/>
      <c r="B13" s="795"/>
      <c r="C13" s="1382"/>
      <c r="D13" s="791"/>
      <c r="E13" s="792"/>
      <c r="F13" s="771"/>
      <c r="G13" s="771"/>
      <c r="H13" s="793"/>
      <c r="I13" s="1948"/>
      <c r="J13" s="1948"/>
      <c r="K13" s="1948"/>
      <c r="L13" s="1949"/>
      <c r="M13" s="766"/>
      <c r="N13" s="766"/>
      <c r="O13" s="766"/>
      <c r="P13" s="766"/>
      <c r="Q13" s="767"/>
      <c r="R13" s="767"/>
      <c r="S13" s="657"/>
      <c r="T13" s="657"/>
      <c r="U13" s="657"/>
      <c r="V13" s="657"/>
      <c r="W13" s="657"/>
      <c r="X13" s="657"/>
      <c r="Y13" s="765"/>
      <c r="Z13" s="765"/>
      <c r="AA13" s="765"/>
      <c r="AB13" s="768"/>
      <c r="AC13" s="768"/>
      <c r="AD13" s="768"/>
      <c r="AE13" s="769"/>
    </row>
    <row r="14" spans="1:31" ht="26.1" customHeight="1" x14ac:dyDescent="0.25">
      <c r="A14" s="541"/>
      <c r="B14" s="822" t="s">
        <v>48</v>
      </c>
      <c r="C14" s="1382">
        <v>25522535.52482</v>
      </c>
      <c r="D14" s="824">
        <v>6.6491189109799897E-2</v>
      </c>
      <c r="E14" s="825">
        <f>D14</f>
        <v>6.6491189109799897E-2</v>
      </c>
      <c r="F14" s="771">
        <v>10445008.787</v>
      </c>
      <c r="G14" s="771">
        <v>25522535.52482</v>
      </c>
      <c r="H14" s="793">
        <f>C54/1000000</f>
        <v>10.445008787000001</v>
      </c>
      <c r="I14" s="1948"/>
      <c r="J14" s="1949"/>
      <c r="K14" s="1948">
        <v>25.5</v>
      </c>
      <c r="L14" s="1949"/>
      <c r="M14" s="766"/>
      <c r="N14" s="766"/>
      <c r="O14" s="766"/>
      <c r="P14" s="766"/>
      <c r="Q14" s="767"/>
      <c r="R14" s="767"/>
      <c r="S14" s="657"/>
      <c r="T14" s="657"/>
      <c r="U14" s="657"/>
      <c r="V14" s="657"/>
      <c r="W14" s="657"/>
      <c r="X14" s="657"/>
      <c r="Y14" s="657"/>
      <c r="Z14" s="657"/>
      <c r="AA14" s="657"/>
      <c r="AB14" s="768"/>
      <c r="AC14" s="768"/>
      <c r="AD14" s="768"/>
      <c r="AE14" s="769"/>
    </row>
    <row r="15" spans="1:31" ht="26.1" customHeight="1" x14ac:dyDescent="0.25">
      <c r="A15" s="541" t="b">
        <v>1</v>
      </c>
      <c r="B15" s="822"/>
      <c r="C15" s="823"/>
      <c r="D15" s="823"/>
      <c r="E15" s="823"/>
      <c r="F15" s="771"/>
      <c r="G15" s="771"/>
      <c r="H15" s="766"/>
      <c r="I15" s="766"/>
      <c r="J15" s="766"/>
      <c r="K15" s="766"/>
      <c r="L15" s="766"/>
      <c r="M15" s="766"/>
      <c r="N15" s="766"/>
      <c r="O15" s="766"/>
      <c r="P15" s="766"/>
      <c r="Q15" s="766"/>
      <c r="R15" s="766"/>
      <c r="S15" s="657"/>
      <c r="T15" s="657"/>
      <c r="U15" s="657"/>
      <c r="V15" s="657"/>
      <c r="W15" s="657"/>
      <c r="X15" s="657"/>
      <c r="Y15" s="657"/>
      <c r="Z15" s="657"/>
      <c r="AA15" s="657"/>
    </row>
    <row r="16" spans="1:31" ht="18" customHeight="1" x14ac:dyDescent="0.25">
      <c r="A16" s="530"/>
      <c r="B16" s="826"/>
      <c r="C16" s="827"/>
      <c r="D16" s="827"/>
      <c r="E16" s="827"/>
      <c r="F16" s="766"/>
      <c r="G16" s="766"/>
      <c r="H16" s="766"/>
      <c r="I16" s="766"/>
      <c r="J16" s="766"/>
      <c r="K16" s="766"/>
      <c r="L16" s="766"/>
      <c r="M16" s="766"/>
      <c r="N16" s="766"/>
      <c r="O16" s="766"/>
      <c r="P16" s="766"/>
      <c r="Q16" s="657"/>
      <c r="R16" s="657"/>
      <c r="S16" s="657"/>
      <c r="T16" s="657"/>
      <c r="U16" s="657"/>
      <c r="V16" s="657"/>
      <c r="W16" s="657"/>
      <c r="X16" s="657"/>
      <c r="Y16" s="657"/>
    </row>
    <row r="17" spans="1:25" ht="18" customHeight="1" x14ac:dyDescent="0.25">
      <c r="A17" s="532"/>
      <c r="B17" s="828"/>
      <c r="C17" s="828" t="str">
        <f>IF($A$15=TRUE, J23, "")</f>
        <v>All trusts</v>
      </c>
      <c r="D17" s="828" t="str">
        <f>IF($A$15=TRUE, K23, "")</f>
        <v>Total</v>
      </c>
      <c r="E17" s="828"/>
      <c r="F17" s="828"/>
      <c r="G17" s="773"/>
      <c r="H17" s="773"/>
      <c r="I17" s="773"/>
      <c r="J17" s="773"/>
      <c r="K17" s="773"/>
      <c r="L17" s="773"/>
      <c r="M17" s="773"/>
      <c r="N17" s="773"/>
      <c r="O17" s="773"/>
      <c r="P17" s="773"/>
      <c r="Q17" s="377"/>
      <c r="R17" s="657"/>
      <c r="S17" s="657"/>
      <c r="T17" s="657"/>
      <c r="U17" s="657"/>
      <c r="V17" s="657"/>
      <c r="W17" s="657"/>
      <c r="X17" s="657"/>
      <c r="Y17" s="657"/>
    </row>
    <row r="18" spans="1:25" ht="18" customHeight="1" x14ac:dyDescent="0.25">
      <c r="A18" s="834"/>
      <c r="B18" s="828" t="str">
        <f>IF($A$15=TRUE, I24, "")</f>
        <v>1998/99</v>
      </c>
      <c r="C18" s="838">
        <f>IF($A$15=TRUE, J24, "")</f>
        <v>5077117.7869999995</v>
      </c>
      <c r="D18" s="838">
        <f>IF($A$15=TRUE, K24, "")</f>
        <v>10445008.787</v>
      </c>
      <c r="E18" s="835"/>
      <c r="F18" s="836"/>
      <c r="G18" s="776"/>
      <c r="H18" s="1380"/>
      <c r="I18" s="1380"/>
      <c r="J18" s="1380"/>
      <c r="K18" s="1380"/>
      <c r="L18" s="1380"/>
      <c r="M18" s="776"/>
      <c r="N18" s="776"/>
      <c r="O18" s="776"/>
      <c r="P18" s="776"/>
      <c r="Q18" s="777"/>
      <c r="T18" s="657"/>
      <c r="U18" s="657"/>
      <c r="V18" s="657"/>
      <c r="W18" s="657"/>
      <c r="X18" s="657"/>
      <c r="Y18" s="657"/>
    </row>
    <row r="19" spans="1:25" x14ac:dyDescent="0.25">
      <c r="A19" s="834"/>
      <c r="B19" s="828" t="str">
        <f t="shared" ref="B19:D31" si="0">IF($A$15=TRUE, I25, "")</f>
        <v>1999/00</v>
      </c>
      <c r="C19" s="838">
        <f t="shared" si="0"/>
        <v>5620251.5159999998</v>
      </c>
      <c r="D19" s="838">
        <f t="shared" si="0"/>
        <v>11641474.516000001</v>
      </c>
      <c r="E19" s="835"/>
      <c r="F19" s="836"/>
      <c r="G19" s="1373"/>
      <c r="H19" s="1380"/>
      <c r="I19" s="1380"/>
      <c r="J19" s="1380"/>
      <c r="K19" s="1380"/>
      <c r="L19" s="1380"/>
      <c r="M19" s="1373"/>
      <c r="N19" s="1373"/>
      <c r="O19" s="776"/>
      <c r="P19" s="776"/>
      <c r="Q19" s="777"/>
      <c r="R19" s="657"/>
      <c r="S19" s="657"/>
    </row>
    <row r="20" spans="1:25" x14ac:dyDescent="0.25">
      <c r="A20" s="834"/>
      <c r="B20" s="828" t="str">
        <f t="shared" si="0"/>
        <v>2000/01</v>
      </c>
      <c r="C20" s="838">
        <f t="shared" si="0"/>
        <v>5303119.1030000001</v>
      </c>
      <c r="D20" s="838">
        <f t="shared" si="0"/>
        <v>11757118.103</v>
      </c>
      <c r="E20" s="835"/>
      <c r="F20" s="836"/>
      <c r="G20" s="1374"/>
      <c r="H20" s="829"/>
      <c r="I20" s="829"/>
      <c r="J20" s="829"/>
      <c r="K20" s="829"/>
      <c r="L20" s="829"/>
      <c r="M20" s="1374"/>
      <c r="N20" s="1373"/>
      <c r="O20" s="776"/>
      <c r="P20" s="776"/>
      <c r="Q20" s="777"/>
      <c r="R20" s="657"/>
      <c r="S20" s="657"/>
      <c r="T20" s="657"/>
      <c r="U20" s="657"/>
      <c r="V20" s="657"/>
      <c r="W20" s="657"/>
      <c r="X20" s="768"/>
      <c r="Y20" s="768"/>
    </row>
    <row r="21" spans="1:25" x14ac:dyDescent="0.25">
      <c r="A21" s="532"/>
      <c r="B21" s="828" t="str">
        <f t="shared" si="0"/>
        <v>2001/2</v>
      </c>
      <c r="C21" s="838">
        <f t="shared" si="0"/>
        <v>5666475.1449999996</v>
      </c>
      <c r="D21" s="838">
        <f t="shared" si="0"/>
        <v>13321063.145</v>
      </c>
      <c r="E21" s="835"/>
      <c r="F21" s="836"/>
      <c r="G21" s="1374"/>
      <c r="H21" s="829"/>
      <c r="I21" s="829"/>
      <c r="J21" s="829"/>
      <c r="K21" s="829"/>
      <c r="L21" s="829"/>
      <c r="M21" s="1374"/>
      <c r="N21" s="1373"/>
      <c r="O21" s="776"/>
      <c r="P21" s="776"/>
      <c r="Q21" s="778"/>
      <c r="R21" s="657"/>
      <c r="S21" s="657"/>
      <c r="T21" s="657"/>
      <c r="U21" s="657"/>
      <c r="V21" s="657"/>
      <c r="W21" s="657"/>
      <c r="X21" s="768"/>
      <c r="Y21" s="768"/>
    </row>
    <row r="22" spans="1:25" x14ac:dyDescent="0.25">
      <c r="A22" s="532"/>
      <c r="B22" s="828" t="str">
        <f t="shared" si="0"/>
        <v>2002/3</v>
      </c>
      <c r="C22" s="838">
        <f t="shared" si="0"/>
        <v>6153081.7249999996</v>
      </c>
      <c r="D22" s="838">
        <f t="shared" si="0"/>
        <v>14985078.725</v>
      </c>
      <c r="E22" s="775"/>
      <c r="F22" s="700"/>
      <c r="G22" s="378"/>
      <c r="H22" s="396"/>
      <c r="I22" s="396"/>
      <c r="J22" s="396"/>
      <c r="K22" s="396"/>
      <c r="L22" s="396"/>
      <c r="M22" s="378"/>
      <c r="N22" s="376"/>
      <c r="T22" s="657"/>
      <c r="U22" s="657"/>
      <c r="V22" s="657"/>
      <c r="W22" s="657"/>
      <c r="X22" s="768"/>
      <c r="Y22" s="768"/>
    </row>
    <row r="23" spans="1:25" x14ac:dyDescent="0.25">
      <c r="A23" s="532"/>
      <c r="B23" s="828" t="str">
        <f t="shared" si="0"/>
        <v>2003/4</v>
      </c>
      <c r="C23" s="838">
        <f t="shared" si="0"/>
        <v>6605831.9550000001</v>
      </c>
      <c r="D23" s="838">
        <f t="shared" si="0"/>
        <v>17301167.954999998</v>
      </c>
      <c r="E23" s="775"/>
      <c r="F23" s="700"/>
      <c r="G23" s="378"/>
      <c r="H23" s="396"/>
      <c r="I23" s="396"/>
      <c r="J23" s="830" t="s">
        <v>266</v>
      </c>
      <c r="K23" s="830" t="s">
        <v>48</v>
      </c>
      <c r="L23" s="396"/>
      <c r="M23" s="378"/>
      <c r="N23" s="376"/>
    </row>
    <row r="24" spans="1:25" x14ac:dyDescent="0.25">
      <c r="A24" s="532"/>
      <c r="B24" s="828" t="str">
        <f t="shared" si="0"/>
        <v>2004/5</v>
      </c>
      <c r="C24" s="838">
        <f t="shared" si="0"/>
        <v>6991023</v>
      </c>
      <c r="D24" s="838">
        <f t="shared" si="0"/>
        <v>11981995</v>
      </c>
      <c r="E24" s="775"/>
      <c r="F24" s="700"/>
      <c r="G24" s="378"/>
      <c r="H24" s="396"/>
      <c r="I24" s="396" t="s">
        <v>68</v>
      </c>
      <c r="J24" s="396">
        <v>5077117.7869999995</v>
      </c>
      <c r="K24" s="396">
        <v>10445008.787</v>
      </c>
      <c r="L24" s="396"/>
      <c r="M24" s="1375"/>
      <c r="N24" s="376"/>
    </row>
    <row r="25" spans="1:25" x14ac:dyDescent="0.25">
      <c r="A25" s="385"/>
      <c r="B25" s="828" t="str">
        <f t="shared" si="0"/>
        <v>2005/6</v>
      </c>
      <c r="C25" s="838">
        <f t="shared" si="0"/>
        <v>8214109</v>
      </c>
      <c r="D25" s="838">
        <f t="shared" si="0"/>
        <v>14214691</v>
      </c>
      <c r="E25" s="700"/>
      <c r="F25" s="700"/>
      <c r="G25" s="378"/>
      <c r="H25" s="396"/>
      <c r="I25" s="396" t="s">
        <v>69</v>
      </c>
      <c r="J25" s="396">
        <v>5620251.5159999998</v>
      </c>
      <c r="K25" s="396">
        <v>11641474.516000001</v>
      </c>
      <c r="L25" s="396"/>
      <c r="M25" s="1375"/>
      <c r="N25" s="376"/>
    </row>
    <row r="26" spans="1:25" x14ac:dyDescent="0.25">
      <c r="A26" s="385"/>
      <c r="B26" s="828" t="str">
        <f t="shared" si="0"/>
        <v>2006/7</v>
      </c>
      <c r="C26" s="838">
        <f t="shared" si="0"/>
        <v>8969197</v>
      </c>
      <c r="D26" s="838">
        <f t="shared" si="0"/>
        <v>15833718</v>
      </c>
      <c r="E26" s="700"/>
      <c r="F26" s="700"/>
      <c r="G26" s="378"/>
      <c r="H26" s="396"/>
      <c r="I26" s="396" t="s">
        <v>70</v>
      </c>
      <c r="J26" s="396">
        <v>5303119.1030000001</v>
      </c>
      <c r="K26" s="396">
        <v>11757118.103</v>
      </c>
      <c r="L26" s="396"/>
      <c r="M26" s="1375"/>
      <c r="N26" s="376"/>
    </row>
    <row r="27" spans="1:25" x14ac:dyDescent="0.25">
      <c r="A27" s="385"/>
      <c r="B27" s="828" t="str">
        <f t="shared" si="0"/>
        <v>2007/8</v>
      </c>
      <c r="C27" s="838">
        <f t="shared" si="0"/>
        <v>10132245</v>
      </c>
      <c r="D27" s="838">
        <f t="shared" si="0"/>
        <v>18554701</v>
      </c>
      <c r="E27" s="837"/>
      <c r="F27" s="837"/>
      <c r="G27" s="1376"/>
      <c r="H27" s="815"/>
      <c r="I27" s="816" t="s">
        <v>494</v>
      </c>
      <c r="J27" s="396">
        <v>5666475.1449999996</v>
      </c>
      <c r="K27" s="396">
        <v>13321063.145</v>
      </c>
      <c r="L27" s="396"/>
      <c r="M27" s="1375"/>
      <c r="N27" s="376"/>
    </row>
    <row r="28" spans="1:25" x14ac:dyDescent="0.25">
      <c r="A28" s="385"/>
      <c r="B28" s="828" t="str">
        <f t="shared" si="0"/>
        <v>2008/9</v>
      </c>
      <c r="C28" s="838">
        <f t="shared" si="0"/>
        <v>11126240</v>
      </c>
      <c r="D28" s="838">
        <f t="shared" si="0"/>
        <v>20184853</v>
      </c>
      <c r="E28" s="819"/>
      <c r="F28" s="819"/>
      <c r="G28" s="1377"/>
      <c r="H28" s="396"/>
      <c r="I28" s="820" t="s">
        <v>493</v>
      </c>
      <c r="J28" s="396">
        <v>6153081.7249999996</v>
      </c>
      <c r="K28" s="396">
        <v>14985078.725</v>
      </c>
      <c r="L28" s="396"/>
      <c r="M28" s="1375"/>
      <c r="N28" s="376"/>
    </row>
    <row r="29" spans="1:25" x14ac:dyDescent="0.25">
      <c r="A29" s="385"/>
      <c r="B29" s="828" t="str">
        <f>IF($A$15=TRUE, I35, "")</f>
        <v>2009/10</v>
      </c>
      <c r="C29" s="838">
        <f>IF($A$15=TRUE, J35, "")</f>
        <v>11841634</v>
      </c>
      <c r="D29" s="838">
        <f>IF($A$15=TRUE, K35, "")</f>
        <v>22017444</v>
      </c>
      <c r="E29" s="819"/>
      <c r="F29" s="819"/>
      <c r="G29" s="1377"/>
      <c r="H29" s="396"/>
      <c r="I29" s="820" t="s">
        <v>492</v>
      </c>
      <c r="J29" s="396">
        <v>6605831.9550000001</v>
      </c>
      <c r="K29" s="396">
        <v>17301167.954999998</v>
      </c>
      <c r="L29" s="396"/>
      <c r="M29" s="1375"/>
      <c r="N29" s="376"/>
    </row>
    <row r="30" spans="1:25" x14ac:dyDescent="0.25">
      <c r="A30" s="385"/>
      <c r="B30" s="828" t="str">
        <f t="shared" si="0"/>
        <v>2010/11</v>
      </c>
      <c r="C30" s="838">
        <f t="shared" si="0"/>
        <v>12961219</v>
      </c>
      <c r="D30" s="838">
        <f t="shared" si="0"/>
        <v>23931314</v>
      </c>
      <c r="E30" s="819"/>
      <c r="F30" s="819"/>
      <c r="G30" s="1377"/>
      <c r="H30" s="396"/>
      <c r="I30" s="820" t="s">
        <v>192</v>
      </c>
      <c r="J30" s="396">
        <v>6991023</v>
      </c>
      <c r="K30" s="396">
        <v>11981995</v>
      </c>
      <c r="L30" s="396"/>
      <c r="M30" s="378"/>
      <c r="N30" s="376"/>
    </row>
    <row r="31" spans="1:25" x14ac:dyDescent="0.25">
      <c r="A31" s="385"/>
      <c r="B31" s="828" t="str">
        <f t="shared" si="0"/>
        <v>2011/12</v>
      </c>
      <c r="C31" s="838">
        <f t="shared" si="0"/>
        <v>14941588</v>
      </c>
      <c r="D31" s="838">
        <f t="shared" si="0"/>
        <v>25522535.52482</v>
      </c>
      <c r="E31" s="819"/>
      <c r="F31" s="819"/>
      <c r="G31" s="1377"/>
      <c r="H31" s="396"/>
      <c r="I31" s="820" t="s">
        <v>193</v>
      </c>
      <c r="J31" s="396">
        <v>8214109</v>
      </c>
      <c r="K31" s="396">
        <v>14214691</v>
      </c>
      <c r="L31" s="396"/>
      <c r="M31" s="378"/>
      <c r="N31" s="376"/>
    </row>
    <row r="32" spans="1:25" x14ac:dyDescent="0.25">
      <c r="B32" s="817"/>
      <c r="C32" s="741"/>
      <c r="D32" s="818"/>
      <c r="E32" s="819"/>
      <c r="F32" s="819"/>
      <c r="G32" s="1377"/>
      <c r="H32" s="396"/>
      <c r="I32" s="820" t="s">
        <v>194</v>
      </c>
      <c r="J32" s="396">
        <v>8969197</v>
      </c>
      <c r="K32" s="396">
        <v>15833718</v>
      </c>
      <c r="L32" s="396"/>
      <c r="M32" s="378"/>
      <c r="N32" s="376"/>
    </row>
    <row r="33" spans="1:23" x14ac:dyDescent="0.25">
      <c r="B33" s="817"/>
      <c r="C33" s="741"/>
      <c r="D33" s="818"/>
      <c r="E33" s="819"/>
      <c r="F33" s="819"/>
      <c r="G33" s="1377"/>
      <c r="H33" s="396"/>
      <c r="I33" s="820" t="s">
        <v>195</v>
      </c>
      <c r="J33" s="396">
        <v>10132245</v>
      </c>
      <c r="K33" s="396">
        <v>18554701</v>
      </c>
      <c r="L33" s="396"/>
      <c r="M33" s="378"/>
      <c r="N33" s="376"/>
    </row>
    <row r="34" spans="1:23" x14ac:dyDescent="0.25">
      <c r="B34" s="821"/>
      <c r="C34" s="741"/>
      <c r="D34" s="818"/>
      <c r="E34" s="819"/>
      <c r="F34" s="819"/>
      <c r="G34" s="1377"/>
      <c r="H34" s="396"/>
      <c r="I34" s="820" t="s">
        <v>196</v>
      </c>
      <c r="J34" s="396">
        <v>11126240</v>
      </c>
      <c r="K34" s="396">
        <v>20184853</v>
      </c>
      <c r="L34" s="396"/>
      <c r="M34" s="378"/>
      <c r="N34" s="376"/>
    </row>
    <row r="35" spans="1:23" x14ac:dyDescent="0.25">
      <c r="B35" s="782"/>
      <c r="C35" s="741"/>
      <c r="D35" s="818"/>
      <c r="E35" s="819"/>
      <c r="F35" s="819"/>
      <c r="G35" s="1377"/>
      <c r="H35" s="396"/>
      <c r="I35" s="820" t="s">
        <v>6</v>
      </c>
      <c r="J35" s="396">
        <v>11841634</v>
      </c>
      <c r="K35" s="396">
        <v>22017444</v>
      </c>
      <c r="L35" s="396"/>
      <c r="M35" s="378"/>
      <c r="N35" s="376"/>
    </row>
    <row r="36" spans="1:23" x14ac:dyDescent="0.25">
      <c r="A36" s="396"/>
      <c r="B36" s="797"/>
      <c r="C36" s="783"/>
      <c r="D36" s="784"/>
      <c r="E36" s="671"/>
      <c r="F36" s="671"/>
      <c r="G36" s="1377"/>
      <c r="H36" s="396"/>
      <c r="I36" s="820" t="s">
        <v>7</v>
      </c>
      <c r="J36" s="396">
        <v>12961219</v>
      </c>
      <c r="K36" s="396">
        <v>23931314</v>
      </c>
      <c r="L36" s="396"/>
      <c r="M36" s="396"/>
    </row>
    <row r="37" spans="1:23" x14ac:dyDescent="0.25">
      <c r="A37" s="396" t="b">
        <v>1</v>
      </c>
      <c r="B37" s="797"/>
      <c r="C37" s="798"/>
      <c r="D37" s="799"/>
      <c r="E37" s="800"/>
      <c r="F37" s="800"/>
      <c r="G37" s="1377"/>
      <c r="H37" s="396"/>
      <c r="I37" s="820" t="s">
        <v>489</v>
      </c>
      <c r="J37" s="548">
        <v>14941588</v>
      </c>
      <c r="K37" s="1381">
        <v>25522535.52482</v>
      </c>
      <c r="L37" s="396"/>
      <c r="M37" s="396"/>
      <c r="N37" s="658"/>
      <c r="O37" s="658"/>
      <c r="P37" s="658"/>
    </row>
    <row r="38" spans="1:23" x14ac:dyDescent="0.25">
      <c r="A38" s="396"/>
      <c r="B38" s="1431"/>
      <c r="C38" s="798"/>
      <c r="D38" s="799"/>
      <c r="E38" s="800"/>
      <c r="F38" s="800"/>
      <c r="G38" s="1377"/>
      <c r="H38" s="396"/>
      <c r="I38" s="820"/>
      <c r="J38" s="396"/>
      <c r="K38" s="396"/>
      <c r="L38" s="396"/>
      <c r="M38" s="396"/>
      <c r="N38" s="658"/>
      <c r="O38" s="658"/>
      <c r="P38" s="658"/>
    </row>
    <row r="39" spans="1:23" x14ac:dyDescent="0.25">
      <c r="A39" s="658"/>
      <c r="B39" s="797"/>
      <c r="C39" s="758"/>
      <c r="D39" s="758"/>
      <c r="E39" s="758"/>
      <c r="F39" s="758"/>
      <c r="G39" s="1378"/>
      <c r="H39" s="831"/>
      <c r="I39" s="831"/>
      <c r="J39" s="831"/>
      <c r="K39" s="831"/>
      <c r="L39" s="831"/>
      <c r="M39" s="831"/>
      <c r="N39" s="758"/>
      <c r="O39" s="758"/>
      <c r="P39" s="758"/>
    </row>
    <row r="40" spans="1:23" x14ac:dyDescent="0.25">
      <c r="A40" s="658"/>
      <c r="B40" s="797"/>
      <c r="C40" s="804"/>
      <c r="D40" s="804"/>
      <c r="E40" s="804"/>
      <c r="F40" s="804"/>
      <c r="G40" s="1379"/>
      <c r="H40" s="832"/>
      <c r="I40" s="832"/>
      <c r="J40" s="832"/>
      <c r="K40" s="832"/>
      <c r="L40" s="832"/>
      <c r="M40" s="832"/>
      <c r="N40" s="804"/>
      <c r="O40" s="804"/>
      <c r="P40" s="804"/>
    </row>
    <row r="41" spans="1:23" x14ac:dyDescent="0.25">
      <c r="A41" s="658"/>
      <c r="B41" s="797"/>
      <c r="C41" s="804"/>
      <c r="D41" s="804"/>
      <c r="E41" s="804"/>
      <c r="F41" s="804"/>
      <c r="G41" s="1379"/>
      <c r="H41" s="832"/>
      <c r="I41" s="832"/>
      <c r="J41" s="832"/>
      <c r="K41" s="832"/>
      <c r="L41" s="832"/>
      <c r="M41" s="832"/>
      <c r="N41" s="804"/>
      <c r="O41" s="804"/>
      <c r="P41" s="804"/>
    </row>
    <row r="42" spans="1:23" x14ac:dyDescent="0.25">
      <c r="A42" s="658"/>
      <c r="B42" s="797"/>
      <c r="C42" s="804"/>
      <c r="D42" s="804"/>
      <c r="E42" s="804"/>
      <c r="F42" s="804"/>
      <c r="G42" s="1379"/>
      <c r="H42" s="832"/>
      <c r="I42" s="832"/>
      <c r="J42" s="832"/>
      <c r="K42" s="832"/>
      <c r="L42" s="832"/>
      <c r="M42" s="832"/>
      <c r="N42" s="804"/>
      <c r="O42" s="804"/>
      <c r="P42" s="804"/>
    </row>
    <row r="43" spans="1:23" x14ac:dyDescent="0.25">
      <c r="A43" s="378"/>
      <c r="B43" s="1688"/>
      <c r="C43" s="1379"/>
      <c r="D43" s="1379"/>
      <c r="E43" s="1379"/>
      <c r="F43" s="1379"/>
      <c r="G43" s="1379"/>
      <c r="H43" s="1379"/>
      <c r="I43" s="1379"/>
      <c r="J43" s="1379"/>
      <c r="K43" s="1379"/>
      <c r="L43" s="1379"/>
      <c r="M43" s="1379"/>
      <c r="N43" s="1379"/>
      <c r="O43" s="1379"/>
      <c r="P43" s="1379"/>
      <c r="Q43" s="376"/>
      <c r="R43" s="376"/>
    </row>
    <row r="44" spans="1:23" x14ac:dyDescent="0.25">
      <c r="A44" s="1689"/>
      <c r="B44" s="1688"/>
      <c r="C44" s="1379"/>
      <c r="D44" s="1379"/>
      <c r="E44" s="1379"/>
      <c r="F44" s="1379"/>
      <c r="G44" s="1379"/>
      <c r="H44" s="1379"/>
      <c r="I44" s="1379"/>
      <c r="J44" s="1379"/>
      <c r="K44" s="1379"/>
      <c r="L44" s="1379"/>
      <c r="M44" s="1379"/>
      <c r="N44" s="1379"/>
      <c r="O44" s="1379"/>
      <c r="P44" s="1379"/>
      <c r="Q44" s="526"/>
      <c r="R44" s="376"/>
    </row>
    <row r="45" spans="1:23" x14ac:dyDescent="0.25">
      <c r="A45" s="378"/>
      <c r="B45" s="1688"/>
      <c r="C45" s="1379"/>
      <c r="D45" s="1379"/>
      <c r="E45" s="1379"/>
      <c r="F45" s="1379"/>
      <c r="G45" s="1379"/>
      <c r="H45" s="1379"/>
      <c r="I45" s="1379"/>
      <c r="J45" s="1379"/>
      <c r="K45" s="1379"/>
      <c r="L45" s="1379"/>
      <c r="M45" s="1379"/>
      <c r="N45" s="1379"/>
      <c r="O45" s="1379"/>
      <c r="P45" s="1379"/>
      <c r="Q45" s="376"/>
      <c r="R45" s="526"/>
      <c r="S45" s="657"/>
    </row>
    <row r="46" spans="1:23" x14ac:dyDescent="0.25">
      <c r="A46" s="1689"/>
      <c r="B46" s="1688"/>
      <c r="C46" s="1379"/>
      <c r="D46" s="1379"/>
      <c r="E46" s="1379"/>
      <c r="F46" s="1379"/>
      <c r="G46" s="1379"/>
      <c r="H46" s="1379"/>
      <c r="I46" s="1379"/>
      <c r="J46" s="1379"/>
      <c r="K46" s="1379"/>
      <c r="L46" s="1379"/>
      <c r="M46" s="1379"/>
      <c r="N46" s="1379"/>
      <c r="O46" s="1379"/>
      <c r="P46" s="1379"/>
      <c r="Q46" s="526"/>
      <c r="R46" s="376"/>
      <c r="T46" s="657"/>
      <c r="U46" s="657"/>
      <c r="W46" s="768"/>
    </row>
    <row r="47" spans="1:23" x14ac:dyDescent="0.25">
      <c r="A47" s="1689"/>
      <c r="B47" s="1690"/>
      <c r="C47" s="1379"/>
      <c r="D47" s="1379"/>
      <c r="E47" s="1379"/>
      <c r="F47" s="1379"/>
      <c r="G47" s="1379"/>
      <c r="H47" s="1379"/>
      <c r="I47" s="1379"/>
      <c r="J47" s="1379"/>
      <c r="K47" s="1379"/>
      <c r="L47" s="1379"/>
      <c r="M47" s="1379"/>
      <c r="N47" s="1379"/>
      <c r="O47" s="1379"/>
      <c r="P47" s="1379"/>
      <c r="Q47" s="526"/>
      <c r="R47" s="526"/>
      <c r="S47" s="657"/>
      <c r="W47" s="768"/>
    </row>
    <row r="48" spans="1:23" x14ac:dyDescent="0.25">
      <c r="A48" s="1689"/>
      <c r="B48" s="1691"/>
      <c r="C48" s="1692"/>
      <c r="D48" s="1692"/>
      <c r="E48" s="1692"/>
      <c r="F48" s="1692"/>
      <c r="G48" s="1692"/>
      <c r="H48" s="1692"/>
      <c r="I48" s="1692"/>
      <c r="J48" s="1692"/>
      <c r="K48" s="1692"/>
      <c r="L48" s="1692"/>
      <c r="M48" s="1692"/>
      <c r="N48" s="1692"/>
      <c r="O48" s="1692"/>
      <c r="P48" s="1692"/>
      <c r="Q48" s="526"/>
      <c r="R48" s="526"/>
      <c r="S48" s="657"/>
      <c r="T48" s="657"/>
      <c r="U48" s="657"/>
      <c r="W48" s="768"/>
    </row>
    <row r="49" spans="1:21" x14ac:dyDescent="0.25">
      <c r="A49" s="378"/>
      <c r="B49" s="1693" t="s">
        <v>426</v>
      </c>
      <c r="C49" s="1018"/>
      <c r="D49" s="1018"/>
      <c r="E49" s="1018"/>
      <c r="F49" s="1018"/>
      <c r="G49" s="1018"/>
      <c r="H49" s="1018"/>
      <c r="I49" s="1018"/>
      <c r="J49" s="375"/>
      <c r="K49" s="375"/>
      <c r="L49" s="375"/>
      <c r="M49" s="375"/>
      <c r="N49" s="375"/>
      <c r="O49" s="375"/>
      <c r="P49" s="375"/>
      <c r="Q49" s="375"/>
      <c r="R49" s="526"/>
      <c r="S49" s="657"/>
      <c r="T49" s="657"/>
      <c r="U49" s="657"/>
    </row>
    <row r="50" spans="1:21" x14ac:dyDescent="0.25">
      <c r="A50" s="378"/>
      <c r="B50" s="1693" t="s">
        <v>266</v>
      </c>
      <c r="C50" s="1262" t="s">
        <v>68</v>
      </c>
      <c r="D50" s="1262" t="s">
        <v>69</v>
      </c>
      <c r="E50" s="1262" t="s">
        <v>70</v>
      </c>
      <c r="F50" s="1262" t="s">
        <v>494</v>
      </c>
      <c r="G50" s="1262" t="s">
        <v>493</v>
      </c>
      <c r="H50" s="1262" t="s">
        <v>492</v>
      </c>
      <c r="I50" s="1262" t="s">
        <v>192</v>
      </c>
      <c r="J50" s="1262" t="s">
        <v>193</v>
      </c>
      <c r="K50" s="1262" t="s">
        <v>194</v>
      </c>
      <c r="L50" s="1262" t="s">
        <v>195</v>
      </c>
      <c r="M50" s="1262" t="s">
        <v>196</v>
      </c>
      <c r="N50" s="1262" t="s">
        <v>6</v>
      </c>
      <c r="O50" s="1262" t="s">
        <v>7</v>
      </c>
      <c r="P50" s="1262" t="s">
        <v>489</v>
      </c>
      <c r="Q50" s="375"/>
      <c r="R50" s="376"/>
      <c r="T50" s="657"/>
      <c r="U50" s="657"/>
    </row>
    <row r="51" spans="1:21" x14ac:dyDescent="0.25">
      <c r="A51" s="378"/>
      <c r="B51" s="1693" t="s">
        <v>56</v>
      </c>
      <c r="C51" s="1692">
        <v>5077117.7869999995</v>
      </c>
      <c r="D51" s="1692">
        <v>5620251.5159999998</v>
      </c>
      <c r="E51" s="1692">
        <v>5303119.1030000001</v>
      </c>
      <c r="F51" s="1692">
        <v>5666475.1449999996</v>
      </c>
      <c r="G51" s="1692">
        <v>6153081.7249999996</v>
      </c>
      <c r="H51" s="1692">
        <v>6605831.9550000001</v>
      </c>
      <c r="I51" s="1692">
        <v>6991023</v>
      </c>
      <c r="J51" s="1692">
        <v>8214109</v>
      </c>
      <c r="K51" s="1692">
        <v>8969197</v>
      </c>
      <c r="L51" s="1692">
        <v>10132245</v>
      </c>
      <c r="M51" s="1692">
        <v>11126240</v>
      </c>
      <c r="N51" s="1692">
        <v>11841634</v>
      </c>
      <c r="O51" s="1694">
        <v>12961219</v>
      </c>
      <c r="P51" s="1427">
        <v>14194667.888351999</v>
      </c>
      <c r="Q51" s="375"/>
      <c r="R51" s="376"/>
    </row>
    <row r="52" spans="1:21" x14ac:dyDescent="0.25">
      <c r="A52" s="378"/>
      <c r="B52" s="1693" t="s">
        <v>265</v>
      </c>
      <c r="C52" s="1692"/>
      <c r="D52" s="1692"/>
      <c r="E52" s="1692"/>
      <c r="F52" s="1692"/>
      <c r="G52" s="1692"/>
      <c r="H52" s="1692">
        <v>10063998</v>
      </c>
      <c r="I52" s="1692">
        <v>4932251</v>
      </c>
      <c r="J52" s="1692">
        <v>5933214</v>
      </c>
      <c r="K52" s="1692">
        <v>6792028</v>
      </c>
      <c r="L52" s="1692">
        <v>8327705</v>
      </c>
      <c r="M52" s="1692">
        <v>8949262</v>
      </c>
      <c r="N52" s="1692">
        <v>10063998</v>
      </c>
      <c r="O52" s="1694">
        <v>10873841</v>
      </c>
      <c r="P52" s="1427">
        <v>10505817.52482</v>
      </c>
      <c r="Q52" s="375"/>
      <c r="R52" s="376"/>
    </row>
    <row r="53" spans="1:21" x14ac:dyDescent="0.25">
      <c r="A53" s="378"/>
      <c r="B53" s="1690" t="s">
        <v>158</v>
      </c>
      <c r="C53" s="1692"/>
      <c r="D53" s="1692"/>
      <c r="E53" s="1692"/>
      <c r="F53" s="1692"/>
      <c r="G53" s="1692"/>
      <c r="H53" s="1692">
        <v>111812</v>
      </c>
      <c r="I53" s="1692">
        <v>58721</v>
      </c>
      <c r="J53" s="1692">
        <v>67368</v>
      </c>
      <c r="K53" s="1692">
        <v>72493</v>
      </c>
      <c r="L53" s="1692">
        <v>94749</v>
      </c>
      <c r="M53" s="1692">
        <v>109351</v>
      </c>
      <c r="N53" s="1692">
        <v>111812</v>
      </c>
      <c r="O53" s="1694">
        <v>96254</v>
      </c>
      <c r="P53" s="1427">
        <v>251607</v>
      </c>
      <c r="Q53" s="375"/>
      <c r="R53" s="376"/>
    </row>
    <row r="54" spans="1:21" x14ac:dyDescent="0.25">
      <c r="A54" s="378"/>
      <c r="B54" s="1018"/>
      <c r="C54" s="1692">
        <v>10445008.787</v>
      </c>
      <c r="D54" s="1692">
        <v>11641474.516000001</v>
      </c>
      <c r="E54" s="1692">
        <v>11757118.103</v>
      </c>
      <c r="F54" s="1692">
        <v>13321063.145</v>
      </c>
      <c r="G54" s="1692">
        <v>14985078.725</v>
      </c>
      <c r="H54" s="1692">
        <v>17301167.954999998</v>
      </c>
      <c r="I54" s="1692">
        <f>SUM(I51:I53)</f>
        <v>11981995</v>
      </c>
      <c r="J54" s="1692">
        <f t="shared" ref="J54:P54" si="1">SUM(J51:J53)</f>
        <v>14214691</v>
      </c>
      <c r="K54" s="1692">
        <f t="shared" si="1"/>
        <v>15833718</v>
      </c>
      <c r="L54" s="1692">
        <f t="shared" si="1"/>
        <v>18554699</v>
      </c>
      <c r="M54" s="1692">
        <f t="shared" si="1"/>
        <v>20184853</v>
      </c>
      <c r="N54" s="1692">
        <f t="shared" si="1"/>
        <v>22017444</v>
      </c>
      <c r="O54" s="1692">
        <f t="shared" si="1"/>
        <v>23931314</v>
      </c>
      <c r="P54" s="1692">
        <f t="shared" si="1"/>
        <v>24952092.413171999</v>
      </c>
      <c r="Q54" s="375"/>
      <c r="R54" s="376"/>
    </row>
    <row r="55" spans="1:21" x14ac:dyDescent="0.25">
      <c r="A55" s="1689"/>
      <c r="B55" s="1018"/>
      <c r="C55" s="1018"/>
      <c r="D55" s="1018"/>
      <c r="E55" s="1018"/>
      <c r="F55" s="1018"/>
      <c r="G55" s="1018"/>
      <c r="H55" s="1018"/>
      <c r="I55" s="1018"/>
      <c r="J55" s="375"/>
      <c r="K55" s="375"/>
      <c r="L55" s="375"/>
      <c r="M55" s="375"/>
      <c r="N55" s="375"/>
      <c r="O55" s="375"/>
      <c r="P55" s="375"/>
      <c r="Q55" s="375"/>
      <c r="R55" s="376"/>
    </row>
    <row r="56" spans="1:21" x14ac:dyDescent="0.25">
      <c r="A56" s="1689"/>
      <c r="B56" s="1690" t="s">
        <v>469</v>
      </c>
      <c r="C56" s="1018"/>
      <c r="D56" s="1018"/>
      <c r="E56" s="1018"/>
      <c r="F56" s="1018"/>
      <c r="G56" s="1018"/>
      <c r="H56" s="1018"/>
      <c r="I56" s="1018"/>
      <c r="J56" s="375"/>
      <c r="K56" s="375"/>
      <c r="L56" s="375"/>
      <c r="M56" s="375"/>
      <c r="N56" s="375"/>
      <c r="O56" s="375"/>
      <c r="P56" s="375"/>
      <c r="Q56" s="375"/>
      <c r="R56" s="376"/>
    </row>
    <row r="57" spans="1:21" x14ac:dyDescent="0.25">
      <c r="A57" s="1689"/>
      <c r="B57" s="1693" t="s">
        <v>427</v>
      </c>
      <c r="C57" s="1018"/>
      <c r="D57" s="1018"/>
      <c r="E57" s="1018"/>
      <c r="F57" s="1018"/>
      <c r="G57" s="1018"/>
      <c r="H57" s="1018"/>
      <c r="I57" s="1018"/>
      <c r="J57" s="375"/>
      <c r="K57" s="375"/>
      <c r="L57" s="375"/>
      <c r="M57" s="375"/>
      <c r="N57" s="375"/>
      <c r="O57" s="375"/>
      <c r="P57" s="375"/>
      <c r="Q57" s="375"/>
      <c r="R57" s="376"/>
    </row>
    <row r="58" spans="1:21" x14ac:dyDescent="0.25">
      <c r="A58" s="378"/>
      <c r="B58" s="1018" t="s">
        <v>56</v>
      </c>
      <c r="C58" s="1018"/>
      <c r="D58" s="1018"/>
      <c r="E58" s="1018"/>
      <c r="F58" s="1018"/>
      <c r="G58" s="1018"/>
      <c r="H58" s="1018"/>
      <c r="I58" s="1018"/>
      <c r="J58" s="375"/>
      <c r="K58" s="375"/>
      <c r="L58" s="375"/>
      <c r="M58" s="375"/>
      <c r="N58" s="375"/>
      <c r="O58" s="375"/>
      <c r="P58" s="375"/>
      <c r="Q58" s="375"/>
      <c r="R58" s="376"/>
    </row>
    <row r="59" spans="1:21" x14ac:dyDescent="0.25">
      <c r="A59" s="378"/>
      <c r="B59" s="1018"/>
      <c r="C59" s="1018"/>
      <c r="D59" s="1018"/>
      <c r="E59" s="1018"/>
      <c r="F59" s="1018"/>
      <c r="G59" s="1018"/>
      <c r="H59" s="1018"/>
      <c r="I59" s="1018"/>
      <c r="J59" s="375"/>
      <c r="K59" s="375"/>
      <c r="L59" s="375"/>
      <c r="M59" s="375"/>
      <c r="N59" s="375"/>
      <c r="O59" s="375"/>
      <c r="P59" s="375"/>
      <c r="Q59" s="375"/>
      <c r="R59" s="376"/>
    </row>
    <row r="60" spans="1:21" x14ac:dyDescent="0.25">
      <c r="A60" s="378"/>
      <c r="B60" s="1018"/>
      <c r="C60" s="1018"/>
      <c r="D60" s="1018"/>
      <c r="E60" s="1018"/>
      <c r="F60" s="1018"/>
      <c r="G60" s="1018"/>
      <c r="H60" s="1018"/>
      <c r="I60" s="1018"/>
      <c r="J60" s="375"/>
      <c r="K60" s="375"/>
      <c r="L60" s="375"/>
      <c r="M60" s="375"/>
      <c r="N60" s="375"/>
      <c r="O60" s="375"/>
      <c r="P60" s="375"/>
      <c r="Q60" s="375"/>
      <c r="R60" s="376"/>
    </row>
    <row r="61" spans="1:21" x14ac:dyDescent="0.25">
      <c r="A61" s="1689"/>
      <c r="B61" s="1695" t="str">
        <f>IF($B$58="All trusts", Ind_inter_backfile!A4,Ind_inter_backfile!A14)</f>
        <v>Drugs &amp; gases</v>
      </c>
      <c r="C61" s="1262" t="s">
        <v>68</v>
      </c>
      <c r="D61" s="1262" t="s">
        <v>69</v>
      </c>
      <c r="E61" s="1262" t="s">
        <v>70</v>
      </c>
      <c r="F61" s="1262" t="s">
        <v>494</v>
      </c>
      <c r="G61" s="1262" t="s">
        <v>493</v>
      </c>
      <c r="H61" s="1262" t="s">
        <v>492</v>
      </c>
      <c r="I61" s="1262" t="s">
        <v>192</v>
      </c>
      <c r="J61" s="1262" t="s">
        <v>193</v>
      </c>
      <c r="K61" s="1262" t="s">
        <v>194</v>
      </c>
      <c r="L61" s="1262" t="s">
        <v>195</v>
      </c>
      <c r="M61" s="1262" t="s">
        <v>196</v>
      </c>
      <c r="N61" s="1262" t="s">
        <v>6</v>
      </c>
      <c r="O61" s="1262" t="s">
        <v>7</v>
      </c>
      <c r="P61" s="1262" t="s">
        <v>489</v>
      </c>
      <c r="Q61" s="375"/>
      <c r="R61" s="376"/>
    </row>
    <row r="62" spans="1:21" ht="25.5" x14ac:dyDescent="0.25">
      <c r="A62" s="1689"/>
      <c r="B62" s="1695" t="str">
        <f>IF($B$58="All trusts", Ind_inter_backfile!A5,Ind_inter_backfile!A15)</f>
        <v>Clinical supplies &amp; services</v>
      </c>
      <c r="C62" s="1428" t="s">
        <v>413</v>
      </c>
      <c r="D62" s="1428" t="s">
        <v>413</v>
      </c>
      <c r="E62" s="1428" t="s">
        <v>413</v>
      </c>
      <c r="F62" s="1428" t="s">
        <v>413</v>
      </c>
      <c r="G62" s="1428" t="s">
        <v>413</v>
      </c>
      <c r="H62" s="1428" t="s">
        <v>413</v>
      </c>
      <c r="I62" s="1428" t="e">
        <f>IF(#REF!="All trusts", Ind_inter_backfile!H4,Ind_inter_backfile!H14)</f>
        <v>#REF!</v>
      </c>
      <c r="J62" s="1428" t="e">
        <f>IF(#REF!="All trusts", Ind_inter_backfile!I4,Ind_inter_backfile!I14)</f>
        <v>#REF!</v>
      </c>
      <c r="K62" s="1428" t="e">
        <f>IF(#REF!="All trusts", Ind_inter_backfile!J4,Ind_inter_backfile!J14)</f>
        <v>#REF!</v>
      </c>
      <c r="L62" s="1428" t="e">
        <f>IF(#REF!="All trusts", Ind_inter_backfile!K4,Ind_inter_backfile!K14)</f>
        <v>#REF!</v>
      </c>
      <c r="M62" s="1428" t="e">
        <f>IF(#REF!="All trusts", Ind_inter_backfile!L4,Ind_inter_backfile!L14)</f>
        <v>#REF!</v>
      </c>
      <c r="N62" s="1428" t="e">
        <f>IF(#REF!="All trusts", Ind_inter_backfile!M4,Ind_inter_backfile!M14)</f>
        <v>#REF!</v>
      </c>
      <c r="O62" s="1428" t="e">
        <f>IF(#REF!="All trusts", Ind_inter_backfile!N4,Ind_inter_backfile!N14)</f>
        <v>#REF!</v>
      </c>
      <c r="P62" s="1428" t="e">
        <f>IF(#REF!="All trusts", Ind_inter_backfile!O4,Ind_inter_backfile!O14)</f>
        <v>#REF!</v>
      </c>
      <c r="Q62" s="375"/>
      <c r="R62" s="376"/>
    </row>
    <row r="63" spans="1:21" ht="25.5" x14ac:dyDescent="0.25">
      <c r="A63" s="1689"/>
      <c r="B63" s="1695" t="str">
        <f>IF($B$58="All trusts", Ind_inter_backfile!A6,Ind_inter_backfile!A16)</f>
        <v>General supplies &amp; services</v>
      </c>
      <c r="C63" s="1428" t="s">
        <v>413</v>
      </c>
      <c r="D63" s="1428" t="s">
        <v>413</v>
      </c>
      <c r="E63" s="1428" t="s">
        <v>413</v>
      </c>
      <c r="F63" s="1428" t="s">
        <v>413</v>
      </c>
      <c r="G63" s="1428" t="s">
        <v>413</v>
      </c>
      <c r="H63" s="1428" t="s">
        <v>413</v>
      </c>
      <c r="I63" s="1428" t="e">
        <f>IF(#REF!="All trusts", Ind_inter_backfile!H5,Ind_inter_backfile!H15)</f>
        <v>#REF!</v>
      </c>
      <c r="J63" s="1428" t="e">
        <f>IF(#REF!="All trusts", Ind_inter_backfile!I5,Ind_inter_backfile!I15)</f>
        <v>#REF!</v>
      </c>
      <c r="K63" s="1428" t="e">
        <f>IF(#REF!="All trusts", Ind_inter_backfile!J5,Ind_inter_backfile!J15)</f>
        <v>#REF!</v>
      </c>
      <c r="L63" s="1428" t="e">
        <f>IF(#REF!="All trusts", Ind_inter_backfile!K5,Ind_inter_backfile!K15)</f>
        <v>#REF!</v>
      </c>
      <c r="M63" s="1428" t="e">
        <f>IF(#REF!="All trusts", Ind_inter_backfile!L5,Ind_inter_backfile!L15)</f>
        <v>#REF!</v>
      </c>
      <c r="N63" s="1428" t="e">
        <f>IF(#REF!="All trusts", Ind_inter_backfile!M5,Ind_inter_backfile!M15)</f>
        <v>#REF!</v>
      </c>
      <c r="O63" s="1428" t="e">
        <f>IF(#REF!="All trusts", Ind_inter_backfile!N5,Ind_inter_backfile!N15)</f>
        <v>#REF!</v>
      </c>
      <c r="P63" s="1428" t="e">
        <f>IF(#REF!="All trusts", Ind_inter_backfile!O5,Ind_inter_backfile!O15)</f>
        <v>#REF!</v>
      </c>
      <c r="Q63" s="375"/>
      <c r="R63" s="376"/>
    </row>
    <row r="64" spans="1:21" x14ac:dyDescent="0.25">
      <c r="A64" s="1689"/>
      <c r="B64" s="1695" t="str">
        <f>IF($B$58="All trusts", Ind_inter_backfile!A7,Ind_inter_backfile!A17)</f>
        <v>Establishment</v>
      </c>
      <c r="C64" s="1428" t="s">
        <v>413</v>
      </c>
      <c r="D64" s="1428" t="s">
        <v>413</v>
      </c>
      <c r="E64" s="1428" t="s">
        <v>413</v>
      </c>
      <c r="F64" s="1428" t="s">
        <v>413</v>
      </c>
      <c r="G64" s="1428" t="s">
        <v>413</v>
      </c>
      <c r="H64" s="1428" t="s">
        <v>413</v>
      </c>
      <c r="I64" s="1428" t="e">
        <f>IF(#REF!="All trusts", Ind_inter_backfile!H6,Ind_inter_backfile!H16)</f>
        <v>#REF!</v>
      </c>
      <c r="J64" s="1428" t="e">
        <f>IF(#REF!="All trusts", Ind_inter_backfile!I6,Ind_inter_backfile!I16)</f>
        <v>#REF!</v>
      </c>
      <c r="K64" s="1428" t="e">
        <f>IF(#REF!="All trusts", Ind_inter_backfile!J6,Ind_inter_backfile!J16)</f>
        <v>#REF!</v>
      </c>
      <c r="L64" s="1428" t="e">
        <f>IF(#REF!="All trusts", Ind_inter_backfile!K6,Ind_inter_backfile!K16)</f>
        <v>#REF!</v>
      </c>
      <c r="M64" s="1428" t="e">
        <f>IF(#REF!="All trusts", Ind_inter_backfile!L6,Ind_inter_backfile!L16)</f>
        <v>#REF!</v>
      </c>
      <c r="N64" s="1428" t="e">
        <f>IF(#REF!="All trusts", Ind_inter_backfile!M6,Ind_inter_backfile!M16)</f>
        <v>#REF!</v>
      </c>
      <c r="O64" s="1428" t="e">
        <f>IF(#REF!="All trusts", Ind_inter_backfile!N6,Ind_inter_backfile!N16)</f>
        <v>#REF!</v>
      </c>
      <c r="P64" s="1428" t="e">
        <f>IF(#REF!="All trusts", Ind_inter_backfile!O6,Ind_inter_backfile!O16)</f>
        <v>#REF!</v>
      </c>
      <c r="Q64" s="375"/>
      <c r="R64" s="376"/>
    </row>
    <row r="65" spans="1:18" x14ac:dyDescent="0.25">
      <c r="A65" s="1689"/>
      <c r="B65" s="1695" t="str">
        <f>IF($B$58="All trusts", Ind_inter_backfile!A8,Ind_inter_backfile!A18)</f>
        <v>Energy &amp; premises</v>
      </c>
      <c r="C65" s="1428" t="s">
        <v>413</v>
      </c>
      <c r="D65" s="1428" t="s">
        <v>413</v>
      </c>
      <c r="E65" s="1428" t="s">
        <v>413</v>
      </c>
      <c r="F65" s="1428" t="s">
        <v>413</v>
      </c>
      <c r="G65" s="1428" t="s">
        <v>413</v>
      </c>
      <c r="H65" s="1428" t="s">
        <v>413</v>
      </c>
      <c r="I65" s="1428" t="e">
        <f>IF(#REF!="All trusts", Ind_inter_backfile!H7,Ind_inter_backfile!H17)</f>
        <v>#REF!</v>
      </c>
      <c r="J65" s="1428" t="e">
        <f>IF(#REF!="All trusts", Ind_inter_backfile!I7,Ind_inter_backfile!I17)</f>
        <v>#REF!</v>
      </c>
      <c r="K65" s="1428" t="e">
        <f>IF(#REF!="All trusts", Ind_inter_backfile!J7,Ind_inter_backfile!J17)</f>
        <v>#REF!</v>
      </c>
      <c r="L65" s="1428" t="e">
        <f>IF(#REF!="All trusts", Ind_inter_backfile!K7,Ind_inter_backfile!K17)</f>
        <v>#REF!</v>
      </c>
      <c r="M65" s="1428" t="e">
        <f>IF(#REF!="All trusts", Ind_inter_backfile!L7,Ind_inter_backfile!L17)</f>
        <v>#REF!</v>
      </c>
      <c r="N65" s="1428" t="e">
        <f>IF(#REF!="All trusts", Ind_inter_backfile!M7,Ind_inter_backfile!M17)</f>
        <v>#REF!</v>
      </c>
      <c r="O65" s="1428" t="e">
        <f>IF(#REF!="All trusts", Ind_inter_backfile!N7,Ind_inter_backfile!N17)</f>
        <v>#REF!</v>
      </c>
      <c r="P65" s="1428" t="e">
        <f>IF(#REF!="All trusts", Ind_inter_backfile!O7,Ind_inter_backfile!O17)</f>
        <v>#REF!</v>
      </c>
      <c r="Q65" s="375"/>
      <c r="R65" s="376"/>
    </row>
    <row r="66" spans="1:18" ht="25.5" x14ac:dyDescent="0.25">
      <c r="A66" s="1689"/>
      <c r="B66" s="1695" t="str">
        <f>IF($B$58="All trusts", Ind_inter_backfile!A9,Ind_inter_backfile!A19)</f>
        <v>External purchasing</v>
      </c>
      <c r="C66" s="1428" t="s">
        <v>413</v>
      </c>
      <c r="D66" s="1428" t="s">
        <v>413</v>
      </c>
      <c r="E66" s="1428" t="s">
        <v>413</v>
      </c>
      <c r="F66" s="1428" t="s">
        <v>413</v>
      </c>
      <c r="G66" s="1428" t="s">
        <v>413</v>
      </c>
      <c r="H66" s="1428" t="s">
        <v>413</v>
      </c>
      <c r="I66" s="1428" t="e">
        <f>IF(#REF!="All trusts", Ind_inter_backfile!H8,Ind_inter_backfile!H18)</f>
        <v>#REF!</v>
      </c>
      <c r="J66" s="1428" t="e">
        <f>IF(#REF!="All trusts", Ind_inter_backfile!I8,Ind_inter_backfile!I18)</f>
        <v>#REF!</v>
      </c>
      <c r="K66" s="1428" t="e">
        <f>IF(#REF!="All trusts", Ind_inter_backfile!J8,Ind_inter_backfile!J18)</f>
        <v>#REF!</v>
      </c>
      <c r="L66" s="1428" t="e">
        <f>IF(#REF!="All trusts", Ind_inter_backfile!K8,Ind_inter_backfile!K18)</f>
        <v>#REF!</v>
      </c>
      <c r="M66" s="1428" t="e">
        <f>IF(#REF!="All trusts", Ind_inter_backfile!L8,Ind_inter_backfile!L18)</f>
        <v>#REF!</v>
      </c>
      <c r="N66" s="1428" t="e">
        <f>IF(#REF!="All trusts", Ind_inter_backfile!M8,Ind_inter_backfile!M18)</f>
        <v>#REF!</v>
      </c>
      <c r="O66" s="1428" t="e">
        <f>IF(#REF!="All trusts", Ind_inter_backfile!N8,Ind_inter_backfile!N18)</f>
        <v>#REF!</v>
      </c>
      <c r="P66" s="1428" t="e">
        <f>IF(#REF!="All trusts", Ind_inter_backfile!O8,Ind_inter_backfile!O18)</f>
        <v>#REF!</v>
      </c>
      <c r="Q66" s="375"/>
      <c r="R66" s="376"/>
    </row>
    <row r="67" spans="1:18" x14ac:dyDescent="0.25">
      <c r="A67" s="378"/>
      <c r="B67" s="1695" t="str">
        <f>IF($B$58="All trusts", Ind_inter_backfile!A10,Ind_inter_backfile!A20)</f>
        <v>Miscellaneous</v>
      </c>
      <c r="C67" s="1428" t="s">
        <v>413</v>
      </c>
      <c r="D67" s="1428" t="s">
        <v>413</v>
      </c>
      <c r="E67" s="1428" t="s">
        <v>413</v>
      </c>
      <c r="F67" s="1428" t="s">
        <v>413</v>
      </c>
      <c r="G67" s="1428" t="s">
        <v>413</v>
      </c>
      <c r="H67" s="1428" t="s">
        <v>413</v>
      </c>
      <c r="I67" s="1428" t="e">
        <f>IF(#REF!="All trusts", Ind_inter_backfile!H9,Ind_inter_backfile!H19)</f>
        <v>#REF!</v>
      </c>
      <c r="J67" s="1428" t="e">
        <f>IF(#REF!="All trusts", Ind_inter_backfile!I9,Ind_inter_backfile!I19)</f>
        <v>#REF!</v>
      </c>
      <c r="K67" s="1428" t="e">
        <f>IF(#REF!="All trusts", Ind_inter_backfile!J9,Ind_inter_backfile!J19)</f>
        <v>#REF!</v>
      </c>
      <c r="L67" s="1428" t="e">
        <f>IF(#REF!="All trusts", Ind_inter_backfile!K9,Ind_inter_backfile!K19)</f>
        <v>#REF!</v>
      </c>
      <c r="M67" s="1428" t="e">
        <f>IF(#REF!="All trusts", Ind_inter_backfile!L9,Ind_inter_backfile!L19)</f>
        <v>#REF!</v>
      </c>
      <c r="N67" s="1428" t="e">
        <f>IF(#REF!="All trusts", Ind_inter_backfile!M9,Ind_inter_backfile!M19)</f>
        <v>#REF!</v>
      </c>
      <c r="O67" s="1428" t="e">
        <f>IF(#REF!="All trusts", Ind_inter_backfile!N9,Ind_inter_backfile!N19)</f>
        <v>#REF!</v>
      </c>
      <c r="P67" s="1428" t="e">
        <f>IF(#REF!="All trusts", Ind_inter_backfile!O9,Ind_inter_backfile!O19)</f>
        <v>#REF!</v>
      </c>
      <c r="Q67" s="375"/>
      <c r="R67" s="376"/>
    </row>
    <row r="68" spans="1:18" x14ac:dyDescent="0.25">
      <c r="A68" s="378"/>
      <c r="B68" s="1696" t="str">
        <f>IF($B$58="All trusts", Ind_inter_backfile!A11,Ind_inter_backfile!A21)</f>
        <v>Total intermediates</v>
      </c>
      <c r="C68" s="1428" t="s">
        <v>413</v>
      </c>
      <c r="D68" s="1428" t="s">
        <v>413</v>
      </c>
      <c r="E68" s="1428" t="s">
        <v>413</v>
      </c>
      <c r="F68" s="1428" t="s">
        <v>413</v>
      </c>
      <c r="G68" s="1428" t="s">
        <v>413</v>
      </c>
      <c r="H68" s="1428" t="s">
        <v>413</v>
      </c>
      <c r="I68" s="1428" t="e">
        <f>IF(#REF!="All trusts", Ind_inter_backfile!H10,Ind_inter_backfile!H20)</f>
        <v>#REF!</v>
      </c>
      <c r="J68" s="1428" t="e">
        <f>IF(#REF!="All trusts", Ind_inter_backfile!I10,Ind_inter_backfile!I20)</f>
        <v>#REF!</v>
      </c>
      <c r="K68" s="1428" t="e">
        <f>IF(#REF!="All trusts", Ind_inter_backfile!J10,Ind_inter_backfile!J20)</f>
        <v>#REF!</v>
      </c>
      <c r="L68" s="1428" t="e">
        <f>IF(#REF!="All trusts", Ind_inter_backfile!K10,Ind_inter_backfile!K20)</f>
        <v>#REF!</v>
      </c>
      <c r="M68" s="1428" t="e">
        <f>IF(#REF!="All trusts", Ind_inter_backfile!L10,Ind_inter_backfile!L20)</f>
        <v>#REF!</v>
      </c>
      <c r="N68" s="1428" t="e">
        <f>IF(#REF!="All trusts", Ind_inter_backfile!M10,Ind_inter_backfile!M20)</f>
        <v>#REF!</v>
      </c>
      <c r="O68" s="1428" t="e">
        <f>IF(#REF!="All trusts", Ind_inter_backfile!N10,Ind_inter_backfile!N20)</f>
        <v>#REF!</v>
      </c>
      <c r="P68" s="1428" t="e">
        <f>IF(#REF!="All trusts", Ind_inter_backfile!O10,Ind_inter_backfile!O20)</f>
        <v>#REF!</v>
      </c>
      <c r="Q68" s="375"/>
      <c r="R68" s="376"/>
    </row>
    <row r="69" spans="1:18" x14ac:dyDescent="0.25">
      <c r="A69" s="378"/>
      <c r="B69" s="375"/>
      <c r="C69" s="1428" t="s">
        <v>413</v>
      </c>
      <c r="D69" s="1428" t="s">
        <v>413</v>
      </c>
      <c r="E69" s="1428" t="s">
        <v>413</v>
      </c>
      <c r="F69" s="1428" t="s">
        <v>413</v>
      </c>
      <c r="G69" s="1428" t="s">
        <v>413</v>
      </c>
      <c r="H69" s="1428" t="s">
        <v>413</v>
      </c>
      <c r="I69" s="1428" t="e">
        <f>IF(#REF!="All trusts", Ind_inter_backfile!H11,Ind_inter_backfile!H21)</f>
        <v>#REF!</v>
      </c>
      <c r="J69" s="1428" t="e">
        <f>IF(#REF!="All trusts", Ind_inter_backfile!I11,Ind_inter_backfile!I21)</f>
        <v>#REF!</v>
      </c>
      <c r="K69" s="1428" t="e">
        <f>IF(#REF!="All trusts", Ind_inter_backfile!J11,Ind_inter_backfile!J21)</f>
        <v>#REF!</v>
      </c>
      <c r="L69" s="1428" t="e">
        <f>IF(#REF!="All trusts", Ind_inter_backfile!K11,Ind_inter_backfile!K21)</f>
        <v>#REF!</v>
      </c>
      <c r="M69" s="1428" t="e">
        <f>IF(#REF!="All trusts", Ind_inter_backfile!L11,Ind_inter_backfile!L21)</f>
        <v>#REF!</v>
      </c>
      <c r="N69" s="1428" t="e">
        <f>IF(#REF!="All trusts", Ind_inter_backfile!M11,Ind_inter_backfile!M21)</f>
        <v>#REF!</v>
      </c>
      <c r="O69" s="1428" t="e">
        <f>IF(#REF!="All trusts", Ind_inter_backfile!N11,Ind_inter_backfile!N21)</f>
        <v>#REF!</v>
      </c>
      <c r="P69" s="1428" t="e">
        <f>IF(#REF!="All trusts", Ind_inter_backfile!O11,Ind_inter_backfile!O21)</f>
        <v>#REF!</v>
      </c>
      <c r="Q69" s="375"/>
      <c r="R69" s="376"/>
    </row>
    <row r="70" spans="1:18" x14ac:dyDescent="0.25">
      <c r="A70" s="378"/>
      <c r="B70" s="378"/>
      <c r="C70" s="375"/>
      <c r="D70" s="375"/>
      <c r="E70" s="375"/>
      <c r="F70" s="375"/>
      <c r="G70" s="375"/>
      <c r="H70" s="375"/>
      <c r="I70" s="375"/>
      <c r="J70" s="375"/>
      <c r="K70" s="375"/>
      <c r="L70" s="375"/>
      <c r="M70" s="375"/>
      <c r="N70" s="375"/>
      <c r="O70" s="375"/>
      <c r="P70" s="375"/>
      <c r="Q70" s="375"/>
      <c r="R70" s="376"/>
    </row>
    <row r="71" spans="1:18" x14ac:dyDescent="0.25">
      <c r="A71" s="378"/>
      <c r="B71" s="378"/>
      <c r="C71" s="378"/>
      <c r="D71" s="378"/>
      <c r="E71" s="378"/>
      <c r="F71" s="378"/>
      <c r="G71" s="378"/>
      <c r="H71" s="378"/>
      <c r="I71" s="378"/>
      <c r="J71" s="378"/>
      <c r="K71" s="378"/>
      <c r="L71" s="378"/>
      <c r="M71" s="378"/>
      <c r="N71" s="378"/>
      <c r="O71" s="378"/>
      <c r="P71" s="378"/>
      <c r="Q71" s="376"/>
      <c r="R71" s="376"/>
    </row>
    <row r="72" spans="1:18" x14ac:dyDescent="0.25">
      <c r="A72" s="378"/>
      <c r="B72" s="378"/>
      <c r="C72" s="378"/>
      <c r="D72" s="378"/>
      <c r="E72" s="378"/>
      <c r="F72" s="378"/>
      <c r="G72" s="378"/>
      <c r="H72" s="378"/>
      <c r="I72" s="378"/>
      <c r="J72" s="378"/>
      <c r="K72" s="378"/>
      <c r="L72" s="378"/>
      <c r="M72" s="378"/>
      <c r="N72" s="378"/>
      <c r="O72" s="378"/>
      <c r="P72" s="378"/>
      <c r="Q72" s="376"/>
      <c r="R72" s="376"/>
    </row>
    <row r="73" spans="1:18" x14ac:dyDescent="0.25">
      <c r="A73" s="378"/>
      <c r="B73" s="376"/>
      <c r="C73" s="378"/>
      <c r="D73" s="378"/>
      <c r="E73" s="378"/>
      <c r="F73" s="378"/>
      <c r="G73" s="378"/>
      <c r="H73" s="378"/>
      <c r="I73" s="378"/>
      <c r="J73" s="378"/>
      <c r="K73" s="378"/>
      <c r="L73" s="378"/>
      <c r="M73" s="378"/>
      <c r="N73" s="378"/>
      <c r="O73" s="378"/>
      <c r="P73" s="378"/>
      <c r="Q73" s="376"/>
      <c r="R73" s="376"/>
    </row>
    <row r="74" spans="1:18" x14ac:dyDescent="0.25">
      <c r="A74" s="376"/>
      <c r="B74" s="376"/>
      <c r="C74" s="376"/>
      <c r="D74" s="376"/>
      <c r="E74" s="376"/>
      <c r="F74" s="376"/>
      <c r="G74" s="376"/>
      <c r="H74" s="376"/>
      <c r="I74" s="376"/>
      <c r="J74" s="376"/>
      <c r="K74" s="376"/>
      <c r="L74" s="376"/>
      <c r="M74" s="376"/>
      <c r="N74" s="376"/>
      <c r="O74" s="376"/>
      <c r="P74" s="376"/>
      <c r="Q74" s="376"/>
      <c r="R74" s="376"/>
    </row>
    <row r="75" spans="1:18" x14ac:dyDescent="0.25">
      <c r="A75" s="376"/>
      <c r="B75" s="376"/>
      <c r="C75" s="376"/>
      <c r="D75" s="376"/>
      <c r="E75" s="376"/>
      <c r="F75" s="376"/>
      <c r="G75" s="376"/>
      <c r="H75" s="376"/>
      <c r="I75" s="376"/>
      <c r="J75" s="376"/>
      <c r="K75" s="376"/>
      <c r="L75" s="376"/>
      <c r="M75" s="376"/>
      <c r="N75" s="376"/>
      <c r="O75" s="376"/>
      <c r="P75" s="376"/>
      <c r="Q75" s="376"/>
      <c r="R75" s="376"/>
    </row>
    <row r="76" spans="1:18" x14ac:dyDescent="0.25">
      <c r="A76" s="376"/>
      <c r="B76" s="376"/>
      <c r="C76" s="376"/>
      <c r="D76" s="376"/>
      <c r="E76" s="376"/>
      <c r="F76" s="376"/>
      <c r="G76" s="376"/>
      <c r="H76" s="376"/>
      <c r="I76" s="376"/>
      <c r="J76" s="376"/>
      <c r="K76" s="376"/>
      <c r="L76" s="376"/>
      <c r="M76" s="376"/>
      <c r="N76" s="376"/>
      <c r="O76" s="376"/>
      <c r="P76" s="376"/>
      <c r="Q76" s="376"/>
      <c r="R76" s="376"/>
    </row>
    <row r="77" spans="1:18" x14ac:dyDescent="0.25">
      <c r="A77" s="376"/>
      <c r="B77" s="376" t="s">
        <v>266</v>
      </c>
      <c r="C77" s="376"/>
      <c r="D77" s="376"/>
      <c r="E77" s="376"/>
      <c r="F77" s="376"/>
      <c r="G77" s="376"/>
      <c r="H77" s="376"/>
      <c r="I77" s="376"/>
      <c r="J77" s="376"/>
      <c r="K77" s="376"/>
      <c r="L77" s="376"/>
      <c r="M77" s="376"/>
      <c r="N77" s="376"/>
      <c r="O77" s="376"/>
      <c r="P77" s="376"/>
      <c r="Q77" s="376"/>
      <c r="R77" s="376"/>
    </row>
    <row r="78" spans="1:18" x14ac:dyDescent="0.25">
      <c r="A78" s="376"/>
      <c r="B78" s="376" t="s">
        <v>48</v>
      </c>
      <c r="C78" s="376"/>
      <c r="D78" s="376"/>
      <c r="E78" s="376"/>
      <c r="F78" s="376"/>
      <c r="G78" s="376"/>
      <c r="H78" s="376"/>
      <c r="I78" s="376"/>
      <c r="J78" s="376"/>
      <c r="K78" s="376"/>
      <c r="L78" s="376"/>
      <c r="M78" s="376"/>
      <c r="N78" s="376"/>
      <c r="O78" s="376"/>
      <c r="P78" s="376"/>
      <c r="Q78" s="376"/>
      <c r="R78" s="376"/>
    </row>
    <row r="79" spans="1:18" x14ac:dyDescent="0.25">
      <c r="A79" s="376"/>
      <c r="B79" s="376"/>
      <c r="C79" s="376"/>
      <c r="D79" s="376"/>
      <c r="E79" s="376"/>
      <c r="F79" s="376"/>
      <c r="G79" s="376"/>
      <c r="H79" s="376"/>
      <c r="I79" s="376"/>
      <c r="J79" s="376"/>
      <c r="K79" s="376"/>
      <c r="L79" s="376"/>
      <c r="M79" s="376"/>
      <c r="N79" s="376"/>
      <c r="O79" s="376"/>
      <c r="P79" s="376"/>
      <c r="Q79" s="376"/>
      <c r="R79" s="376"/>
    </row>
    <row r="80" spans="1:18" x14ac:dyDescent="0.25">
      <c r="A80" s="376"/>
      <c r="B80" s="376"/>
      <c r="C80" s="376"/>
      <c r="D80" s="376"/>
      <c r="E80" s="376"/>
      <c r="F80" s="376"/>
      <c r="G80" s="376"/>
      <c r="H80" s="376"/>
      <c r="I80" s="376"/>
      <c r="J80" s="376"/>
      <c r="K80" s="376"/>
      <c r="L80" s="376"/>
      <c r="M80" s="376"/>
      <c r="N80" s="376"/>
      <c r="O80" s="376"/>
      <c r="P80" s="376"/>
      <c r="Q80" s="376"/>
      <c r="R80" s="376"/>
    </row>
    <row r="81" spans="1:18" x14ac:dyDescent="0.25">
      <c r="A81" s="376"/>
      <c r="B81" s="376"/>
      <c r="C81" s="376"/>
      <c r="D81" s="376"/>
      <c r="E81" s="376"/>
      <c r="F81" s="376"/>
      <c r="G81" s="376"/>
      <c r="H81" s="376"/>
      <c r="I81" s="376"/>
      <c r="J81" s="376"/>
      <c r="K81" s="376"/>
      <c r="L81" s="376"/>
      <c r="M81" s="376"/>
      <c r="N81" s="376"/>
      <c r="O81" s="376"/>
      <c r="P81" s="376"/>
      <c r="Q81" s="376"/>
      <c r="R81" s="376"/>
    </row>
    <row r="82" spans="1:18" x14ac:dyDescent="0.25">
      <c r="A82" s="376"/>
      <c r="B82" s="376"/>
      <c r="C82" s="376"/>
      <c r="D82" s="376"/>
      <c r="E82" s="376"/>
      <c r="F82" s="376"/>
      <c r="G82" s="376"/>
      <c r="H82" s="376"/>
      <c r="I82" s="376"/>
      <c r="J82" s="376"/>
      <c r="K82" s="376"/>
      <c r="L82" s="376"/>
      <c r="M82" s="376"/>
      <c r="N82" s="376"/>
      <c r="O82" s="376"/>
      <c r="P82" s="376"/>
      <c r="Q82" s="376"/>
      <c r="R82" s="376"/>
    </row>
    <row r="83" spans="1:18" x14ac:dyDescent="0.25">
      <c r="A83" s="376"/>
      <c r="B83" s="376"/>
      <c r="C83" s="376"/>
      <c r="D83" s="376"/>
      <c r="E83" s="376"/>
      <c r="F83" s="376"/>
      <c r="G83" s="376"/>
      <c r="H83" s="376"/>
      <c r="I83" s="376"/>
      <c r="J83" s="376"/>
      <c r="K83" s="376"/>
      <c r="L83" s="376"/>
      <c r="M83" s="376"/>
      <c r="N83" s="376"/>
      <c r="O83" s="376"/>
      <c r="P83" s="376"/>
      <c r="Q83" s="376"/>
      <c r="R83" s="376"/>
    </row>
    <row r="84" spans="1:18" x14ac:dyDescent="0.25">
      <c r="A84" s="376"/>
      <c r="B84" s="376"/>
      <c r="C84" s="376"/>
      <c r="D84" s="376"/>
      <c r="E84" s="376"/>
      <c r="F84" s="376"/>
      <c r="G84" s="376"/>
      <c r="H84" s="376"/>
      <c r="I84" s="376"/>
      <c r="J84" s="376"/>
      <c r="K84" s="376"/>
      <c r="L84" s="376"/>
      <c r="M84" s="376"/>
      <c r="N84" s="376"/>
      <c r="O84" s="376"/>
      <c r="P84" s="376"/>
      <c r="Q84" s="376"/>
      <c r="R84" s="376"/>
    </row>
    <row r="85" spans="1:18" x14ac:dyDescent="0.25">
      <c r="A85" s="376"/>
      <c r="B85" s="376"/>
      <c r="C85" s="376"/>
      <c r="D85" s="376"/>
      <c r="E85" s="376"/>
      <c r="F85" s="376"/>
      <c r="G85" s="376"/>
      <c r="H85" s="376"/>
      <c r="I85" s="376"/>
      <c r="J85" s="376"/>
      <c r="K85" s="376"/>
      <c r="L85" s="376"/>
      <c r="M85" s="376"/>
      <c r="N85" s="376"/>
      <c r="O85" s="376"/>
      <c r="P85" s="376"/>
      <c r="Q85" s="376"/>
      <c r="R85" s="376"/>
    </row>
    <row r="86" spans="1:18" x14ac:dyDescent="0.25">
      <c r="A86" s="376"/>
      <c r="B86" s="376"/>
      <c r="C86" s="376"/>
      <c r="D86" s="376"/>
      <c r="E86" s="376"/>
      <c r="F86" s="376"/>
      <c r="G86" s="376"/>
      <c r="H86" s="376"/>
      <c r="I86" s="376"/>
      <c r="J86" s="376"/>
      <c r="K86" s="376"/>
      <c r="L86" s="376"/>
      <c r="M86" s="376"/>
      <c r="N86" s="376"/>
      <c r="O86" s="376"/>
      <c r="P86" s="376"/>
      <c r="Q86" s="376"/>
      <c r="R86" s="376"/>
    </row>
    <row r="87" spans="1:18" x14ac:dyDescent="0.25">
      <c r="A87" s="376"/>
      <c r="B87" s="376"/>
      <c r="C87" s="376"/>
      <c r="D87" s="376"/>
      <c r="E87" s="376"/>
      <c r="F87" s="376"/>
      <c r="G87" s="376"/>
      <c r="H87" s="376"/>
      <c r="I87" s="376"/>
      <c r="J87" s="376"/>
      <c r="K87" s="376"/>
      <c r="L87" s="376"/>
      <c r="M87" s="376"/>
      <c r="N87" s="376"/>
      <c r="O87" s="376"/>
      <c r="P87" s="376"/>
      <c r="Q87" s="376"/>
      <c r="R87" s="376"/>
    </row>
    <row r="88" spans="1:18" x14ac:dyDescent="0.25">
      <c r="A88" s="376"/>
      <c r="B88" s="376"/>
      <c r="C88" s="376"/>
      <c r="D88" s="376"/>
      <c r="E88" s="376"/>
      <c r="F88" s="376"/>
      <c r="G88" s="376"/>
      <c r="H88" s="376"/>
      <c r="I88" s="376"/>
      <c r="J88" s="376"/>
      <c r="K88" s="376"/>
      <c r="L88" s="376"/>
      <c r="M88" s="376"/>
      <c r="N88" s="376"/>
      <c r="O88" s="376"/>
      <c r="P88" s="376"/>
      <c r="Q88" s="376"/>
      <c r="R88" s="376"/>
    </row>
    <row r="89" spans="1:18" x14ac:dyDescent="0.25">
      <c r="A89" s="376"/>
      <c r="B89" s="376"/>
      <c r="C89" s="376"/>
      <c r="D89" s="376"/>
      <c r="E89" s="376"/>
      <c r="F89" s="376"/>
      <c r="G89" s="376"/>
      <c r="H89" s="376"/>
      <c r="I89" s="376"/>
      <c r="J89" s="376"/>
      <c r="K89" s="376"/>
      <c r="L89" s="376"/>
      <c r="M89" s="376"/>
      <c r="N89" s="376"/>
      <c r="O89" s="376"/>
      <c r="P89" s="376"/>
      <c r="Q89" s="376"/>
      <c r="R89" s="376"/>
    </row>
    <row r="90" spans="1:18" x14ac:dyDescent="0.25">
      <c r="A90" s="376"/>
      <c r="B90" s="376"/>
      <c r="C90" s="376"/>
      <c r="D90" s="376"/>
      <c r="E90" s="376"/>
      <c r="F90" s="376"/>
      <c r="G90" s="376"/>
      <c r="H90" s="376"/>
      <c r="I90" s="376"/>
      <c r="J90" s="376"/>
      <c r="K90" s="376"/>
      <c r="L90" s="376"/>
      <c r="M90" s="376"/>
      <c r="N90" s="376"/>
      <c r="O90" s="376"/>
      <c r="P90" s="376"/>
      <c r="Q90" s="376"/>
      <c r="R90" s="376"/>
    </row>
    <row r="91" spans="1:18" x14ac:dyDescent="0.25">
      <c r="A91" s="376"/>
      <c r="B91" s="376"/>
      <c r="C91" s="376"/>
      <c r="D91" s="376"/>
      <c r="E91" s="376"/>
      <c r="F91" s="376"/>
      <c r="G91" s="376"/>
      <c r="H91" s="376"/>
      <c r="I91" s="376"/>
      <c r="J91" s="376"/>
      <c r="K91" s="376"/>
      <c r="L91" s="376"/>
      <c r="M91" s="376"/>
      <c r="N91" s="376"/>
      <c r="O91" s="376"/>
      <c r="P91" s="376"/>
      <c r="Q91" s="376"/>
      <c r="R91" s="376"/>
    </row>
    <row r="92" spans="1:18" x14ac:dyDescent="0.25">
      <c r="A92" s="376"/>
      <c r="B92" s="376"/>
      <c r="C92" s="376"/>
      <c r="D92" s="376"/>
      <c r="E92" s="376"/>
      <c r="F92" s="376"/>
      <c r="G92" s="376"/>
      <c r="H92" s="376"/>
      <c r="I92" s="376"/>
      <c r="J92" s="376"/>
      <c r="K92" s="376"/>
      <c r="L92" s="376"/>
      <c r="M92" s="376"/>
      <c r="N92" s="376"/>
      <c r="O92" s="376"/>
      <c r="P92" s="376"/>
      <c r="Q92" s="376"/>
      <c r="R92" s="376"/>
    </row>
    <row r="93" spans="1:18" x14ac:dyDescent="0.25">
      <c r="A93" s="376"/>
      <c r="B93" s="376"/>
      <c r="C93" s="376"/>
      <c r="D93" s="376"/>
      <c r="E93" s="376"/>
      <c r="F93" s="376"/>
      <c r="G93" s="376"/>
      <c r="H93" s="376"/>
      <c r="I93" s="376"/>
      <c r="J93" s="376"/>
      <c r="K93" s="376"/>
      <c r="L93" s="376"/>
      <c r="M93" s="376"/>
      <c r="N93" s="376"/>
      <c r="O93" s="376"/>
      <c r="P93" s="376"/>
      <c r="Q93" s="376"/>
      <c r="R93" s="376"/>
    </row>
    <row r="94" spans="1:18" x14ac:dyDescent="0.25">
      <c r="A94" s="376"/>
      <c r="B94" s="376"/>
      <c r="C94" s="376"/>
      <c r="D94" s="376"/>
      <c r="E94" s="376"/>
      <c r="F94" s="376"/>
      <c r="G94" s="376"/>
      <c r="H94" s="376"/>
      <c r="I94" s="376"/>
      <c r="J94" s="376"/>
      <c r="K94" s="376"/>
      <c r="L94" s="376"/>
      <c r="M94" s="376"/>
      <c r="N94" s="376"/>
      <c r="O94" s="376"/>
      <c r="P94" s="376"/>
      <c r="Q94" s="376"/>
      <c r="R94" s="376"/>
    </row>
    <row r="95" spans="1:18" x14ac:dyDescent="0.25">
      <c r="A95" s="376"/>
      <c r="B95" s="376"/>
      <c r="C95" s="376"/>
      <c r="D95" s="376"/>
      <c r="E95" s="376"/>
      <c r="F95" s="376"/>
      <c r="G95" s="376"/>
      <c r="H95" s="376"/>
      <c r="I95" s="376"/>
      <c r="J95" s="376"/>
      <c r="K95" s="376"/>
      <c r="L95" s="376"/>
      <c r="M95" s="376"/>
      <c r="N95" s="376"/>
      <c r="O95" s="376"/>
      <c r="P95" s="376"/>
      <c r="Q95" s="376"/>
      <c r="R95" s="376"/>
    </row>
    <row r="96" spans="1:18" x14ac:dyDescent="0.25">
      <c r="A96" s="376"/>
      <c r="B96" s="376"/>
      <c r="C96" s="376"/>
      <c r="D96" s="376"/>
      <c r="E96" s="376"/>
      <c r="F96" s="376"/>
      <c r="G96" s="376"/>
      <c r="H96" s="376"/>
      <c r="I96" s="376"/>
      <c r="J96" s="376"/>
      <c r="K96" s="376"/>
      <c r="L96" s="376"/>
      <c r="M96" s="376"/>
      <c r="N96" s="376"/>
      <c r="O96" s="376"/>
      <c r="P96" s="376"/>
      <c r="Q96" s="376"/>
      <c r="R96" s="376"/>
    </row>
    <row r="97" spans="1:18" x14ac:dyDescent="0.25">
      <c r="A97" s="376"/>
      <c r="B97" s="376"/>
      <c r="C97" s="376"/>
      <c r="D97" s="376"/>
      <c r="E97" s="376"/>
      <c r="F97" s="376"/>
      <c r="G97" s="376"/>
      <c r="H97" s="376"/>
      <c r="I97" s="376"/>
      <c r="J97" s="376"/>
      <c r="K97" s="376"/>
      <c r="L97" s="376"/>
      <c r="M97" s="376"/>
      <c r="N97" s="376"/>
      <c r="O97" s="376"/>
      <c r="P97" s="376"/>
      <c r="Q97" s="376"/>
      <c r="R97" s="376"/>
    </row>
    <row r="98" spans="1:18" x14ac:dyDescent="0.25">
      <c r="A98" s="376"/>
      <c r="B98" s="376"/>
      <c r="C98" s="376"/>
      <c r="D98" s="376"/>
      <c r="E98" s="376"/>
      <c r="F98" s="376"/>
      <c r="G98" s="376"/>
      <c r="H98" s="376"/>
      <c r="I98" s="376"/>
      <c r="J98" s="376"/>
      <c r="K98" s="376"/>
      <c r="L98" s="376"/>
      <c r="M98" s="376"/>
      <c r="N98" s="376"/>
      <c r="O98" s="376"/>
      <c r="P98" s="376"/>
      <c r="Q98" s="376"/>
      <c r="R98" s="376"/>
    </row>
    <row r="99" spans="1:18" x14ac:dyDescent="0.25">
      <c r="A99" s="376"/>
      <c r="B99" s="376"/>
      <c r="C99" s="376"/>
      <c r="D99" s="376"/>
      <c r="E99" s="376"/>
      <c r="F99" s="376"/>
      <c r="G99" s="376"/>
      <c r="H99" s="376"/>
      <c r="I99" s="376"/>
      <c r="J99" s="376"/>
      <c r="K99" s="376"/>
      <c r="L99" s="376"/>
      <c r="M99" s="376"/>
      <c r="N99" s="376"/>
      <c r="O99" s="376"/>
      <c r="P99" s="376"/>
      <c r="Q99" s="376"/>
      <c r="R99" s="376"/>
    </row>
    <row r="100" spans="1:18" x14ac:dyDescent="0.25">
      <c r="A100" s="376"/>
      <c r="B100" s="376"/>
      <c r="C100" s="376"/>
      <c r="D100" s="376"/>
      <c r="E100" s="376"/>
      <c r="F100" s="376"/>
      <c r="G100" s="376"/>
      <c r="H100" s="376"/>
      <c r="I100" s="376"/>
      <c r="J100" s="376"/>
      <c r="K100" s="376"/>
      <c r="L100" s="376"/>
      <c r="M100" s="376"/>
      <c r="N100" s="376"/>
      <c r="O100" s="376"/>
      <c r="P100" s="376"/>
      <c r="Q100" s="376"/>
      <c r="R100" s="376"/>
    </row>
    <row r="101" spans="1:18" x14ac:dyDescent="0.25">
      <c r="A101" s="376"/>
      <c r="B101" s="376"/>
      <c r="C101" s="376"/>
      <c r="D101" s="376"/>
      <c r="E101" s="376"/>
      <c r="F101" s="376"/>
      <c r="G101" s="376"/>
      <c r="H101" s="376"/>
      <c r="I101" s="376"/>
      <c r="J101" s="376"/>
      <c r="K101" s="376"/>
      <c r="L101" s="376"/>
      <c r="M101" s="376"/>
      <c r="N101" s="376"/>
      <c r="O101" s="376"/>
      <c r="P101" s="376"/>
      <c r="Q101" s="376"/>
      <c r="R101" s="376"/>
    </row>
    <row r="102" spans="1:18" x14ac:dyDescent="0.25">
      <c r="A102" s="376"/>
      <c r="B102" s="376"/>
      <c r="C102" s="376"/>
      <c r="D102" s="376"/>
      <c r="E102" s="376"/>
      <c r="F102" s="376"/>
      <c r="G102" s="376"/>
      <c r="H102" s="376"/>
      <c r="I102" s="376"/>
      <c r="J102" s="376"/>
      <c r="K102" s="376"/>
      <c r="L102" s="376"/>
      <c r="M102" s="376"/>
      <c r="N102" s="376"/>
      <c r="O102" s="376"/>
      <c r="P102" s="376"/>
      <c r="Q102" s="376"/>
      <c r="R102" s="376"/>
    </row>
    <row r="103" spans="1:18" x14ac:dyDescent="0.25">
      <c r="A103" s="376"/>
      <c r="B103" s="376"/>
      <c r="C103" s="376"/>
      <c r="D103" s="376"/>
      <c r="E103" s="376"/>
      <c r="F103" s="376"/>
      <c r="G103" s="376"/>
      <c r="H103" s="376"/>
      <c r="I103" s="376"/>
      <c r="J103" s="376"/>
      <c r="K103" s="376"/>
      <c r="L103" s="376"/>
      <c r="M103" s="376"/>
      <c r="N103" s="376"/>
      <c r="O103" s="376"/>
      <c r="P103" s="376"/>
      <c r="Q103" s="376"/>
      <c r="R103" s="376"/>
    </row>
    <row r="104" spans="1:18" x14ac:dyDescent="0.25">
      <c r="A104" s="376"/>
      <c r="B104" s="376"/>
      <c r="C104" s="376"/>
      <c r="D104" s="376"/>
      <c r="E104" s="376"/>
      <c r="F104" s="376"/>
      <c r="G104" s="376"/>
      <c r="H104" s="376"/>
      <c r="I104" s="376"/>
      <c r="J104" s="376"/>
      <c r="K104" s="376"/>
      <c r="L104" s="376"/>
      <c r="M104" s="376"/>
      <c r="N104" s="376"/>
      <c r="O104" s="376"/>
      <c r="P104" s="376"/>
      <c r="Q104" s="376"/>
      <c r="R104" s="376"/>
    </row>
    <row r="105" spans="1:18" x14ac:dyDescent="0.25">
      <c r="A105" s="376"/>
      <c r="B105" s="376"/>
      <c r="C105" s="376"/>
      <c r="D105" s="376"/>
      <c r="E105" s="376"/>
      <c r="F105" s="376"/>
      <c r="G105" s="376"/>
      <c r="H105" s="376"/>
      <c r="I105" s="376"/>
      <c r="J105" s="376"/>
      <c r="K105" s="376"/>
      <c r="L105" s="376"/>
      <c r="M105" s="376"/>
      <c r="N105" s="376"/>
      <c r="O105" s="376"/>
      <c r="P105" s="376"/>
      <c r="Q105" s="376"/>
      <c r="R105" s="376"/>
    </row>
    <row r="106" spans="1:18" x14ac:dyDescent="0.25">
      <c r="A106" s="376"/>
      <c r="B106" s="376"/>
      <c r="C106" s="376"/>
      <c r="D106" s="376"/>
      <c r="E106" s="376"/>
      <c r="F106" s="376"/>
      <c r="G106" s="376"/>
      <c r="H106" s="376"/>
      <c r="I106" s="376"/>
      <c r="J106" s="376"/>
      <c r="K106" s="376"/>
      <c r="L106" s="376"/>
      <c r="M106" s="376"/>
      <c r="N106" s="376"/>
      <c r="O106" s="376"/>
      <c r="P106" s="376"/>
      <c r="Q106" s="376"/>
      <c r="R106" s="376"/>
    </row>
    <row r="107" spans="1:18" x14ac:dyDescent="0.25">
      <c r="A107" s="376"/>
      <c r="B107" s="376"/>
      <c r="C107" s="376"/>
      <c r="D107" s="376"/>
      <c r="E107" s="376"/>
      <c r="F107" s="376"/>
      <c r="G107" s="376"/>
      <c r="H107" s="376"/>
      <c r="I107" s="376"/>
      <c r="J107" s="376"/>
      <c r="K107" s="376"/>
      <c r="L107" s="376"/>
      <c r="M107" s="376"/>
      <c r="N107" s="376"/>
      <c r="O107" s="376"/>
      <c r="P107" s="376"/>
      <c r="Q107" s="376"/>
      <c r="R107" s="376"/>
    </row>
    <row r="108" spans="1:18" x14ac:dyDescent="0.25">
      <c r="A108" s="376"/>
      <c r="B108" s="376"/>
      <c r="C108" s="376"/>
      <c r="D108" s="376"/>
      <c r="E108" s="376"/>
      <c r="F108" s="376"/>
      <c r="G108" s="376"/>
      <c r="H108" s="376"/>
      <c r="I108" s="376"/>
      <c r="J108" s="376"/>
      <c r="K108" s="376"/>
      <c r="L108" s="376"/>
      <c r="M108" s="376"/>
      <c r="N108" s="376"/>
      <c r="O108" s="376"/>
      <c r="P108" s="376"/>
      <c r="Q108" s="376"/>
      <c r="R108" s="376"/>
    </row>
    <row r="109" spans="1:18" x14ac:dyDescent="0.25">
      <c r="A109" s="376"/>
      <c r="B109" s="376"/>
      <c r="C109" s="376"/>
      <c r="D109" s="376"/>
      <c r="E109" s="376"/>
      <c r="F109" s="376"/>
      <c r="G109" s="376"/>
      <c r="H109" s="376"/>
      <c r="I109" s="376"/>
      <c r="J109" s="376"/>
      <c r="K109" s="376"/>
      <c r="L109" s="376"/>
      <c r="M109" s="376"/>
      <c r="N109" s="376"/>
      <c r="O109" s="376"/>
      <c r="P109" s="376"/>
      <c r="Q109" s="376"/>
      <c r="R109" s="376"/>
    </row>
    <row r="110" spans="1:18" x14ac:dyDescent="0.25">
      <c r="A110" s="376"/>
      <c r="B110" s="376"/>
      <c r="C110" s="376"/>
      <c r="D110" s="376"/>
      <c r="E110" s="376"/>
      <c r="F110" s="376"/>
      <c r="G110" s="376"/>
      <c r="H110" s="376"/>
      <c r="I110" s="376"/>
      <c r="J110" s="376"/>
      <c r="K110" s="376"/>
      <c r="L110" s="376"/>
      <c r="M110" s="376"/>
      <c r="N110" s="376"/>
      <c r="O110" s="376"/>
      <c r="P110" s="376"/>
      <c r="Q110" s="376"/>
      <c r="R110" s="376"/>
    </row>
    <row r="111" spans="1:18" x14ac:dyDescent="0.25">
      <c r="A111" s="376"/>
      <c r="B111" s="376"/>
      <c r="C111" s="376"/>
      <c r="D111" s="376"/>
      <c r="E111" s="376"/>
      <c r="F111" s="376"/>
      <c r="G111" s="376"/>
      <c r="H111" s="376"/>
      <c r="I111" s="376"/>
      <c r="J111" s="376"/>
      <c r="K111" s="376"/>
      <c r="L111" s="376"/>
      <c r="M111" s="376"/>
      <c r="N111" s="376"/>
      <c r="O111" s="376"/>
      <c r="P111" s="376"/>
      <c r="Q111" s="376"/>
      <c r="R111" s="376"/>
    </row>
    <row r="112" spans="1:18" x14ac:dyDescent="0.25">
      <c r="A112" s="376"/>
      <c r="B112" s="376"/>
      <c r="C112" s="376"/>
      <c r="D112" s="376"/>
      <c r="E112" s="376"/>
      <c r="F112" s="376"/>
      <c r="G112" s="376"/>
      <c r="H112" s="376"/>
      <c r="I112" s="376"/>
      <c r="J112" s="376"/>
      <c r="K112" s="376"/>
      <c r="L112" s="376"/>
      <c r="M112" s="376"/>
      <c r="N112" s="376"/>
      <c r="O112" s="376"/>
      <c r="P112" s="376"/>
      <c r="Q112" s="376"/>
      <c r="R112" s="376"/>
    </row>
    <row r="113" spans="1:18" x14ac:dyDescent="0.25">
      <c r="A113" s="376"/>
      <c r="B113" s="376"/>
      <c r="C113" s="376"/>
      <c r="D113" s="376"/>
      <c r="E113" s="376"/>
      <c r="F113" s="376"/>
      <c r="G113" s="376"/>
      <c r="H113" s="376"/>
      <c r="I113" s="376"/>
      <c r="J113" s="376"/>
      <c r="K113" s="376"/>
      <c r="L113" s="376"/>
      <c r="M113" s="376"/>
      <c r="N113" s="376"/>
      <c r="O113" s="376"/>
      <c r="P113" s="376"/>
      <c r="Q113" s="376"/>
      <c r="R113" s="376"/>
    </row>
    <row r="114" spans="1:18" x14ac:dyDescent="0.25">
      <c r="A114" s="376"/>
      <c r="B114" s="376"/>
      <c r="C114" s="376"/>
      <c r="D114" s="376"/>
      <c r="E114" s="376"/>
      <c r="F114" s="376"/>
      <c r="G114" s="376"/>
      <c r="H114" s="376"/>
      <c r="I114" s="376"/>
      <c r="J114" s="376"/>
      <c r="K114" s="376"/>
      <c r="L114" s="376"/>
      <c r="M114" s="376"/>
      <c r="N114" s="376"/>
      <c r="O114" s="376"/>
      <c r="P114" s="376"/>
      <c r="Q114" s="376"/>
      <c r="R114" s="376"/>
    </row>
    <row r="115" spans="1:18" x14ac:dyDescent="0.25">
      <c r="A115" s="376"/>
      <c r="B115" s="376"/>
      <c r="C115" s="376"/>
      <c r="D115" s="376"/>
      <c r="E115" s="376"/>
      <c r="F115" s="376"/>
      <c r="G115" s="376"/>
      <c r="H115" s="376"/>
      <c r="I115" s="376"/>
      <c r="J115" s="376"/>
      <c r="K115" s="376"/>
      <c r="L115" s="376"/>
      <c r="M115" s="376"/>
      <c r="N115" s="376"/>
      <c r="O115" s="376"/>
      <c r="P115" s="376"/>
      <c r="Q115" s="376"/>
      <c r="R115" s="376"/>
    </row>
    <row r="116" spans="1:18" x14ac:dyDescent="0.25">
      <c r="A116" s="376"/>
      <c r="B116" s="376"/>
      <c r="C116" s="376"/>
      <c r="D116" s="376"/>
      <c r="E116" s="376"/>
      <c r="F116" s="376"/>
      <c r="G116" s="376"/>
      <c r="H116" s="376"/>
      <c r="I116" s="376"/>
      <c r="J116" s="376"/>
      <c r="K116" s="376"/>
      <c r="L116" s="376"/>
      <c r="M116" s="376"/>
      <c r="N116" s="376"/>
      <c r="O116" s="376"/>
      <c r="P116" s="376"/>
      <c r="Q116" s="376"/>
      <c r="R116" s="376"/>
    </row>
    <row r="117" spans="1:18" x14ac:dyDescent="0.25">
      <c r="A117" s="376"/>
      <c r="B117" s="376"/>
      <c r="C117" s="376"/>
      <c r="D117" s="376"/>
      <c r="E117" s="376"/>
      <c r="F117" s="376"/>
      <c r="G117" s="376"/>
      <c r="H117" s="376"/>
      <c r="I117" s="376"/>
      <c r="J117" s="376"/>
      <c r="K117" s="376"/>
      <c r="L117" s="376"/>
      <c r="M117" s="376"/>
      <c r="N117" s="376"/>
      <c r="O117" s="376"/>
      <c r="P117" s="376"/>
      <c r="Q117" s="376"/>
      <c r="R117" s="376"/>
    </row>
    <row r="118" spans="1:18" x14ac:dyDescent="0.25">
      <c r="A118" s="376"/>
      <c r="B118" s="376"/>
      <c r="C118" s="376"/>
      <c r="D118" s="376"/>
      <c r="E118" s="376"/>
      <c r="F118" s="376"/>
      <c r="G118" s="376"/>
      <c r="H118" s="376"/>
      <c r="I118" s="376"/>
      <c r="J118" s="376"/>
      <c r="K118" s="376"/>
      <c r="L118" s="376"/>
      <c r="M118" s="376"/>
      <c r="N118" s="376"/>
      <c r="O118" s="376"/>
      <c r="P118" s="376"/>
      <c r="Q118" s="376"/>
      <c r="R118" s="376"/>
    </row>
    <row r="119" spans="1:18" x14ac:dyDescent="0.25">
      <c r="A119" s="376"/>
      <c r="B119" s="376"/>
      <c r="C119" s="376"/>
      <c r="D119" s="376"/>
      <c r="E119" s="376"/>
      <c r="F119" s="376"/>
      <c r="G119" s="376"/>
      <c r="H119" s="376"/>
      <c r="I119" s="376"/>
      <c r="J119" s="376"/>
      <c r="K119" s="376"/>
      <c r="L119" s="376"/>
      <c r="M119" s="376"/>
      <c r="N119" s="376"/>
      <c r="O119" s="376"/>
      <c r="P119" s="376"/>
      <c r="Q119" s="376"/>
      <c r="R119" s="376"/>
    </row>
    <row r="120" spans="1:18" x14ac:dyDescent="0.25">
      <c r="A120" s="376"/>
      <c r="B120" s="376"/>
      <c r="C120" s="376"/>
      <c r="D120" s="376"/>
      <c r="E120" s="376"/>
      <c r="F120" s="376"/>
      <c r="G120" s="376"/>
      <c r="H120" s="376"/>
      <c r="I120" s="376"/>
      <c r="J120" s="376"/>
      <c r="K120" s="376"/>
      <c r="L120" s="376"/>
      <c r="M120" s="376"/>
      <c r="N120" s="376"/>
      <c r="O120" s="376"/>
      <c r="P120" s="376"/>
      <c r="Q120" s="376"/>
      <c r="R120" s="376"/>
    </row>
    <row r="121" spans="1:18" x14ac:dyDescent="0.25">
      <c r="A121" s="376"/>
      <c r="B121" s="376"/>
      <c r="C121" s="376"/>
      <c r="D121" s="376"/>
      <c r="E121" s="376"/>
      <c r="F121" s="376"/>
      <c r="G121" s="376"/>
      <c r="H121" s="376"/>
      <c r="I121" s="376"/>
      <c r="J121" s="376"/>
      <c r="K121" s="376"/>
      <c r="L121" s="376"/>
      <c r="M121" s="376"/>
      <c r="N121" s="376"/>
      <c r="O121" s="376"/>
      <c r="P121" s="376"/>
      <c r="Q121" s="376"/>
      <c r="R121" s="376"/>
    </row>
    <row r="122" spans="1:18" x14ac:dyDescent="0.25">
      <c r="A122" s="376"/>
      <c r="B122" s="376"/>
      <c r="C122" s="376"/>
      <c r="D122" s="376"/>
      <c r="E122" s="376"/>
      <c r="F122" s="376"/>
      <c r="G122" s="376"/>
      <c r="H122" s="376"/>
      <c r="I122" s="376"/>
      <c r="J122" s="376"/>
      <c r="K122" s="376"/>
      <c r="L122" s="376"/>
      <c r="M122" s="376"/>
      <c r="N122" s="376"/>
      <c r="O122" s="376"/>
      <c r="P122" s="376"/>
      <c r="Q122" s="376"/>
      <c r="R122" s="376"/>
    </row>
    <row r="123" spans="1:18" x14ac:dyDescent="0.25">
      <c r="A123" s="376"/>
      <c r="B123" s="376"/>
      <c r="C123" s="376"/>
      <c r="D123" s="376"/>
      <c r="E123" s="376"/>
      <c r="F123" s="376"/>
      <c r="G123" s="376"/>
      <c r="H123" s="376"/>
      <c r="I123" s="376"/>
      <c r="J123" s="376"/>
      <c r="K123" s="376"/>
      <c r="L123" s="376"/>
      <c r="M123" s="376"/>
      <c r="N123" s="376"/>
      <c r="O123" s="376"/>
      <c r="P123" s="376"/>
      <c r="Q123" s="376"/>
      <c r="R123" s="376"/>
    </row>
    <row r="124" spans="1:18" x14ac:dyDescent="0.25">
      <c r="A124" s="376"/>
      <c r="B124" s="376"/>
      <c r="C124" s="376"/>
      <c r="D124" s="376"/>
      <c r="E124" s="376"/>
      <c r="F124" s="376"/>
      <c r="G124" s="376"/>
      <c r="H124" s="376"/>
      <c r="I124" s="376"/>
      <c r="J124" s="376"/>
      <c r="K124" s="376"/>
      <c r="L124" s="376"/>
      <c r="M124" s="376"/>
      <c r="N124" s="376"/>
      <c r="O124" s="376"/>
      <c r="P124" s="376"/>
      <c r="Q124" s="376"/>
      <c r="R124" s="376"/>
    </row>
    <row r="125" spans="1:18" x14ac:dyDescent="0.25">
      <c r="A125" s="376"/>
      <c r="B125" s="376"/>
      <c r="C125" s="376"/>
      <c r="D125" s="376"/>
      <c r="E125" s="376"/>
      <c r="F125" s="376"/>
      <c r="G125" s="376"/>
      <c r="H125" s="376"/>
      <c r="I125" s="376"/>
      <c r="J125" s="376"/>
      <c r="K125" s="376"/>
      <c r="L125" s="376"/>
      <c r="M125" s="376"/>
      <c r="N125" s="376"/>
      <c r="O125" s="376"/>
      <c r="P125" s="376"/>
      <c r="Q125" s="376"/>
      <c r="R125" s="376"/>
    </row>
    <row r="126" spans="1:18" x14ac:dyDescent="0.25">
      <c r="A126" s="376"/>
      <c r="B126" s="376"/>
      <c r="C126" s="376"/>
      <c r="D126" s="376"/>
      <c r="E126" s="376"/>
      <c r="F126" s="376"/>
      <c r="G126" s="376"/>
      <c r="H126" s="376"/>
      <c r="I126" s="376"/>
      <c r="J126" s="376"/>
      <c r="K126" s="376"/>
      <c r="L126" s="376"/>
      <c r="M126" s="376"/>
      <c r="N126" s="376"/>
      <c r="O126" s="376"/>
      <c r="P126" s="376"/>
      <c r="Q126" s="376"/>
      <c r="R126" s="376"/>
    </row>
    <row r="127" spans="1:18" x14ac:dyDescent="0.25">
      <c r="A127" s="376"/>
      <c r="B127" s="376"/>
      <c r="C127" s="376"/>
      <c r="D127" s="376"/>
      <c r="E127" s="376"/>
      <c r="F127" s="376"/>
      <c r="G127" s="376"/>
      <c r="H127" s="376"/>
      <c r="I127" s="376"/>
      <c r="J127" s="376"/>
      <c r="K127" s="376"/>
      <c r="L127" s="376"/>
      <c r="M127" s="376"/>
      <c r="N127" s="376"/>
      <c r="O127" s="376"/>
      <c r="P127" s="376"/>
      <c r="Q127" s="376"/>
      <c r="R127" s="376"/>
    </row>
    <row r="128" spans="1:18" x14ac:dyDescent="0.25">
      <c r="A128" s="376"/>
      <c r="B128" s="376"/>
      <c r="C128" s="376"/>
      <c r="D128" s="376"/>
      <c r="E128" s="376"/>
      <c r="F128" s="376"/>
      <c r="G128" s="376"/>
      <c r="H128" s="376"/>
      <c r="I128" s="376"/>
      <c r="J128" s="376"/>
      <c r="K128" s="376"/>
      <c r="L128" s="376"/>
      <c r="M128" s="376"/>
      <c r="N128" s="376"/>
      <c r="O128" s="376"/>
      <c r="P128" s="376"/>
      <c r="Q128" s="376"/>
      <c r="R128" s="376"/>
    </row>
    <row r="129" spans="1:18" x14ac:dyDescent="0.25">
      <c r="A129" s="376"/>
      <c r="B129" s="376"/>
      <c r="C129" s="376"/>
      <c r="D129" s="376"/>
      <c r="E129" s="376"/>
      <c r="F129" s="376"/>
      <c r="G129" s="376"/>
      <c r="H129" s="376"/>
      <c r="I129" s="376"/>
      <c r="J129" s="376"/>
      <c r="K129" s="376"/>
      <c r="L129" s="376"/>
      <c r="M129" s="376"/>
      <c r="N129" s="376"/>
      <c r="O129" s="376"/>
      <c r="P129" s="376"/>
      <c r="Q129" s="376"/>
      <c r="R129" s="376"/>
    </row>
    <row r="130" spans="1:18" x14ac:dyDescent="0.25">
      <c r="A130" s="376"/>
      <c r="B130" s="376"/>
      <c r="C130" s="376"/>
      <c r="D130" s="376"/>
      <c r="E130" s="376"/>
      <c r="F130" s="376"/>
      <c r="G130" s="376"/>
      <c r="H130" s="376"/>
      <c r="I130" s="376"/>
      <c r="J130" s="376"/>
      <c r="K130" s="376"/>
      <c r="L130" s="376"/>
      <c r="M130" s="376"/>
      <c r="N130" s="376"/>
      <c r="O130" s="376"/>
      <c r="P130" s="376"/>
      <c r="Q130" s="376"/>
      <c r="R130" s="376"/>
    </row>
    <row r="131" spans="1:18" x14ac:dyDescent="0.25">
      <c r="A131" s="376"/>
      <c r="B131" s="376"/>
      <c r="C131" s="376"/>
      <c r="D131" s="376"/>
      <c r="E131" s="376"/>
      <c r="F131" s="376"/>
      <c r="G131" s="376"/>
      <c r="H131" s="376"/>
      <c r="I131" s="376"/>
      <c r="J131" s="376"/>
      <c r="K131" s="376"/>
      <c r="L131" s="376"/>
      <c r="M131" s="376"/>
      <c r="N131" s="376"/>
      <c r="O131" s="376"/>
      <c r="P131" s="376"/>
      <c r="Q131" s="376"/>
      <c r="R131" s="376"/>
    </row>
    <row r="132" spans="1:18" x14ac:dyDescent="0.25">
      <c r="A132" s="376"/>
      <c r="B132" s="376"/>
      <c r="C132" s="376"/>
      <c r="D132" s="376"/>
      <c r="E132" s="376"/>
      <c r="F132" s="376"/>
      <c r="G132" s="376"/>
      <c r="H132" s="376"/>
      <c r="I132" s="376"/>
      <c r="J132" s="376"/>
      <c r="K132" s="376"/>
      <c r="L132" s="376"/>
      <c r="M132" s="376"/>
      <c r="N132" s="376"/>
      <c r="O132" s="376"/>
      <c r="P132" s="376"/>
      <c r="Q132" s="376"/>
      <c r="R132" s="376"/>
    </row>
    <row r="133" spans="1:18" x14ac:dyDescent="0.25">
      <c r="A133" s="376"/>
      <c r="B133" s="376"/>
      <c r="C133" s="376"/>
      <c r="D133" s="376"/>
      <c r="E133" s="376"/>
      <c r="F133" s="376"/>
      <c r="G133" s="376"/>
      <c r="H133" s="376"/>
      <c r="I133" s="376"/>
      <c r="J133" s="376"/>
      <c r="K133" s="376"/>
      <c r="L133" s="376"/>
      <c r="M133" s="376"/>
      <c r="N133" s="376"/>
      <c r="O133" s="376"/>
      <c r="P133" s="376"/>
      <c r="Q133" s="376"/>
      <c r="R133" s="376"/>
    </row>
    <row r="134" spans="1:18" x14ac:dyDescent="0.25">
      <c r="A134" s="376"/>
      <c r="B134" s="376"/>
      <c r="C134" s="376"/>
      <c r="D134" s="376"/>
      <c r="E134" s="376"/>
      <c r="F134" s="376"/>
      <c r="G134" s="376"/>
      <c r="H134" s="376"/>
      <c r="I134" s="376"/>
      <c r="J134" s="376"/>
      <c r="K134" s="376"/>
      <c r="L134" s="376"/>
      <c r="M134" s="376"/>
      <c r="N134" s="376"/>
      <c r="O134" s="376"/>
      <c r="P134" s="376"/>
      <c r="Q134" s="376"/>
      <c r="R134" s="376"/>
    </row>
    <row r="135" spans="1:18" x14ac:dyDescent="0.25">
      <c r="A135" s="376"/>
      <c r="B135" s="376"/>
      <c r="C135" s="376"/>
      <c r="D135" s="376"/>
      <c r="E135" s="376"/>
      <c r="F135" s="376"/>
      <c r="G135" s="376"/>
      <c r="H135" s="376"/>
      <c r="I135" s="376"/>
      <c r="J135" s="376"/>
      <c r="K135" s="376"/>
      <c r="L135" s="376"/>
      <c r="M135" s="376"/>
      <c r="N135" s="376"/>
      <c r="O135" s="376"/>
      <c r="P135" s="376"/>
      <c r="Q135" s="376"/>
      <c r="R135" s="376"/>
    </row>
    <row r="136" spans="1:18" x14ac:dyDescent="0.25">
      <c r="A136" s="376"/>
      <c r="B136" s="376"/>
      <c r="C136" s="376"/>
      <c r="D136" s="376"/>
      <c r="E136" s="376"/>
      <c r="F136" s="376"/>
      <c r="G136" s="376"/>
      <c r="H136" s="376"/>
      <c r="I136" s="376"/>
      <c r="J136" s="376"/>
      <c r="K136" s="376"/>
      <c r="L136" s="376"/>
      <c r="M136" s="376"/>
      <c r="N136" s="376"/>
      <c r="O136" s="376"/>
      <c r="P136" s="376"/>
      <c r="Q136" s="376"/>
      <c r="R136" s="376"/>
    </row>
    <row r="137" spans="1:18" x14ac:dyDescent="0.25">
      <c r="A137" s="376"/>
      <c r="B137" s="376"/>
      <c r="C137" s="376"/>
      <c r="D137" s="376"/>
      <c r="E137" s="376"/>
      <c r="F137" s="376"/>
      <c r="G137" s="376"/>
      <c r="H137" s="376"/>
      <c r="I137" s="376"/>
      <c r="J137" s="376"/>
      <c r="K137" s="376"/>
      <c r="L137" s="376"/>
      <c r="M137" s="376"/>
      <c r="N137" s="376"/>
      <c r="O137" s="376"/>
      <c r="P137" s="376"/>
      <c r="Q137" s="376"/>
      <c r="R137" s="376"/>
    </row>
    <row r="138" spans="1:18" x14ac:dyDescent="0.25">
      <c r="A138" s="376"/>
      <c r="B138" s="376"/>
      <c r="C138" s="376"/>
      <c r="D138" s="376"/>
      <c r="E138" s="376"/>
      <c r="F138" s="376"/>
      <c r="G138" s="376"/>
      <c r="H138" s="376"/>
      <c r="I138" s="376"/>
      <c r="J138" s="376"/>
      <c r="K138" s="376"/>
      <c r="L138" s="376"/>
      <c r="M138" s="376"/>
      <c r="N138" s="376"/>
      <c r="O138" s="376"/>
      <c r="P138" s="376"/>
      <c r="Q138" s="376"/>
      <c r="R138" s="376"/>
    </row>
    <row r="139" spans="1:18" x14ac:dyDescent="0.25">
      <c r="A139" s="376"/>
      <c r="B139" s="376"/>
      <c r="C139" s="376"/>
      <c r="D139" s="376"/>
      <c r="E139" s="376"/>
      <c r="F139" s="376"/>
      <c r="G139" s="376"/>
      <c r="H139" s="376"/>
      <c r="I139" s="376"/>
      <c r="J139" s="376"/>
      <c r="K139" s="376"/>
      <c r="L139" s="376"/>
      <c r="M139" s="376"/>
      <c r="N139" s="376"/>
      <c r="O139" s="376"/>
      <c r="P139" s="376"/>
      <c r="Q139" s="376"/>
      <c r="R139" s="376"/>
    </row>
    <row r="140" spans="1:18" x14ac:dyDescent="0.25">
      <c r="A140" s="376"/>
      <c r="B140" s="376"/>
      <c r="C140" s="376"/>
      <c r="D140" s="376"/>
      <c r="E140" s="376"/>
      <c r="F140" s="376"/>
      <c r="G140" s="376"/>
      <c r="H140" s="376"/>
      <c r="I140" s="376"/>
      <c r="J140" s="376"/>
      <c r="K140" s="376"/>
      <c r="L140" s="376"/>
      <c r="M140" s="376"/>
      <c r="N140" s="376"/>
      <c r="O140" s="376"/>
      <c r="P140" s="376"/>
      <c r="Q140" s="376"/>
      <c r="R140" s="376"/>
    </row>
    <row r="141" spans="1:18" x14ac:dyDescent="0.25">
      <c r="A141" s="376"/>
      <c r="B141" s="376"/>
      <c r="C141" s="376"/>
      <c r="D141" s="376"/>
      <c r="E141" s="376"/>
      <c r="F141" s="376"/>
      <c r="G141" s="376"/>
      <c r="H141" s="376"/>
      <c r="I141" s="376"/>
      <c r="J141" s="376"/>
      <c r="K141" s="376"/>
      <c r="L141" s="376"/>
      <c r="M141" s="376"/>
      <c r="N141" s="376"/>
      <c r="O141" s="376"/>
      <c r="P141" s="376"/>
      <c r="Q141" s="376"/>
      <c r="R141" s="376"/>
    </row>
    <row r="142" spans="1:18" x14ac:dyDescent="0.25">
      <c r="A142" s="376"/>
      <c r="B142" s="376"/>
      <c r="C142" s="376"/>
      <c r="D142" s="376"/>
      <c r="E142" s="376"/>
      <c r="F142" s="376"/>
      <c r="G142" s="376"/>
      <c r="H142" s="376"/>
      <c r="I142" s="376"/>
      <c r="J142" s="376"/>
      <c r="K142" s="376"/>
      <c r="L142" s="376"/>
      <c r="M142" s="376"/>
      <c r="N142" s="376"/>
      <c r="O142" s="376"/>
      <c r="P142" s="376"/>
      <c r="Q142" s="376"/>
      <c r="R142" s="376"/>
    </row>
    <row r="143" spans="1:18" x14ac:dyDescent="0.25">
      <c r="A143" s="376"/>
      <c r="B143" s="376"/>
      <c r="C143" s="376"/>
      <c r="D143" s="376"/>
      <c r="E143" s="376"/>
      <c r="F143" s="376"/>
      <c r="G143" s="376"/>
      <c r="H143" s="376"/>
      <c r="I143" s="376"/>
      <c r="J143" s="376"/>
      <c r="K143" s="376"/>
      <c r="L143" s="376"/>
      <c r="M143" s="376"/>
      <c r="N143" s="376"/>
      <c r="O143" s="376"/>
      <c r="P143" s="376"/>
      <c r="Q143" s="376"/>
      <c r="R143" s="376"/>
    </row>
    <row r="144" spans="1:18" x14ac:dyDescent="0.25">
      <c r="A144" s="376"/>
      <c r="B144" s="376"/>
      <c r="C144" s="376"/>
      <c r="D144" s="376"/>
      <c r="E144" s="376"/>
      <c r="F144" s="376"/>
      <c r="G144" s="376"/>
      <c r="H144" s="376"/>
      <c r="I144" s="376"/>
      <c r="J144" s="376"/>
      <c r="K144" s="376"/>
      <c r="L144" s="376"/>
      <c r="M144" s="376"/>
      <c r="N144" s="376"/>
      <c r="O144" s="376"/>
      <c r="P144" s="376"/>
      <c r="Q144" s="376"/>
      <c r="R144" s="376"/>
    </row>
    <row r="145" spans="1:18" x14ac:dyDescent="0.25">
      <c r="A145" s="376"/>
      <c r="B145" s="376"/>
      <c r="C145" s="376"/>
      <c r="D145" s="376"/>
      <c r="E145" s="376"/>
      <c r="F145" s="376"/>
      <c r="G145" s="376"/>
      <c r="H145" s="376"/>
      <c r="I145" s="376"/>
      <c r="J145" s="376"/>
      <c r="K145" s="376"/>
      <c r="L145" s="376"/>
      <c r="M145" s="376"/>
      <c r="N145" s="376"/>
      <c r="O145" s="376"/>
      <c r="P145" s="376"/>
      <c r="Q145" s="376"/>
      <c r="R145" s="376"/>
    </row>
    <row r="146" spans="1:18" x14ac:dyDescent="0.25">
      <c r="A146" s="376"/>
      <c r="B146" s="376"/>
      <c r="C146" s="376"/>
      <c r="D146" s="376"/>
      <c r="E146" s="376"/>
      <c r="F146" s="376"/>
      <c r="G146" s="376"/>
      <c r="H146" s="376"/>
      <c r="I146" s="376"/>
      <c r="J146" s="376"/>
      <c r="K146" s="376"/>
      <c r="L146" s="376"/>
      <c r="M146" s="376"/>
      <c r="N146" s="376"/>
      <c r="O146" s="376"/>
      <c r="P146" s="376"/>
      <c r="Q146" s="376"/>
      <c r="R146" s="376"/>
    </row>
    <row r="147" spans="1:18" x14ac:dyDescent="0.25">
      <c r="A147" s="376"/>
      <c r="B147" s="376"/>
      <c r="C147" s="376"/>
      <c r="D147" s="376"/>
      <c r="E147" s="376"/>
      <c r="F147" s="376"/>
      <c r="G147" s="376"/>
      <c r="H147" s="376"/>
      <c r="I147" s="376"/>
      <c r="J147" s="376"/>
      <c r="K147" s="376"/>
      <c r="L147" s="376"/>
      <c r="M147" s="376"/>
      <c r="N147" s="376"/>
      <c r="O147" s="376"/>
      <c r="P147" s="376"/>
      <c r="Q147" s="376"/>
      <c r="R147" s="376"/>
    </row>
    <row r="148" spans="1:18" x14ac:dyDescent="0.25">
      <c r="A148" s="376"/>
      <c r="B148" s="376"/>
      <c r="C148" s="376"/>
      <c r="D148" s="376"/>
      <c r="E148" s="376"/>
      <c r="F148" s="376"/>
      <c r="G148" s="376"/>
      <c r="H148" s="376"/>
      <c r="I148" s="376"/>
      <c r="J148" s="376"/>
      <c r="K148" s="376"/>
      <c r="L148" s="376"/>
      <c r="M148" s="376"/>
      <c r="N148" s="376"/>
      <c r="O148" s="376"/>
      <c r="P148" s="376"/>
      <c r="Q148" s="376"/>
      <c r="R148" s="376"/>
    </row>
    <row r="149" spans="1:18" x14ac:dyDescent="0.25">
      <c r="A149" s="376"/>
      <c r="B149" s="376"/>
      <c r="C149" s="376"/>
      <c r="D149" s="376"/>
      <c r="E149" s="376"/>
      <c r="F149" s="376"/>
      <c r="G149" s="376"/>
      <c r="H149" s="376"/>
      <c r="I149" s="376"/>
      <c r="J149" s="376"/>
      <c r="K149" s="376"/>
      <c r="L149" s="376"/>
      <c r="M149" s="376"/>
      <c r="N149" s="376"/>
      <c r="O149" s="376"/>
      <c r="P149" s="376"/>
      <c r="Q149" s="376"/>
      <c r="R149" s="376"/>
    </row>
    <row r="150" spans="1:18" x14ac:dyDescent="0.25">
      <c r="A150" s="376"/>
      <c r="B150" s="376"/>
      <c r="C150" s="376"/>
      <c r="D150" s="376"/>
      <c r="E150" s="376"/>
      <c r="F150" s="376"/>
      <c r="G150" s="376"/>
      <c r="H150" s="376"/>
      <c r="I150" s="376"/>
      <c r="J150" s="376"/>
      <c r="K150" s="376"/>
      <c r="L150" s="376"/>
      <c r="M150" s="376"/>
      <c r="N150" s="376"/>
      <c r="O150" s="376"/>
      <c r="P150" s="376"/>
      <c r="Q150" s="376"/>
      <c r="R150" s="376"/>
    </row>
    <row r="151" spans="1:18" x14ac:dyDescent="0.25">
      <c r="A151" s="376"/>
      <c r="B151" s="376"/>
      <c r="C151" s="376"/>
      <c r="D151" s="376"/>
      <c r="E151" s="376"/>
      <c r="F151" s="376"/>
      <c r="G151" s="376"/>
      <c r="H151" s="376"/>
      <c r="I151" s="376"/>
      <c r="J151" s="376"/>
      <c r="K151" s="376"/>
      <c r="L151" s="376"/>
      <c r="M151" s="376"/>
      <c r="N151" s="376"/>
      <c r="O151" s="376"/>
      <c r="P151" s="376"/>
      <c r="Q151" s="376"/>
      <c r="R151" s="376"/>
    </row>
    <row r="152" spans="1:18" x14ac:dyDescent="0.25">
      <c r="A152" s="376"/>
      <c r="B152" s="376"/>
      <c r="C152" s="376"/>
      <c r="D152" s="376"/>
      <c r="E152" s="376"/>
      <c r="F152" s="376"/>
      <c r="G152" s="376"/>
      <c r="H152" s="376"/>
      <c r="I152" s="376"/>
      <c r="J152" s="376"/>
      <c r="K152" s="376"/>
      <c r="L152" s="376"/>
      <c r="M152" s="376"/>
      <c r="N152" s="376"/>
      <c r="O152" s="376"/>
      <c r="P152" s="376"/>
      <c r="Q152" s="376"/>
      <c r="R152" s="376"/>
    </row>
    <row r="153" spans="1:18" x14ac:dyDescent="0.25">
      <c r="A153" s="376"/>
      <c r="B153" s="376"/>
      <c r="C153" s="376"/>
      <c r="D153" s="376"/>
      <c r="E153" s="376"/>
      <c r="F153" s="376"/>
      <c r="G153" s="376"/>
      <c r="H153" s="376"/>
      <c r="I153" s="376"/>
      <c r="J153" s="376"/>
      <c r="K153" s="376"/>
      <c r="L153" s="376"/>
      <c r="M153" s="376"/>
      <c r="N153" s="376"/>
      <c r="O153" s="376"/>
      <c r="P153" s="376"/>
      <c r="Q153" s="376"/>
      <c r="R153" s="376"/>
    </row>
    <row r="154" spans="1:18" x14ac:dyDescent="0.25">
      <c r="A154" s="376"/>
      <c r="B154" s="376"/>
      <c r="C154" s="376"/>
      <c r="D154" s="376"/>
      <c r="E154" s="376"/>
      <c r="F154" s="376"/>
      <c r="G154" s="376"/>
      <c r="H154" s="376"/>
      <c r="I154" s="376"/>
      <c r="J154" s="376"/>
      <c r="K154" s="376"/>
      <c r="L154" s="376"/>
      <c r="M154" s="376"/>
      <c r="N154" s="376"/>
      <c r="O154" s="376"/>
      <c r="P154" s="376"/>
      <c r="Q154" s="376"/>
      <c r="R154" s="376"/>
    </row>
    <row r="155" spans="1:18" x14ac:dyDescent="0.25">
      <c r="A155" s="376"/>
      <c r="B155" s="376"/>
      <c r="C155" s="376"/>
      <c r="D155" s="376"/>
      <c r="E155" s="376"/>
      <c r="F155" s="376"/>
      <c r="G155" s="376"/>
      <c r="H155" s="376"/>
      <c r="I155" s="376"/>
      <c r="J155" s="376"/>
      <c r="K155" s="376"/>
      <c r="L155" s="376"/>
      <c r="M155" s="376"/>
      <c r="N155" s="376"/>
      <c r="O155" s="376"/>
      <c r="P155" s="376"/>
      <c r="Q155" s="376"/>
      <c r="R155" s="376"/>
    </row>
    <row r="156" spans="1:18" x14ac:dyDescent="0.25">
      <c r="A156" s="376"/>
      <c r="B156" s="376"/>
      <c r="C156" s="376"/>
      <c r="D156" s="376"/>
      <c r="E156" s="376"/>
      <c r="F156" s="376"/>
      <c r="G156" s="376"/>
      <c r="H156" s="376"/>
      <c r="I156" s="376"/>
      <c r="J156" s="376"/>
      <c r="K156" s="376"/>
      <c r="L156" s="376"/>
      <c r="M156" s="376"/>
      <c r="N156" s="376"/>
      <c r="O156" s="376"/>
      <c r="P156" s="376"/>
      <c r="Q156" s="376"/>
      <c r="R156" s="376"/>
    </row>
    <row r="157" spans="1:18" x14ac:dyDescent="0.25">
      <c r="A157" s="376"/>
      <c r="B157" s="376"/>
      <c r="C157" s="376"/>
      <c r="D157" s="376"/>
      <c r="E157" s="376"/>
      <c r="F157" s="376"/>
      <c r="G157" s="376"/>
      <c r="H157" s="376"/>
      <c r="I157" s="376"/>
      <c r="J157" s="376"/>
      <c r="K157" s="376"/>
      <c r="L157" s="376"/>
      <c r="M157" s="376"/>
      <c r="N157" s="376"/>
      <c r="O157" s="376"/>
      <c r="P157" s="376"/>
      <c r="Q157" s="376"/>
      <c r="R157" s="376"/>
    </row>
    <row r="158" spans="1:18" x14ac:dyDescent="0.25">
      <c r="A158" s="376"/>
      <c r="B158" s="376"/>
      <c r="C158" s="376"/>
      <c r="D158" s="376"/>
      <c r="E158" s="376"/>
      <c r="F158" s="376"/>
      <c r="G158" s="376"/>
      <c r="H158" s="376"/>
      <c r="I158" s="376"/>
      <c r="J158" s="376"/>
      <c r="K158" s="376"/>
      <c r="L158" s="376"/>
      <c r="M158" s="376"/>
      <c r="N158" s="376"/>
      <c r="O158" s="376"/>
      <c r="P158" s="376"/>
      <c r="Q158" s="376"/>
      <c r="R158" s="376"/>
    </row>
    <row r="159" spans="1:18" x14ac:dyDescent="0.25">
      <c r="A159" s="376"/>
      <c r="B159" s="376"/>
      <c r="C159" s="376"/>
      <c r="D159" s="376"/>
      <c r="E159" s="376"/>
      <c r="F159" s="376"/>
      <c r="G159" s="376"/>
      <c r="H159" s="376"/>
      <c r="I159" s="376"/>
      <c r="J159" s="376"/>
      <c r="K159" s="376"/>
      <c r="L159" s="376"/>
      <c r="M159" s="376"/>
      <c r="N159" s="376"/>
      <c r="O159" s="376"/>
      <c r="P159" s="376"/>
      <c r="Q159" s="376"/>
      <c r="R159" s="376"/>
    </row>
    <row r="160" spans="1:18" x14ac:dyDescent="0.25">
      <c r="A160" s="376"/>
      <c r="B160" s="376"/>
      <c r="C160" s="376"/>
      <c r="D160" s="376"/>
      <c r="E160" s="376"/>
      <c r="F160" s="376"/>
      <c r="G160" s="376"/>
      <c r="H160" s="376"/>
      <c r="I160" s="376"/>
      <c r="J160" s="376"/>
      <c r="K160" s="376"/>
      <c r="L160" s="376"/>
      <c r="M160" s="376"/>
      <c r="N160" s="376"/>
      <c r="O160" s="376"/>
      <c r="P160" s="376"/>
      <c r="Q160" s="376"/>
      <c r="R160" s="376"/>
    </row>
    <row r="161" spans="1:18" x14ac:dyDescent="0.25">
      <c r="A161" s="376"/>
      <c r="B161" s="376"/>
      <c r="C161" s="376"/>
      <c r="D161" s="376"/>
      <c r="E161" s="376"/>
      <c r="F161" s="376"/>
      <c r="G161" s="376"/>
      <c r="H161" s="376"/>
      <c r="I161" s="376"/>
      <c r="J161" s="376"/>
      <c r="K161" s="376"/>
      <c r="L161" s="376"/>
      <c r="M161" s="376"/>
      <c r="N161" s="376"/>
      <c r="O161" s="376"/>
      <c r="P161" s="376"/>
      <c r="Q161" s="376"/>
      <c r="R161" s="376"/>
    </row>
    <row r="162" spans="1:18" x14ac:dyDescent="0.25">
      <c r="A162" s="376"/>
      <c r="B162" s="376"/>
      <c r="C162" s="376"/>
      <c r="D162" s="376"/>
      <c r="E162" s="376"/>
      <c r="F162" s="376"/>
      <c r="G162" s="376"/>
      <c r="H162" s="376"/>
      <c r="I162" s="376"/>
      <c r="J162" s="376"/>
      <c r="K162" s="376"/>
      <c r="L162" s="376"/>
      <c r="M162" s="376"/>
      <c r="N162" s="376"/>
      <c r="O162" s="376"/>
      <c r="P162" s="376"/>
      <c r="Q162" s="376"/>
      <c r="R162" s="376"/>
    </row>
    <row r="163" spans="1:18" x14ac:dyDescent="0.25">
      <c r="A163" s="376"/>
      <c r="B163" s="376"/>
      <c r="C163" s="376"/>
      <c r="D163" s="376"/>
      <c r="E163" s="376"/>
      <c r="F163" s="376"/>
      <c r="G163" s="376"/>
      <c r="H163" s="376"/>
      <c r="I163" s="376"/>
      <c r="J163" s="376"/>
      <c r="K163" s="376"/>
      <c r="L163" s="376"/>
      <c r="M163" s="376"/>
      <c r="N163" s="376"/>
      <c r="O163" s="376"/>
      <c r="P163" s="376"/>
      <c r="Q163" s="376"/>
      <c r="R163" s="376"/>
    </row>
    <row r="164" spans="1:18" x14ac:dyDescent="0.25">
      <c r="A164" s="376"/>
      <c r="B164" s="376"/>
      <c r="C164" s="376"/>
      <c r="D164" s="376"/>
      <c r="E164" s="376"/>
      <c r="F164" s="376"/>
      <c r="G164" s="376"/>
      <c r="H164" s="376"/>
      <c r="I164" s="376"/>
      <c r="J164" s="376"/>
      <c r="K164" s="376"/>
      <c r="L164" s="376"/>
      <c r="M164" s="376"/>
      <c r="N164" s="376"/>
      <c r="O164" s="376"/>
      <c r="P164" s="376"/>
      <c r="Q164" s="376"/>
      <c r="R164" s="376"/>
    </row>
    <row r="165" spans="1:18" x14ac:dyDescent="0.25">
      <c r="A165" s="376"/>
      <c r="B165" s="376"/>
      <c r="C165" s="376"/>
      <c r="D165" s="376"/>
      <c r="E165" s="376"/>
      <c r="F165" s="376"/>
      <c r="G165" s="376"/>
      <c r="H165" s="376"/>
      <c r="I165" s="376"/>
      <c r="J165" s="376"/>
      <c r="K165" s="376"/>
      <c r="L165" s="376"/>
      <c r="M165" s="376"/>
      <c r="N165" s="376"/>
      <c r="O165" s="376"/>
      <c r="P165" s="376"/>
      <c r="Q165" s="376"/>
      <c r="R165" s="376"/>
    </row>
    <row r="166" spans="1:18" x14ac:dyDescent="0.25">
      <c r="A166" s="376"/>
      <c r="B166" s="376"/>
      <c r="C166" s="376"/>
      <c r="D166" s="376"/>
      <c r="E166" s="376"/>
      <c r="F166" s="376"/>
      <c r="G166" s="376"/>
      <c r="H166" s="376"/>
      <c r="I166" s="376"/>
      <c r="J166" s="376"/>
      <c r="K166" s="376"/>
      <c r="L166" s="376"/>
      <c r="M166" s="376"/>
      <c r="N166" s="376"/>
      <c r="O166" s="376"/>
      <c r="P166" s="376"/>
      <c r="Q166" s="376"/>
      <c r="R166" s="376"/>
    </row>
    <row r="167" spans="1:18" x14ac:dyDescent="0.25">
      <c r="A167" s="376"/>
      <c r="B167" s="376"/>
      <c r="C167" s="376"/>
      <c r="D167" s="376"/>
      <c r="E167" s="376"/>
      <c r="F167" s="376"/>
      <c r="G167" s="376"/>
      <c r="H167" s="376"/>
      <c r="I167" s="376"/>
      <c r="J167" s="376"/>
      <c r="K167" s="376"/>
      <c r="L167" s="376"/>
      <c r="M167" s="376"/>
      <c r="N167" s="376"/>
      <c r="O167" s="376"/>
      <c r="P167" s="376"/>
      <c r="Q167" s="376"/>
      <c r="R167" s="376"/>
    </row>
    <row r="168" spans="1:18" x14ac:dyDescent="0.25">
      <c r="A168" s="376"/>
      <c r="B168" s="376"/>
      <c r="C168" s="376"/>
      <c r="D168" s="376"/>
      <c r="E168" s="376"/>
      <c r="F168" s="376"/>
      <c r="G168" s="376"/>
      <c r="H168" s="376"/>
      <c r="I168" s="376"/>
      <c r="J168" s="376"/>
      <c r="K168" s="376"/>
      <c r="L168" s="376"/>
      <c r="M168" s="376"/>
      <c r="N168" s="376"/>
      <c r="O168" s="376"/>
      <c r="P168" s="376"/>
      <c r="Q168" s="376"/>
      <c r="R168" s="376"/>
    </row>
    <row r="169" spans="1:18" x14ac:dyDescent="0.25">
      <c r="A169" s="376"/>
      <c r="B169" s="376"/>
      <c r="C169" s="376"/>
      <c r="D169" s="376"/>
      <c r="E169" s="376"/>
      <c r="F169" s="376"/>
      <c r="G169" s="376"/>
      <c r="H169" s="376"/>
      <c r="I169" s="376"/>
      <c r="J169" s="376"/>
      <c r="K169" s="376"/>
      <c r="L169" s="376"/>
      <c r="M169" s="376"/>
      <c r="N169" s="376"/>
      <c r="O169" s="376"/>
      <c r="P169" s="376"/>
      <c r="Q169" s="376"/>
      <c r="R169" s="376"/>
    </row>
    <row r="170" spans="1:18" x14ac:dyDescent="0.25">
      <c r="A170" s="376"/>
      <c r="B170" s="376"/>
      <c r="C170" s="376"/>
      <c r="D170" s="376"/>
      <c r="E170" s="376"/>
      <c r="F170" s="376"/>
      <c r="G170" s="376"/>
      <c r="H170" s="376"/>
      <c r="I170" s="376"/>
      <c r="J170" s="376"/>
      <c r="K170" s="376"/>
      <c r="L170" s="376"/>
      <c r="M170" s="376"/>
      <c r="N170" s="376"/>
      <c r="O170" s="376"/>
      <c r="P170" s="376"/>
      <c r="Q170" s="376"/>
      <c r="R170" s="376"/>
    </row>
    <row r="171" spans="1:18" x14ac:dyDescent="0.25">
      <c r="A171" s="376"/>
      <c r="B171" s="376"/>
      <c r="C171" s="376"/>
      <c r="D171" s="376"/>
      <c r="E171" s="376"/>
      <c r="F171" s="376"/>
      <c r="G171" s="376"/>
      <c r="H171" s="376"/>
      <c r="I171" s="376"/>
      <c r="J171" s="376"/>
      <c r="K171" s="376"/>
      <c r="L171" s="376"/>
      <c r="M171" s="376"/>
      <c r="N171" s="376"/>
      <c r="O171" s="376"/>
      <c r="P171" s="376"/>
      <c r="Q171" s="376"/>
      <c r="R171" s="376"/>
    </row>
    <row r="172" spans="1:18" x14ac:dyDescent="0.25">
      <c r="A172" s="376"/>
      <c r="B172" s="376"/>
      <c r="C172" s="376"/>
      <c r="D172" s="376"/>
      <c r="E172" s="376"/>
      <c r="F172" s="376"/>
      <c r="G172" s="376"/>
      <c r="H172" s="376"/>
      <c r="I172" s="376"/>
      <c r="J172" s="376"/>
      <c r="K172" s="376"/>
      <c r="L172" s="376"/>
      <c r="M172" s="376"/>
      <c r="N172" s="376"/>
      <c r="O172" s="376"/>
      <c r="P172" s="376"/>
      <c r="Q172" s="376"/>
      <c r="R172" s="376"/>
    </row>
    <row r="173" spans="1:18" x14ac:dyDescent="0.25">
      <c r="A173" s="376"/>
      <c r="B173" s="376"/>
      <c r="C173" s="376"/>
      <c r="D173" s="376"/>
      <c r="E173" s="376"/>
      <c r="F173" s="376"/>
      <c r="G173" s="376"/>
      <c r="H173" s="376"/>
      <c r="I173" s="376"/>
      <c r="J173" s="376"/>
      <c r="K173" s="376"/>
      <c r="L173" s="376"/>
      <c r="M173" s="376"/>
      <c r="N173" s="376"/>
      <c r="O173" s="376"/>
      <c r="P173" s="376"/>
      <c r="Q173" s="376"/>
      <c r="R173" s="376"/>
    </row>
    <row r="174" spans="1:18" x14ac:dyDescent="0.25">
      <c r="A174" s="376"/>
      <c r="B174" s="376"/>
      <c r="C174" s="376"/>
      <c r="D174" s="376"/>
      <c r="E174" s="376"/>
      <c r="F174" s="376"/>
      <c r="G174" s="376"/>
      <c r="H174" s="376"/>
      <c r="I174" s="376"/>
      <c r="J174" s="376"/>
      <c r="K174" s="376"/>
      <c r="L174" s="376"/>
      <c r="M174" s="376"/>
      <c r="N174" s="376"/>
      <c r="O174" s="376"/>
      <c r="P174" s="376"/>
      <c r="Q174" s="376"/>
      <c r="R174" s="376"/>
    </row>
    <row r="175" spans="1:18" x14ac:dyDescent="0.25">
      <c r="A175" s="376"/>
      <c r="B175" s="376"/>
      <c r="C175" s="376"/>
      <c r="D175" s="376"/>
      <c r="E175" s="376"/>
      <c r="F175" s="376"/>
      <c r="G175" s="376"/>
      <c r="H175" s="376"/>
      <c r="I175" s="376"/>
      <c r="J175" s="376"/>
      <c r="K175" s="376"/>
      <c r="L175" s="376"/>
      <c r="M175" s="376"/>
      <c r="N175" s="376"/>
      <c r="O175" s="376"/>
      <c r="P175" s="376"/>
      <c r="Q175" s="376"/>
      <c r="R175" s="376"/>
    </row>
    <row r="176" spans="1:18" x14ac:dyDescent="0.25">
      <c r="A176" s="376"/>
      <c r="B176" s="376"/>
      <c r="C176" s="376"/>
      <c r="D176" s="376"/>
      <c r="E176" s="376"/>
      <c r="F176" s="376"/>
      <c r="G176" s="376"/>
      <c r="H176" s="376"/>
      <c r="I176" s="376"/>
      <c r="J176" s="376"/>
      <c r="K176" s="376"/>
      <c r="L176" s="376"/>
      <c r="M176" s="376"/>
      <c r="N176" s="376"/>
      <c r="O176" s="376"/>
      <c r="P176" s="376"/>
      <c r="Q176" s="376"/>
      <c r="R176" s="376"/>
    </row>
    <row r="177" spans="1:18" x14ac:dyDescent="0.25">
      <c r="A177" s="376"/>
      <c r="B177" s="376"/>
      <c r="C177" s="376"/>
      <c r="D177" s="376"/>
      <c r="E177" s="376"/>
      <c r="F177" s="376"/>
      <c r="G177" s="376"/>
      <c r="H177" s="376"/>
      <c r="I177" s="376"/>
      <c r="J177" s="376"/>
      <c r="K177" s="376"/>
      <c r="L177" s="376"/>
      <c r="M177" s="376"/>
      <c r="N177" s="376"/>
      <c r="O177" s="376"/>
      <c r="P177" s="376"/>
      <c r="Q177" s="376"/>
      <c r="R177" s="376"/>
    </row>
    <row r="178" spans="1:18" x14ac:dyDescent="0.25">
      <c r="A178" s="376"/>
      <c r="B178" s="376"/>
      <c r="C178" s="376"/>
      <c r="D178" s="376"/>
      <c r="E178" s="376"/>
      <c r="F178" s="376"/>
      <c r="G178" s="376"/>
      <c r="H178" s="376"/>
      <c r="I178" s="376"/>
      <c r="J178" s="376"/>
      <c r="K178" s="376"/>
      <c r="L178" s="376"/>
      <c r="M178" s="376"/>
      <c r="N178" s="376"/>
      <c r="O178" s="376"/>
      <c r="P178" s="376"/>
      <c r="Q178" s="376"/>
      <c r="R178" s="376"/>
    </row>
    <row r="179" spans="1:18" x14ac:dyDescent="0.25">
      <c r="A179" s="376"/>
      <c r="B179" s="376"/>
      <c r="C179" s="376"/>
      <c r="D179" s="376"/>
      <c r="E179" s="376"/>
      <c r="F179" s="376"/>
      <c r="G179" s="376"/>
      <c r="H179" s="376"/>
      <c r="I179" s="376"/>
      <c r="J179" s="376"/>
      <c r="K179" s="376"/>
      <c r="L179" s="376"/>
      <c r="M179" s="376"/>
      <c r="N179" s="376"/>
      <c r="O179" s="376"/>
      <c r="P179" s="376"/>
      <c r="Q179" s="376"/>
      <c r="R179" s="376"/>
    </row>
    <row r="180" spans="1:18" x14ac:dyDescent="0.25">
      <c r="A180" s="376"/>
      <c r="B180" s="376"/>
      <c r="C180" s="376"/>
      <c r="D180" s="376"/>
      <c r="E180" s="376"/>
      <c r="F180" s="376"/>
      <c r="G180" s="376"/>
      <c r="H180" s="376"/>
      <c r="I180" s="376"/>
      <c r="J180" s="376"/>
      <c r="K180" s="376"/>
      <c r="L180" s="376"/>
      <c r="M180" s="376"/>
      <c r="N180" s="376"/>
      <c r="O180" s="376"/>
      <c r="P180" s="376"/>
      <c r="Q180" s="376"/>
      <c r="R180" s="376"/>
    </row>
    <row r="181" spans="1:18" x14ac:dyDescent="0.25">
      <c r="A181" s="376"/>
      <c r="B181" s="376"/>
      <c r="C181" s="376"/>
      <c r="D181" s="376"/>
      <c r="E181" s="376"/>
      <c r="F181" s="376"/>
      <c r="G181" s="376"/>
      <c r="H181" s="376"/>
      <c r="I181" s="376"/>
      <c r="J181" s="376"/>
      <c r="K181" s="376"/>
      <c r="L181" s="376"/>
      <c r="M181" s="376"/>
      <c r="N181" s="376"/>
      <c r="O181" s="376"/>
      <c r="P181" s="376"/>
      <c r="Q181" s="376"/>
      <c r="R181" s="376"/>
    </row>
    <row r="182" spans="1:18" x14ac:dyDescent="0.25">
      <c r="A182" s="376"/>
      <c r="B182" s="376"/>
      <c r="C182" s="376"/>
      <c r="D182" s="376"/>
      <c r="E182" s="376"/>
      <c r="F182" s="376"/>
      <c r="G182" s="376"/>
      <c r="H182" s="376"/>
      <c r="I182" s="376"/>
      <c r="J182" s="376"/>
      <c r="K182" s="376"/>
      <c r="L182" s="376"/>
      <c r="M182" s="376"/>
      <c r="N182" s="376"/>
      <c r="O182" s="376"/>
      <c r="P182" s="376"/>
      <c r="Q182" s="376"/>
      <c r="R182" s="376"/>
    </row>
    <row r="183" spans="1:18" x14ac:dyDescent="0.25">
      <c r="A183" s="376"/>
      <c r="B183" s="376"/>
      <c r="C183" s="376"/>
      <c r="D183" s="376"/>
      <c r="E183" s="376"/>
      <c r="F183" s="376"/>
      <c r="G183" s="376"/>
      <c r="H183" s="376"/>
      <c r="I183" s="376"/>
      <c r="J183" s="376"/>
      <c r="K183" s="376"/>
      <c r="L183" s="376"/>
      <c r="M183" s="376"/>
      <c r="N183" s="376"/>
      <c r="O183" s="376"/>
      <c r="P183" s="376"/>
      <c r="Q183" s="376"/>
      <c r="R183" s="376"/>
    </row>
    <row r="184" spans="1:18" x14ac:dyDescent="0.25">
      <c r="A184" s="376"/>
      <c r="B184" s="376"/>
      <c r="C184" s="376"/>
      <c r="D184" s="376"/>
      <c r="E184" s="376"/>
      <c r="F184" s="376"/>
      <c r="G184" s="376"/>
      <c r="H184" s="376"/>
      <c r="I184" s="376"/>
      <c r="J184" s="376"/>
      <c r="K184" s="376"/>
      <c r="L184" s="376"/>
      <c r="M184" s="376"/>
      <c r="N184" s="376"/>
      <c r="O184" s="376"/>
      <c r="P184" s="376"/>
      <c r="Q184" s="376"/>
      <c r="R184" s="376"/>
    </row>
    <row r="185" spans="1:18" x14ac:dyDescent="0.25">
      <c r="A185" s="376"/>
      <c r="B185" s="376"/>
      <c r="C185" s="376"/>
      <c r="D185" s="376"/>
      <c r="E185" s="376"/>
      <c r="F185" s="376"/>
      <c r="G185" s="376"/>
      <c r="H185" s="376"/>
      <c r="I185" s="376"/>
      <c r="J185" s="376"/>
      <c r="K185" s="376"/>
      <c r="L185" s="376"/>
      <c r="M185" s="376"/>
      <c r="N185" s="376"/>
      <c r="O185" s="376"/>
      <c r="P185" s="376"/>
      <c r="Q185" s="376"/>
      <c r="R185" s="376"/>
    </row>
    <row r="186" spans="1:18" x14ac:dyDescent="0.25">
      <c r="A186" s="376"/>
      <c r="B186" s="376"/>
      <c r="C186" s="376"/>
      <c r="D186" s="376"/>
      <c r="E186" s="376"/>
      <c r="F186" s="376"/>
      <c r="G186" s="376"/>
      <c r="H186" s="376"/>
      <c r="I186" s="376"/>
      <c r="J186" s="376"/>
      <c r="K186" s="376"/>
      <c r="L186" s="376"/>
      <c r="M186" s="376"/>
      <c r="N186" s="376"/>
      <c r="O186" s="376"/>
      <c r="P186" s="376"/>
      <c r="Q186" s="376"/>
      <c r="R186" s="376"/>
    </row>
    <row r="187" spans="1:18" x14ac:dyDescent="0.25">
      <c r="A187" s="376"/>
      <c r="B187" s="376"/>
      <c r="C187" s="376"/>
      <c r="D187" s="376"/>
      <c r="E187" s="376"/>
      <c r="F187" s="376"/>
      <c r="G187" s="376"/>
      <c r="H187" s="376"/>
      <c r="I187" s="376"/>
      <c r="J187" s="376"/>
      <c r="K187" s="376"/>
      <c r="L187" s="376"/>
      <c r="M187" s="376"/>
      <c r="N187" s="376"/>
      <c r="O187" s="376"/>
      <c r="P187" s="376"/>
      <c r="Q187" s="376"/>
      <c r="R187" s="376"/>
    </row>
    <row r="188" spans="1:18" x14ac:dyDescent="0.25">
      <c r="A188" s="376"/>
      <c r="B188" s="376"/>
      <c r="C188" s="376"/>
      <c r="D188" s="376"/>
      <c r="E188" s="376"/>
      <c r="F188" s="376"/>
      <c r="G188" s="376"/>
      <c r="H188" s="376"/>
      <c r="I188" s="376"/>
      <c r="J188" s="376"/>
      <c r="K188" s="376"/>
      <c r="L188" s="376"/>
      <c r="M188" s="376"/>
      <c r="N188" s="376"/>
      <c r="O188" s="376"/>
      <c r="P188" s="376"/>
      <c r="Q188" s="376"/>
      <c r="R188" s="376"/>
    </row>
    <row r="189" spans="1:18" x14ac:dyDescent="0.25">
      <c r="A189" s="376"/>
      <c r="B189" s="376"/>
      <c r="C189" s="376"/>
      <c r="D189" s="376"/>
      <c r="E189" s="376"/>
      <c r="F189" s="376"/>
      <c r="G189" s="376"/>
      <c r="H189" s="376"/>
      <c r="I189" s="376"/>
      <c r="J189" s="376"/>
      <c r="K189" s="376"/>
      <c r="L189" s="376"/>
      <c r="M189" s="376"/>
      <c r="N189" s="376"/>
      <c r="O189" s="376"/>
      <c r="P189" s="376"/>
      <c r="Q189" s="376"/>
      <c r="R189" s="376"/>
    </row>
    <row r="190" spans="1:18" x14ac:dyDescent="0.25">
      <c r="A190" s="376"/>
      <c r="B190" s="376"/>
      <c r="C190" s="376"/>
      <c r="D190" s="376"/>
      <c r="E190" s="376"/>
      <c r="F190" s="376"/>
      <c r="G190" s="376"/>
      <c r="H190" s="376"/>
      <c r="I190" s="376"/>
      <c r="J190" s="376"/>
      <c r="K190" s="376"/>
      <c r="L190" s="376"/>
      <c r="M190" s="376"/>
      <c r="N190" s="376"/>
      <c r="O190" s="376"/>
      <c r="P190" s="376"/>
      <c r="Q190" s="376"/>
      <c r="R190" s="376"/>
    </row>
    <row r="191" spans="1:18" x14ac:dyDescent="0.25">
      <c r="A191" s="376"/>
      <c r="B191" s="376"/>
      <c r="C191" s="376"/>
      <c r="D191" s="376"/>
      <c r="E191" s="376"/>
      <c r="F191" s="376"/>
      <c r="G191" s="376"/>
      <c r="H191" s="376"/>
      <c r="I191" s="376"/>
      <c r="J191" s="376"/>
      <c r="K191" s="376"/>
      <c r="L191" s="376"/>
      <c r="M191" s="376"/>
      <c r="N191" s="376"/>
      <c r="O191" s="376"/>
      <c r="P191" s="376"/>
      <c r="Q191" s="376"/>
      <c r="R191" s="376"/>
    </row>
    <row r="192" spans="1:18" x14ac:dyDescent="0.25">
      <c r="A192" s="376"/>
      <c r="B192" s="376"/>
      <c r="C192" s="376"/>
      <c r="D192" s="376"/>
      <c r="E192" s="376"/>
      <c r="F192" s="376"/>
      <c r="G192" s="376"/>
      <c r="H192" s="376"/>
      <c r="I192" s="376"/>
      <c r="J192" s="376"/>
      <c r="K192" s="376"/>
      <c r="L192" s="376"/>
      <c r="M192" s="376"/>
      <c r="N192" s="376"/>
      <c r="O192" s="376"/>
      <c r="P192" s="376"/>
      <c r="Q192" s="376"/>
      <c r="R192" s="376"/>
    </row>
    <row r="193" spans="1:18" x14ac:dyDescent="0.25">
      <c r="A193" s="376"/>
      <c r="B193" s="376"/>
      <c r="C193" s="376"/>
      <c r="D193" s="376"/>
      <c r="E193" s="376"/>
      <c r="F193" s="376"/>
      <c r="G193" s="376"/>
      <c r="H193" s="376"/>
      <c r="I193" s="376"/>
      <c r="J193" s="376"/>
      <c r="K193" s="376"/>
      <c r="L193" s="376"/>
      <c r="M193" s="376"/>
      <c r="N193" s="376"/>
      <c r="O193" s="376"/>
      <c r="P193" s="376"/>
      <c r="Q193" s="376"/>
      <c r="R193" s="376"/>
    </row>
    <row r="194" spans="1:18" x14ac:dyDescent="0.25">
      <c r="A194" s="376"/>
      <c r="B194" s="376"/>
      <c r="C194" s="376"/>
      <c r="D194" s="376"/>
      <c r="E194" s="376"/>
      <c r="F194" s="376"/>
      <c r="G194" s="376"/>
      <c r="H194" s="376"/>
      <c r="I194" s="376"/>
      <c r="J194" s="376"/>
      <c r="K194" s="376"/>
      <c r="L194" s="376"/>
      <c r="M194" s="376"/>
      <c r="N194" s="376"/>
      <c r="O194" s="376"/>
      <c r="P194" s="376"/>
      <c r="Q194" s="376"/>
      <c r="R194" s="376"/>
    </row>
    <row r="195" spans="1:18" x14ac:dyDescent="0.25">
      <c r="A195" s="376"/>
      <c r="B195" s="376"/>
      <c r="C195" s="376"/>
      <c r="D195" s="376"/>
      <c r="E195" s="376"/>
      <c r="F195" s="376"/>
      <c r="G195" s="376"/>
      <c r="H195" s="376"/>
      <c r="I195" s="376"/>
      <c r="J195" s="376"/>
      <c r="K195" s="376"/>
      <c r="L195" s="376"/>
      <c r="M195" s="376"/>
      <c r="N195" s="376"/>
      <c r="O195" s="376"/>
      <c r="P195" s="376"/>
      <c r="Q195" s="376"/>
      <c r="R195" s="376"/>
    </row>
    <row r="196" spans="1:18" x14ac:dyDescent="0.25">
      <c r="A196" s="376"/>
      <c r="B196" s="376"/>
      <c r="C196" s="376"/>
      <c r="D196" s="376"/>
      <c r="E196" s="376"/>
      <c r="F196" s="376"/>
      <c r="G196" s="376"/>
      <c r="H196" s="376"/>
      <c r="I196" s="376"/>
      <c r="J196" s="376"/>
      <c r="K196" s="376"/>
      <c r="L196" s="376"/>
      <c r="M196" s="376"/>
      <c r="N196" s="376"/>
      <c r="O196" s="376"/>
      <c r="P196" s="376"/>
      <c r="Q196" s="376"/>
      <c r="R196" s="376"/>
    </row>
    <row r="197" spans="1:18" x14ac:dyDescent="0.25">
      <c r="A197" s="376"/>
      <c r="B197" s="376"/>
      <c r="C197" s="376"/>
      <c r="D197" s="376"/>
      <c r="E197" s="376"/>
      <c r="F197" s="376"/>
      <c r="G197" s="376"/>
      <c r="H197" s="376"/>
      <c r="I197" s="376"/>
      <c r="J197" s="376"/>
      <c r="K197" s="376"/>
      <c r="L197" s="376"/>
      <c r="M197" s="376"/>
      <c r="N197" s="376"/>
      <c r="O197" s="376"/>
      <c r="P197" s="376"/>
      <c r="Q197" s="376"/>
      <c r="R197" s="376"/>
    </row>
    <row r="198" spans="1:18" x14ac:dyDescent="0.25">
      <c r="A198" s="376"/>
      <c r="B198" s="376"/>
      <c r="C198" s="376"/>
      <c r="D198" s="376"/>
      <c r="E198" s="376"/>
      <c r="F198" s="376"/>
      <c r="G198" s="376"/>
      <c r="H198" s="376"/>
      <c r="I198" s="376"/>
      <c r="J198" s="376"/>
      <c r="K198" s="376"/>
      <c r="L198" s="376"/>
      <c r="M198" s="376"/>
      <c r="N198" s="376"/>
      <c r="O198" s="376"/>
      <c r="P198" s="376"/>
      <c r="Q198" s="376"/>
      <c r="R198" s="376"/>
    </row>
    <row r="199" spans="1:18" x14ac:dyDescent="0.25">
      <c r="A199" s="376"/>
      <c r="B199" s="376"/>
      <c r="C199" s="376"/>
      <c r="D199" s="376"/>
      <c r="E199" s="376"/>
      <c r="F199" s="376"/>
      <c r="G199" s="376"/>
      <c r="H199" s="376"/>
      <c r="I199" s="376"/>
      <c r="J199" s="376"/>
      <c r="K199" s="376"/>
      <c r="L199" s="376"/>
      <c r="M199" s="376"/>
      <c r="N199" s="376"/>
      <c r="O199" s="376"/>
      <c r="P199" s="376"/>
      <c r="Q199" s="376"/>
      <c r="R199" s="376"/>
    </row>
    <row r="200" spans="1:18" x14ac:dyDescent="0.25">
      <c r="A200" s="376"/>
      <c r="B200" s="376"/>
      <c r="C200" s="376"/>
      <c r="D200" s="376"/>
      <c r="E200" s="376"/>
      <c r="F200" s="376"/>
      <c r="G200" s="376"/>
      <c r="H200" s="376"/>
      <c r="I200" s="376"/>
      <c r="J200" s="376"/>
      <c r="K200" s="376"/>
      <c r="L200" s="376"/>
      <c r="M200" s="376"/>
      <c r="N200" s="376"/>
      <c r="O200" s="376"/>
      <c r="P200" s="376"/>
      <c r="Q200" s="376"/>
      <c r="R200" s="376"/>
    </row>
    <row r="201" spans="1:18" x14ac:dyDescent="0.25">
      <c r="A201" s="376"/>
      <c r="B201" s="376"/>
      <c r="C201" s="376"/>
      <c r="D201" s="376"/>
      <c r="E201" s="376"/>
      <c r="F201" s="376"/>
      <c r="G201" s="376"/>
      <c r="H201" s="376"/>
      <c r="I201" s="376"/>
      <c r="J201" s="376"/>
      <c r="K201" s="376"/>
      <c r="L201" s="376"/>
      <c r="M201" s="376"/>
      <c r="N201" s="376"/>
      <c r="O201" s="376"/>
      <c r="P201" s="376"/>
      <c r="Q201" s="376"/>
      <c r="R201" s="376"/>
    </row>
    <row r="202" spans="1:18" x14ac:dyDescent="0.25">
      <c r="A202" s="376"/>
      <c r="B202" s="376"/>
      <c r="C202" s="376"/>
      <c r="D202" s="376"/>
      <c r="E202" s="376"/>
      <c r="F202" s="376"/>
      <c r="G202" s="376"/>
      <c r="H202" s="376"/>
      <c r="I202" s="376"/>
      <c r="J202" s="376"/>
      <c r="K202" s="376"/>
      <c r="L202" s="376"/>
      <c r="M202" s="376"/>
      <c r="N202" s="376"/>
      <c r="O202" s="376"/>
      <c r="P202" s="376"/>
      <c r="Q202" s="376"/>
      <c r="R202" s="376"/>
    </row>
    <row r="203" spans="1:18" x14ac:dyDescent="0.25">
      <c r="A203" s="376"/>
      <c r="B203" s="376"/>
      <c r="C203" s="376"/>
      <c r="D203" s="376"/>
      <c r="E203" s="376"/>
      <c r="F203" s="376"/>
      <c r="G203" s="376"/>
      <c r="H203" s="376"/>
      <c r="I203" s="376"/>
      <c r="J203" s="376"/>
      <c r="K203" s="376"/>
      <c r="L203" s="376"/>
      <c r="M203" s="376"/>
      <c r="N203" s="376"/>
      <c r="O203" s="376"/>
      <c r="P203" s="376"/>
      <c r="Q203" s="376"/>
      <c r="R203" s="376"/>
    </row>
    <row r="204" spans="1:18" x14ac:dyDescent="0.25">
      <c r="A204" s="376"/>
      <c r="B204" s="376"/>
      <c r="C204" s="376"/>
      <c r="D204" s="376"/>
      <c r="E204" s="376"/>
      <c r="F204" s="376"/>
      <c r="G204" s="376"/>
      <c r="H204" s="376"/>
      <c r="I204" s="376"/>
      <c r="J204" s="376"/>
      <c r="K204" s="376"/>
      <c r="L204" s="376"/>
      <c r="M204" s="376"/>
      <c r="N204" s="376"/>
      <c r="O204" s="376"/>
      <c r="P204" s="376"/>
      <c r="Q204" s="376"/>
      <c r="R204" s="376"/>
    </row>
    <row r="205" spans="1:18" x14ac:dyDescent="0.25">
      <c r="A205" s="376"/>
      <c r="B205" s="376"/>
      <c r="C205" s="376"/>
      <c r="D205" s="376"/>
      <c r="E205" s="376"/>
      <c r="F205" s="376"/>
      <c r="G205" s="376"/>
      <c r="H205" s="376"/>
      <c r="I205" s="376"/>
      <c r="J205" s="376"/>
      <c r="K205" s="376"/>
      <c r="L205" s="376"/>
      <c r="M205" s="376"/>
      <c r="N205" s="376"/>
      <c r="O205" s="376"/>
      <c r="P205" s="376"/>
      <c r="Q205" s="376"/>
      <c r="R205" s="376"/>
    </row>
    <row r="206" spans="1:18" x14ac:dyDescent="0.25">
      <c r="A206" s="376"/>
      <c r="B206" s="376"/>
      <c r="C206" s="376"/>
      <c r="D206" s="376"/>
      <c r="E206" s="376"/>
      <c r="F206" s="376"/>
      <c r="G206" s="376"/>
      <c r="H206" s="376"/>
      <c r="I206" s="376"/>
      <c r="J206" s="376"/>
      <c r="K206" s="376"/>
      <c r="L206" s="376"/>
      <c r="M206" s="376"/>
      <c r="N206" s="376"/>
      <c r="O206" s="376"/>
      <c r="P206" s="376"/>
      <c r="Q206" s="376"/>
      <c r="R206" s="376"/>
    </row>
    <row r="207" spans="1:18" x14ac:dyDescent="0.25">
      <c r="A207" s="376"/>
      <c r="B207" s="376"/>
      <c r="C207" s="376"/>
      <c r="D207" s="376"/>
      <c r="E207" s="376"/>
      <c r="F207" s="376"/>
      <c r="G207" s="376"/>
      <c r="H207" s="376"/>
      <c r="I207" s="376"/>
      <c r="J207" s="376"/>
      <c r="K207" s="376"/>
      <c r="L207" s="376"/>
      <c r="M207" s="376"/>
      <c r="N207" s="376"/>
      <c r="O207" s="376"/>
      <c r="P207" s="376"/>
      <c r="Q207" s="376"/>
      <c r="R207" s="376"/>
    </row>
    <row r="208" spans="1:18" x14ac:dyDescent="0.25">
      <c r="A208" s="376"/>
      <c r="B208" s="376"/>
      <c r="C208" s="376"/>
      <c r="D208" s="376"/>
      <c r="E208" s="376"/>
      <c r="F208" s="376"/>
      <c r="G208" s="376"/>
      <c r="H208" s="376"/>
      <c r="I208" s="376"/>
      <c r="J208" s="376"/>
      <c r="K208" s="376"/>
      <c r="L208" s="376"/>
      <c r="M208" s="376"/>
      <c r="N208" s="376"/>
      <c r="O208" s="376"/>
      <c r="P208" s="376"/>
      <c r="Q208" s="376"/>
      <c r="R208" s="376"/>
    </row>
    <row r="209" spans="1:18" x14ac:dyDescent="0.25">
      <c r="A209" s="376"/>
      <c r="B209" s="376"/>
      <c r="C209" s="376"/>
      <c r="D209" s="376"/>
      <c r="E209" s="376"/>
      <c r="F209" s="376"/>
      <c r="G209" s="376"/>
      <c r="H209" s="376"/>
      <c r="I209" s="376"/>
      <c r="J209" s="376"/>
      <c r="K209" s="376"/>
      <c r="L209" s="376"/>
      <c r="M209" s="376"/>
      <c r="N209" s="376"/>
      <c r="O209" s="376"/>
      <c r="P209" s="376"/>
      <c r="Q209" s="376"/>
      <c r="R209" s="376"/>
    </row>
    <row r="210" spans="1:18" x14ac:dyDescent="0.25">
      <c r="A210" s="376"/>
      <c r="B210" s="376"/>
      <c r="C210" s="376"/>
      <c r="D210" s="376"/>
      <c r="E210" s="376"/>
      <c r="F210" s="376"/>
      <c r="G210" s="376"/>
      <c r="H210" s="376"/>
      <c r="I210" s="376"/>
      <c r="J210" s="376"/>
      <c r="K210" s="376"/>
      <c r="L210" s="376"/>
      <c r="M210" s="376"/>
      <c r="N210" s="376"/>
      <c r="O210" s="376"/>
      <c r="P210" s="376"/>
      <c r="Q210" s="376"/>
      <c r="R210" s="376"/>
    </row>
    <row r="211" spans="1:18" x14ac:dyDescent="0.25">
      <c r="A211" s="376"/>
      <c r="B211" s="376"/>
      <c r="C211" s="376"/>
      <c r="D211" s="376"/>
      <c r="E211" s="376"/>
      <c r="F211" s="376"/>
      <c r="G211" s="376"/>
      <c r="H211" s="376"/>
      <c r="I211" s="376"/>
      <c r="J211" s="376"/>
      <c r="K211" s="376"/>
      <c r="L211" s="376"/>
      <c r="M211" s="376"/>
      <c r="N211" s="376"/>
      <c r="O211" s="376"/>
      <c r="P211" s="376"/>
      <c r="Q211" s="376"/>
      <c r="R211" s="376"/>
    </row>
    <row r="212" spans="1:18" x14ac:dyDescent="0.25">
      <c r="A212" s="376"/>
      <c r="B212" s="376"/>
      <c r="C212" s="376"/>
      <c r="D212" s="376"/>
      <c r="E212" s="376"/>
      <c r="F212" s="376"/>
      <c r="G212" s="376"/>
      <c r="H212" s="376"/>
      <c r="I212" s="376"/>
      <c r="J212" s="376"/>
      <c r="K212" s="376"/>
      <c r="L212" s="376"/>
      <c r="M212" s="376"/>
      <c r="N212" s="376"/>
      <c r="O212" s="376"/>
      <c r="P212" s="376"/>
      <c r="Q212" s="376"/>
      <c r="R212" s="376"/>
    </row>
    <row r="213" spans="1:18" x14ac:dyDescent="0.25">
      <c r="A213" s="376"/>
      <c r="B213" s="376"/>
      <c r="C213" s="376"/>
      <c r="D213" s="376"/>
      <c r="E213" s="376"/>
      <c r="F213" s="376"/>
      <c r="G213" s="376"/>
      <c r="H213" s="376"/>
      <c r="I213" s="376"/>
      <c r="J213" s="376"/>
      <c r="K213" s="376"/>
      <c r="L213" s="376"/>
      <c r="M213" s="376"/>
      <c r="N213" s="376"/>
      <c r="O213" s="376"/>
      <c r="P213" s="376"/>
      <c r="Q213" s="376"/>
      <c r="R213" s="376"/>
    </row>
    <row r="214" spans="1:18" x14ac:dyDescent="0.25">
      <c r="A214" s="376"/>
      <c r="B214" s="376"/>
      <c r="C214" s="376"/>
      <c r="D214" s="376"/>
      <c r="E214" s="376"/>
      <c r="F214" s="376"/>
      <c r="G214" s="376"/>
      <c r="H214" s="376"/>
      <c r="I214" s="376"/>
      <c r="J214" s="376"/>
      <c r="K214" s="376"/>
      <c r="L214" s="376"/>
      <c r="M214" s="376"/>
      <c r="N214" s="376"/>
      <c r="O214" s="376"/>
      <c r="P214" s="376"/>
      <c r="Q214" s="376"/>
      <c r="R214" s="376"/>
    </row>
    <row r="215" spans="1:18" x14ac:dyDescent="0.25">
      <c r="A215" s="376"/>
      <c r="B215" s="376"/>
      <c r="C215" s="376"/>
      <c r="D215" s="376"/>
      <c r="E215" s="376"/>
      <c r="F215" s="376"/>
      <c r="G215" s="376"/>
      <c r="H215" s="376"/>
      <c r="I215" s="376"/>
      <c r="J215" s="376"/>
      <c r="K215" s="376"/>
      <c r="L215" s="376"/>
      <c r="M215" s="376"/>
      <c r="N215" s="376"/>
      <c r="O215" s="376"/>
      <c r="P215" s="376"/>
      <c r="Q215" s="376"/>
      <c r="R215" s="376"/>
    </row>
    <row r="216" spans="1:18" x14ac:dyDescent="0.25">
      <c r="A216" s="376"/>
      <c r="B216" s="376"/>
      <c r="C216" s="376"/>
      <c r="D216" s="376"/>
      <c r="E216" s="376"/>
      <c r="F216" s="376"/>
      <c r="G216" s="376"/>
      <c r="H216" s="376"/>
      <c r="I216" s="376"/>
      <c r="J216" s="376"/>
      <c r="K216" s="376"/>
      <c r="L216" s="376"/>
      <c r="M216" s="376"/>
      <c r="N216" s="376"/>
      <c r="O216" s="376"/>
      <c r="P216" s="376"/>
      <c r="Q216" s="376"/>
      <c r="R216" s="376"/>
    </row>
    <row r="217" spans="1:18" x14ac:dyDescent="0.25">
      <c r="A217" s="376"/>
      <c r="B217" s="376"/>
      <c r="C217" s="376"/>
      <c r="D217" s="376"/>
      <c r="E217" s="376"/>
      <c r="F217" s="376"/>
      <c r="G217" s="376"/>
      <c r="H217" s="376"/>
      <c r="I217" s="376"/>
      <c r="J217" s="376"/>
      <c r="K217" s="376"/>
      <c r="L217" s="376"/>
      <c r="M217" s="376"/>
      <c r="N217" s="376"/>
      <c r="O217" s="376"/>
      <c r="P217" s="376"/>
      <c r="Q217" s="376"/>
      <c r="R217" s="376"/>
    </row>
    <row r="218" spans="1:18" x14ac:dyDescent="0.25">
      <c r="A218" s="376"/>
      <c r="B218" s="376"/>
      <c r="C218" s="376"/>
      <c r="D218" s="376"/>
      <c r="E218" s="376"/>
      <c r="F218" s="376"/>
      <c r="G218" s="376"/>
      <c r="H218" s="376"/>
      <c r="I218" s="376"/>
      <c r="J218" s="376"/>
      <c r="K218" s="376"/>
      <c r="L218" s="376"/>
      <c r="M218" s="376"/>
      <c r="N218" s="376"/>
      <c r="O218" s="376"/>
      <c r="P218" s="376"/>
      <c r="Q218" s="376"/>
      <c r="R218" s="376"/>
    </row>
    <row r="219" spans="1:18" x14ac:dyDescent="0.25">
      <c r="A219" s="376"/>
      <c r="B219" s="376"/>
      <c r="C219" s="376"/>
      <c r="D219" s="376"/>
      <c r="E219" s="376"/>
      <c r="F219" s="376"/>
      <c r="G219" s="376"/>
      <c r="H219" s="376"/>
      <c r="I219" s="376"/>
      <c r="J219" s="376"/>
      <c r="K219" s="376"/>
      <c r="L219" s="376"/>
      <c r="M219" s="376"/>
      <c r="N219" s="376"/>
      <c r="O219" s="376"/>
      <c r="P219" s="376"/>
      <c r="Q219" s="376"/>
      <c r="R219" s="376"/>
    </row>
    <row r="220" spans="1:18" x14ac:dyDescent="0.25">
      <c r="A220" s="376"/>
      <c r="B220" s="376"/>
      <c r="C220" s="376"/>
      <c r="D220" s="376"/>
      <c r="E220" s="376"/>
      <c r="F220" s="376"/>
      <c r="G220" s="376"/>
      <c r="H220" s="376"/>
      <c r="I220" s="376"/>
      <c r="J220" s="376"/>
      <c r="K220" s="376"/>
      <c r="L220" s="376"/>
      <c r="M220" s="376"/>
      <c r="N220" s="376"/>
      <c r="O220" s="376"/>
      <c r="P220" s="376"/>
      <c r="Q220" s="376"/>
      <c r="R220" s="376"/>
    </row>
    <row r="221" spans="1:18" x14ac:dyDescent="0.25">
      <c r="A221" s="376"/>
      <c r="B221" s="376"/>
      <c r="C221" s="376"/>
      <c r="D221" s="376"/>
      <c r="E221" s="376"/>
      <c r="F221" s="376"/>
      <c r="G221" s="376"/>
      <c r="H221" s="376"/>
      <c r="I221" s="376"/>
      <c r="J221" s="376"/>
      <c r="K221" s="376"/>
      <c r="L221" s="376"/>
      <c r="M221" s="376"/>
      <c r="N221" s="376"/>
      <c r="O221" s="376"/>
      <c r="P221" s="376"/>
      <c r="Q221" s="376"/>
      <c r="R221" s="376"/>
    </row>
    <row r="222" spans="1:18" x14ac:dyDescent="0.25">
      <c r="A222" s="376"/>
      <c r="B222" s="376"/>
      <c r="C222" s="376"/>
      <c r="D222" s="376"/>
      <c r="E222" s="376"/>
      <c r="F222" s="376"/>
      <c r="G222" s="376"/>
      <c r="H222" s="376"/>
      <c r="I222" s="376"/>
      <c r="J222" s="376"/>
      <c r="K222" s="376"/>
      <c r="L222" s="376"/>
      <c r="M222" s="376"/>
      <c r="N222" s="376"/>
      <c r="O222" s="376"/>
      <c r="P222" s="376"/>
      <c r="Q222" s="376"/>
      <c r="R222" s="376"/>
    </row>
    <row r="223" spans="1:18" x14ac:dyDescent="0.25">
      <c r="A223" s="376"/>
      <c r="B223" s="376"/>
      <c r="C223" s="376"/>
      <c r="D223" s="376"/>
      <c r="E223" s="376"/>
      <c r="F223" s="376"/>
      <c r="G223" s="376"/>
      <c r="H223" s="376"/>
      <c r="I223" s="376"/>
      <c r="J223" s="376"/>
      <c r="K223" s="376"/>
      <c r="L223" s="376"/>
      <c r="M223" s="376"/>
      <c r="N223" s="376"/>
      <c r="O223" s="376"/>
      <c r="P223" s="376"/>
      <c r="Q223" s="376"/>
      <c r="R223" s="376"/>
    </row>
    <row r="224" spans="1:18" x14ac:dyDescent="0.25">
      <c r="A224" s="376"/>
      <c r="B224" s="376"/>
      <c r="C224" s="376"/>
      <c r="D224" s="376"/>
      <c r="E224" s="376"/>
      <c r="F224" s="376"/>
      <c r="G224" s="376"/>
      <c r="H224" s="376"/>
      <c r="I224" s="376"/>
      <c r="J224" s="376"/>
      <c r="K224" s="376"/>
      <c r="L224" s="376"/>
      <c r="M224" s="376"/>
      <c r="N224" s="376"/>
      <c r="O224" s="376"/>
      <c r="P224" s="376"/>
      <c r="Q224" s="376"/>
      <c r="R224" s="376"/>
    </row>
    <row r="225" spans="1:18" x14ac:dyDescent="0.25">
      <c r="A225" s="376"/>
      <c r="B225" s="376"/>
      <c r="C225" s="376"/>
      <c r="D225" s="376"/>
      <c r="E225" s="376"/>
      <c r="F225" s="376"/>
      <c r="G225" s="376"/>
      <c r="H225" s="376"/>
      <c r="I225" s="376"/>
      <c r="J225" s="376"/>
      <c r="K225" s="376"/>
      <c r="L225" s="376"/>
      <c r="M225" s="376"/>
      <c r="N225" s="376"/>
      <c r="O225" s="376"/>
      <c r="P225" s="376"/>
      <c r="Q225" s="376"/>
      <c r="R225" s="376"/>
    </row>
    <row r="226" spans="1:18" x14ac:dyDescent="0.25">
      <c r="A226" s="376"/>
      <c r="B226" s="376"/>
      <c r="C226" s="376"/>
      <c r="D226" s="376"/>
      <c r="E226" s="376"/>
      <c r="F226" s="376"/>
      <c r="G226" s="376"/>
      <c r="H226" s="376"/>
      <c r="I226" s="376"/>
      <c r="J226" s="376"/>
      <c r="K226" s="376"/>
      <c r="L226" s="376"/>
      <c r="M226" s="376"/>
      <c r="N226" s="376"/>
      <c r="O226" s="376"/>
      <c r="P226" s="376"/>
      <c r="Q226" s="376"/>
      <c r="R226" s="376"/>
    </row>
    <row r="227" spans="1:18" x14ac:dyDescent="0.25">
      <c r="A227" s="376"/>
      <c r="B227" s="376"/>
      <c r="C227" s="376"/>
      <c r="D227" s="376"/>
      <c r="E227" s="376"/>
      <c r="F227" s="376"/>
      <c r="G227" s="376"/>
      <c r="H227" s="376"/>
      <c r="I227" s="376"/>
      <c r="J227" s="376"/>
      <c r="K227" s="376"/>
      <c r="L227" s="376"/>
      <c r="M227" s="376"/>
      <c r="N227" s="376"/>
      <c r="O227" s="376"/>
      <c r="P227" s="376"/>
      <c r="Q227" s="376"/>
      <c r="R227" s="376"/>
    </row>
    <row r="228" spans="1:18" x14ac:dyDescent="0.25">
      <c r="A228" s="376"/>
      <c r="B228" s="376"/>
      <c r="C228" s="376"/>
      <c r="D228" s="376"/>
      <c r="E228" s="376"/>
      <c r="F228" s="376"/>
      <c r="G228" s="376"/>
      <c r="H228" s="376"/>
      <c r="I228" s="376"/>
      <c r="J228" s="376"/>
      <c r="K228" s="376"/>
      <c r="L228" s="376"/>
      <c r="M228" s="376"/>
      <c r="N228" s="376"/>
      <c r="O228" s="376"/>
      <c r="P228" s="376"/>
      <c r="Q228" s="376"/>
      <c r="R228" s="376"/>
    </row>
    <row r="229" spans="1:18" x14ac:dyDescent="0.25">
      <c r="A229" s="376"/>
      <c r="B229" s="376"/>
      <c r="C229" s="376"/>
      <c r="D229" s="376"/>
      <c r="E229" s="376"/>
      <c r="F229" s="376"/>
      <c r="G229" s="376"/>
      <c r="H229" s="376"/>
      <c r="I229" s="376"/>
      <c r="J229" s="376"/>
      <c r="K229" s="376"/>
      <c r="L229" s="376"/>
      <c r="M229" s="376"/>
      <c r="N229" s="376"/>
      <c r="O229" s="376"/>
      <c r="P229" s="376"/>
      <c r="Q229" s="376"/>
      <c r="R229" s="376"/>
    </row>
    <row r="230" spans="1:18" x14ac:dyDescent="0.25">
      <c r="A230" s="376"/>
      <c r="B230" s="376"/>
      <c r="C230" s="376"/>
      <c r="D230" s="376"/>
      <c r="E230" s="376"/>
      <c r="F230" s="376"/>
      <c r="G230" s="376"/>
      <c r="H230" s="376"/>
      <c r="I230" s="376"/>
      <c r="J230" s="376"/>
      <c r="K230" s="376"/>
      <c r="L230" s="376"/>
      <c r="M230" s="376"/>
      <c r="N230" s="376"/>
      <c r="O230" s="376"/>
      <c r="P230" s="376"/>
      <c r="Q230" s="376"/>
      <c r="R230" s="376"/>
    </row>
    <row r="231" spans="1:18" x14ac:dyDescent="0.25">
      <c r="A231" s="376"/>
      <c r="B231" s="376"/>
      <c r="C231" s="376"/>
      <c r="D231" s="376"/>
      <c r="E231" s="376"/>
      <c r="F231" s="376"/>
      <c r="G231" s="376"/>
      <c r="H231" s="376"/>
      <c r="I231" s="376"/>
      <c r="J231" s="376"/>
      <c r="K231" s="376"/>
      <c r="L231" s="376"/>
      <c r="M231" s="376"/>
      <c r="N231" s="376"/>
      <c r="O231" s="376"/>
      <c r="P231" s="376"/>
      <c r="Q231" s="376"/>
      <c r="R231" s="376"/>
    </row>
    <row r="232" spans="1:18" x14ac:dyDescent="0.25">
      <c r="A232" s="376"/>
      <c r="B232" s="376"/>
      <c r="C232" s="376"/>
      <c r="D232" s="376"/>
      <c r="E232" s="376"/>
      <c r="F232" s="376"/>
      <c r="G232" s="376"/>
      <c r="H232" s="376"/>
      <c r="I232" s="376"/>
      <c r="J232" s="376"/>
      <c r="K232" s="376"/>
      <c r="L232" s="376"/>
      <c r="M232" s="376"/>
      <c r="N232" s="376"/>
      <c r="O232" s="376"/>
      <c r="P232" s="376"/>
      <c r="Q232" s="376"/>
      <c r="R232" s="376"/>
    </row>
    <row r="233" spans="1:18" x14ac:dyDescent="0.25">
      <c r="A233" s="376"/>
      <c r="B233" s="376"/>
      <c r="C233" s="376"/>
      <c r="D233" s="376"/>
      <c r="E233" s="376"/>
      <c r="F233" s="376"/>
      <c r="G233" s="376"/>
      <c r="H233" s="376"/>
      <c r="I233" s="376"/>
      <c r="J233" s="376"/>
      <c r="K233" s="376"/>
      <c r="L233" s="376"/>
      <c r="M233" s="376"/>
      <c r="N233" s="376"/>
      <c r="O233" s="376"/>
      <c r="P233" s="376"/>
      <c r="Q233" s="376"/>
      <c r="R233" s="376"/>
    </row>
    <row r="234" spans="1:18" x14ac:dyDescent="0.25">
      <c r="A234" s="376"/>
      <c r="B234" s="376"/>
      <c r="C234" s="376"/>
      <c r="D234" s="376"/>
      <c r="E234" s="376"/>
      <c r="F234" s="376"/>
      <c r="G234" s="376"/>
      <c r="H234" s="376"/>
      <c r="I234" s="376"/>
      <c r="J234" s="376"/>
      <c r="K234" s="376"/>
      <c r="L234" s="376"/>
      <c r="M234" s="376"/>
      <c r="N234" s="376"/>
      <c r="O234" s="376"/>
      <c r="P234" s="376"/>
      <c r="Q234" s="376"/>
      <c r="R234" s="376"/>
    </row>
    <row r="235" spans="1:18" x14ac:dyDescent="0.25">
      <c r="A235" s="376"/>
      <c r="B235" s="376"/>
      <c r="C235" s="376"/>
      <c r="D235" s="376"/>
      <c r="E235" s="376"/>
      <c r="F235" s="376"/>
      <c r="G235" s="376"/>
      <c r="H235" s="376"/>
      <c r="I235" s="376"/>
      <c r="J235" s="376"/>
      <c r="K235" s="376"/>
      <c r="L235" s="376"/>
      <c r="M235" s="376"/>
      <c r="N235" s="376"/>
      <c r="O235" s="376"/>
      <c r="P235" s="376"/>
      <c r="Q235" s="376"/>
      <c r="R235" s="376"/>
    </row>
    <row r="236" spans="1:18" x14ac:dyDescent="0.25">
      <c r="A236" s="376"/>
      <c r="B236" s="376"/>
      <c r="C236" s="376"/>
      <c r="D236" s="376"/>
      <c r="E236" s="376"/>
      <c r="F236" s="376"/>
      <c r="G236" s="376"/>
      <c r="H236" s="376"/>
      <c r="I236" s="376"/>
      <c r="J236" s="376"/>
      <c r="K236" s="376"/>
      <c r="L236" s="376"/>
      <c r="M236" s="376"/>
      <c r="N236" s="376"/>
      <c r="O236" s="376"/>
      <c r="P236" s="376"/>
      <c r="Q236" s="376"/>
      <c r="R236" s="376"/>
    </row>
    <row r="237" spans="1:18" x14ac:dyDescent="0.25">
      <c r="A237" s="376"/>
      <c r="B237" s="376"/>
      <c r="C237" s="376"/>
      <c r="D237" s="376"/>
      <c r="E237" s="376"/>
      <c r="F237" s="376"/>
      <c r="G237" s="376"/>
      <c r="H237" s="376"/>
      <c r="I237" s="376"/>
      <c r="J237" s="376"/>
      <c r="K237" s="376"/>
      <c r="L237" s="376"/>
      <c r="M237" s="376"/>
      <c r="N237" s="376"/>
      <c r="O237" s="376"/>
      <c r="P237" s="376"/>
      <c r="Q237" s="376"/>
      <c r="R237" s="376"/>
    </row>
    <row r="238" spans="1:18" x14ac:dyDescent="0.25">
      <c r="A238" s="376"/>
      <c r="B238" s="376"/>
      <c r="C238" s="376"/>
      <c r="D238" s="376"/>
      <c r="E238" s="376"/>
      <c r="F238" s="376"/>
      <c r="G238" s="376"/>
      <c r="H238" s="376"/>
      <c r="I238" s="376"/>
      <c r="J238" s="376"/>
      <c r="K238" s="376"/>
      <c r="L238" s="376"/>
      <c r="M238" s="376"/>
      <c r="N238" s="376"/>
      <c r="O238" s="376"/>
      <c r="P238" s="376"/>
      <c r="Q238" s="376"/>
      <c r="R238" s="376"/>
    </row>
    <row r="239" spans="1:18" x14ac:dyDescent="0.25">
      <c r="A239" s="376"/>
      <c r="B239" s="376"/>
      <c r="C239" s="376"/>
      <c r="D239" s="376"/>
      <c r="E239" s="376"/>
      <c r="F239" s="376"/>
      <c r="G239" s="376"/>
      <c r="H239" s="376"/>
      <c r="I239" s="376"/>
      <c r="J239" s="376"/>
      <c r="K239" s="376"/>
      <c r="L239" s="376"/>
      <c r="M239" s="376"/>
      <c r="N239" s="376"/>
      <c r="O239" s="376"/>
      <c r="P239" s="376"/>
      <c r="Q239" s="376"/>
      <c r="R239" s="376"/>
    </row>
    <row r="240" spans="1:18" x14ac:dyDescent="0.25">
      <c r="A240" s="376"/>
      <c r="B240" s="376"/>
      <c r="C240" s="376"/>
      <c r="D240" s="376"/>
      <c r="E240" s="376"/>
      <c r="F240" s="376"/>
      <c r="G240" s="376"/>
      <c r="H240" s="376"/>
      <c r="I240" s="376"/>
      <c r="J240" s="376"/>
      <c r="K240" s="376"/>
      <c r="L240" s="376"/>
      <c r="M240" s="376"/>
      <c r="N240" s="376"/>
      <c r="O240" s="376"/>
      <c r="P240" s="376"/>
      <c r="Q240" s="376"/>
      <c r="R240" s="376"/>
    </row>
    <row r="241" spans="1:18" x14ac:dyDescent="0.25">
      <c r="A241" s="376"/>
      <c r="B241" s="376"/>
      <c r="C241" s="376"/>
      <c r="D241" s="376"/>
      <c r="E241" s="376"/>
      <c r="F241" s="376"/>
      <c r="G241" s="376"/>
      <c r="H241" s="376"/>
      <c r="I241" s="376"/>
      <c r="J241" s="376"/>
      <c r="K241" s="376"/>
      <c r="L241" s="376"/>
      <c r="M241" s="376"/>
      <c r="N241" s="376"/>
      <c r="O241" s="376"/>
      <c r="P241" s="376"/>
      <c r="Q241" s="376"/>
      <c r="R241" s="376"/>
    </row>
    <row r="242" spans="1:18" x14ac:dyDescent="0.25">
      <c r="A242" s="376"/>
      <c r="B242" s="376"/>
      <c r="C242" s="376"/>
      <c r="D242" s="376"/>
      <c r="E242" s="376"/>
      <c r="F242" s="376"/>
      <c r="G242" s="376"/>
      <c r="H242" s="376"/>
      <c r="I242" s="376"/>
      <c r="J242" s="376"/>
      <c r="K242" s="376"/>
      <c r="L242" s="376"/>
      <c r="M242" s="376"/>
      <c r="N242" s="376"/>
      <c r="O242" s="376"/>
      <c r="P242" s="376"/>
      <c r="Q242" s="376"/>
      <c r="R242" s="376"/>
    </row>
    <row r="243" spans="1:18" x14ac:dyDescent="0.25">
      <c r="A243" s="376"/>
      <c r="B243" s="376"/>
      <c r="C243" s="376"/>
      <c r="D243" s="376"/>
      <c r="E243" s="376"/>
      <c r="F243" s="376"/>
      <c r="G243" s="376"/>
      <c r="H243" s="376"/>
      <c r="I243" s="376"/>
      <c r="J243" s="376"/>
      <c r="K243" s="376"/>
      <c r="L243" s="376"/>
      <c r="M243" s="376"/>
      <c r="N243" s="376"/>
      <c r="O243" s="376"/>
      <c r="P243" s="376"/>
      <c r="Q243" s="376"/>
      <c r="R243" s="376"/>
    </row>
    <row r="244" spans="1:18" x14ac:dyDescent="0.25">
      <c r="A244" s="376"/>
      <c r="B244" s="376"/>
      <c r="C244" s="376"/>
      <c r="D244" s="376"/>
      <c r="E244" s="376"/>
      <c r="F244" s="376"/>
      <c r="G244" s="376"/>
      <c r="H244" s="376"/>
      <c r="I244" s="376"/>
      <c r="J244" s="376"/>
      <c r="K244" s="376"/>
      <c r="L244" s="376"/>
      <c r="M244" s="376"/>
      <c r="N244" s="376"/>
      <c r="O244" s="376"/>
      <c r="P244" s="376"/>
      <c r="Q244" s="376"/>
      <c r="R244" s="376"/>
    </row>
    <row r="245" spans="1:18" x14ac:dyDescent="0.25">
      <c r="A245" s="376"/>
      <c r="B245" s="376"/>
      <c r="C245" s="376"/>
      <c r="D245" s="376"/>
      <c r="E245" s="376"/>
      <c r="F245" s="376"/>
      <c r="G245" s="376"/>
      <c r="H245" s="376"/>
      <c r="I245" s="376"/>
      <c r="J245" s="376"/>
      <c r="K245" s="376"/>
      <c r="L245" s="376"/>
      <c r="M245" s="376"/>
      <c r="N245" s="376"/>
      <c r="O245" s="376"/>
      <c r="P245" s="376"/>
      <c r="Q245" s="376"/>
      <c r="R245" s="376"/>
    </row>
    <row r="246" spans="1:18" x14ac:dyDescent="0.25">
      <c r="A246" s="376"/>
      <c r="B246" s="376"/>
      <c r="C246" s="376"/>
      <c r="D246" s="376"/>
      <c r="E246" s="376"/>
      <c r="F246" s="376"/>
      <c r="G246" s="376"/>
      <c r="H246" s="376"/>
      <c r="I246" s="376"/>
      <c r="J246" s="376"/>
      <c r="K246" s="376"/>
      <c r="L246" s="376"/>
      <c r="M246" s="376"/>
      <c r="N246" s="376"/>
      <c r="O246" s="376"/>
      <c r="P246" s="376"/>
      <c r="Q246" s="376"/>
      <c r="R246" s="376"/>
    </row>
    <row r="247" spans="1:18" x14ac:dyDescent="0.25">
      <c r="A247" s="376"/>
      <c r="B247" s="376"/>
      <c r="C247" s="376"/>
      <c r="D247" s="376"/>
      <c r="E247" s="376"/>
      <c r="F247" s="376"/>
      <c r="G247" s="376"/>
      <c r="H247" s="376"/>
      <c r="I247" s="376"/>
      <c r="J247" s="376"/>
      <c r="K247" s="376"/>
      <c r="L247" s="376"/>
      <c r="M247" s="376"/>
      <c r="N247" s="376"/>
      <c r="O247" s="376"/>
      <c r="P247" s="376"/>
      <c r="Q247" s="376"/>
      <c r="R247" s="376"/>
    </row>
    <row r="248" spans="1:18" x14ac:dyDescent="0.25">
      <c r="A248" s="376"/>
      <c r="B248" s="376"/>
      <c r="C248" s="376"/>
      <c r="D248" s="376"/>
      <c r="E248" s="376"/>
      <c r="F248" s="376"/>
      <c r="G248" s="376"/>
      <c r="H248" s="376"/>
      <c r="I248" s="376"/>
      <c r="J248" s="376"/>
      <c r="K248" s="376"/>
      <c r="L248" s="376"/>
      <c r="M248" s="376"/>
      <c r="N248" s="376"/>
      <c r="O248" s="376"/>
      <c r="P248" s="376"/>
      <c r="Q248" s="376"/>
      <c r="R248" s="376"/>
    </row>
    <row r="249" spans="1:18" x14ac:dyDescent="0.25">
      <c r="A249" s="376"/>
      <c r="B249" s="376"/>
      <c r="C249" s="376"/>
      <c r="D249" s="376"/>
      <c r="E249" s="376"/>
      <c r="F249" s="376"/>
      <c r="G249" s="376"/>
      <c r="H249" s="376"/>
      <c r="I249" s="376"/>
      <c r="J249" s="376"/>
      <c r="K249" s="376"/>
      <c r="L249" s="376"/>
      <c r="M249" s="376"/>
      <c r="N249" s="376"/>
      <c r="O249" s="376"/>
      <c r="P249" s="376"/>
      <c r="Q249" s="376"/>
      <c r="R249" s="376"/>
    </row>
    <row r="250" spans="1:18" x14ac:dyDescent="0.25">
      <c r="A250" s="376"/>
      <c r="B250" s="376"/>
      <c r="C250" s="376"/>
      <c r="D250" s="376"/>
      <c r="E250" s="376"/>
      <c r="F250" s="376"/>
      <c r="G250" s="376"/>
      <c r="H250" s="376"/>
      <c r="I250" s="376"/>
      <c r="J250" s="376"/>
      <c r="K250" s="376"/>
      <c r="L250" s="376"/>
      <c r="M250" s="376"/>
      <c r="N250" s="376"/>
      <c r="O250" s="376"/>
      <c r="P250" s="376"/>
      <c r="Q250" s="376"/>
      <c r="R250" s="376"/>
    </row>
    <row r="251" spans="1:18" x14ac:dyDescent="0.25">
      <c r="A251" s="376"/>
      <c r="B251" s="376"/>
      <c r="C251" s="376"/>
      <c r="D251" s="376"/>
      <c r="E251" s="376"/>
      <c r="F251" s="376"/>
      <c r="G251" s="376"/>
      <c r="H251" s="376"/>
      <c r="I251" s="376"/>
      <c r="J251" s="376"/>
      <c r="K251" s="376"/>
      <c r="L251" s="376"/>
      <c r="M251" s="376"/>
      <c r="N251" s="376"/>
      <c r="O251" s="376"/>
      <c r="P251" s="376"/>
      <c r="Q251" s="376"/>
      <c r="R251" s="376"/>
    </row>
    <row r="252" spans="1:18" x14ac:dyDescent="0.25">
      <c r="A252" s="376"/>
      <c r="B252" s="376"/>
      <c r="C252" s="376"/>
      <c r="D252" s="376"/>
      <c r="E252" s="376"/>
      <c r="F252" s="376"/>
      <c r="G252" s="376"/>
      <c r="H252" s="376"/>
      <c r="I252" s="376"/>
      <c r="J252" s="376"/>
      <c r="K252" s="376"/>
      <c r="L252" s="376"/>
      <c r="M252" s="376"/>
      <c r="N252" s="376"/>
      <c r="O252" s="376"/>
      <c r="P252" s="376"/>
      <c r="Q252" s="376"/>
      <c r="R252" s="376"/>
    </row>
    <row r="253" spans="1:18" x14ac:dyDescent="0.25">
      <c r="A253" s="376"/>
      <c r="B253" s="376"/>
      <c r="C253" s="376"/>
      <c r="D253" s="376"/>
      <c r="E253" s="376"/>
      <c r="F253" s="376"/>
      <c r="G253" s="376"/>
      <c r="H253" s="376"/>
      <c r="I253" s="376"/>
      <c r="J253" s="376"/>
      <c r="K253" s="376"/>
      <c r="L253" s="376"/>
      <c r="M253" s="376"/>
      <c r="N253" s="376"/>
      <c r="O253" s="376"/>
      <c r="P253" s="376"/>
      <c r="Q253" s="376"/>
      <c r="R253" s="376"/>
    </row>
    <row r="254" spans="1:18" x14ac:dyDescent="0.25">
      <c r="A254" s="376"/>
      <c r="B254" s="376"/>
      <c r="C254" s="376"/>
      <c r="D254" s="376"/>
      <c r="E254" s="376"/>
      <c r="F254" s="376"/>
      <c r="G254" s="376"/>
      <c r="H254" s="376"/>
      <c r="I254" s="376"/>
      <c r="J254" s="376"/>
      <c r="K254" s="376"/>
      <c r="L254" s="376"/>
      <c r="M254" s="376"/>
      <c r="N254" s="376"/>
      <c r="O254" s="376"/>
      <c r="P254" s="376"/>
      <c r="Q254" s="376"/>
      <c r="R254" s="376"/>
    </row>
    <row r="255" spans="1:18" x14ac:dyDescent="0.25">
      <c r="A255" s="376"/>
      <c r="B255" s="376"/>
      <c r="C255" s="376"/>
      <c r="D255" s="376"/>
      <c r="E255" s="376"/>
      <c r="F255" s="376"/>
      <c r="G255" s="376"/>
      <c r="H255" s="376"/>
      <c r="I255" s="376"/>
      <c r="J255" s="376"/>
      <c r="K255" s="376"/>
      <c r="L255" s="376"/>
      <c r="M255" s="376"/>
      <c r="N255" s="376"/>
      <c r="O255" s="376"/>
      <c r="P255" s="376"/>
      <c r="Q255" s="376"/>
      <c r="R255" s="376"/>
    </row>
    <row r="256" spans="1:18" x14ac:dyDescent="0.25">
      <c r="A256" s="376"/>
      <c r="B256" s="376"/>
      <c r="C256" s="376"/>
      <c r="D256" s="376"/>
      <c r="E256" s="376"/>
      <c r="F256" s="376"/>
      <c r="G256" s="376"/>
      <c r="H256" s="376"/>
      <c r="I256" s="376"/>
      <c r="J256" s="376"/>
      <c r="K256" s="376"/>
      <c r="L256" s="376"/>
      <c r="M256" s="376"/>
      <c r="N256" s="376"/>
      <c r="O256" s="376"/>
      <c r="P256" s="376"/>
      <c r="Q256" s="376"/>
      <c r="R256" s="376"/>
    </row>
    <row r="257" spans="1:18" x14ac:dyDescent="0.25">
      <c r="A257" s="376"/>
      <c r="B257" s="376"/>
      <c r="C257" s="376"/>
      <c r="D257" s="376"/>
      <c r="E257" s="376"/>
      <c r="F257" s="376"/>
      <c r="G257" s="376"/>
      <c r="H257" s="376"/>
      <c r="I257" s="376"/>
      <c r="J257" s="376"/>
      <c r="K257" s="376"/>
      <c r="L257" s="376"/>
      <c r="M257" s="376"/>
      <c r="N257" s="376"/>
      <c r="O257" s="376"/>
      <c r="P257" s="376"/>
      <c r="Q257" s="376"/>
      <c r="R257" s="376"/>
    </row>
    <row r="258" spans="1:18" x14ac:dyDescent="0.25">
      <c r="A258" s="376"/>
      <c r="B258" s="376"/>
      <c r="C258" s="376"/>
      <c r="D258" s="376"/>
      <c r="E258" s="376"/>
      <c r="F258" s="376"/>
      <c r="G258" s="376"/>
      <c r="H258" s="376"/>
      <c r="I258" s="376"/>
      <c r="J258" s="376"/>
      <c r="K258" s="376"/>
      <c r="L258" s="376"/>
      <c r="M258" s="376"/>
      <c r="N258" s="376"/>
      <c r="O258" s="376"/>
      <c r="P258" s="376"/>
      <c r="Q258" s="376"/>
      <c r="R258" s="376"/>
    </row>
    <row r="259" spans="1:18" x14ac:dyDescent="0.25">
      <c r="A259" s="376"/>
      <c r="B259" s="376"/>
      <c r="C259" s="376"/>
      <c r="D259" s="376"/>
      <c r="E259" s="376"/>
      <c r="F259" s="376"/>
      <c r="G259" s="376"/>
      <c r="H259" s="376"/>
      <c r="I259" s="376"/>
      <c r="J259" s="376"/>
      <c r="K259" s="376"/>
      <c r="L259" s="376"/>
      <c r="M259" s="376"/>
      <c r="N259" s="376"/>
      <c r="O259" s="376"/>
      <c r="P259" s="376"/>
      <c r="Q259" s="376"/>
      <c r="R259" s="376"/>
    </row>
    <row r="260" spans="1:18" x14ac:dyDescent="0.25">
      <c r="A260" s="376"/>
      <c r="B260" s="376"/>
      <c r="C260" s="376"/>
      <c r="D260" s="376"/>
      <c r="E260" s="376"/>
      <c r="F260" s="376"/>
      <c r="G260" s="376"/>
      <c r="H260" s="376"/>
      <c r="I260" s="376"/>
      <c r="J260" s="376"/>
      <c r="K260" s="376"/>
      <c r="L260" s="376"/>
      <c r="M260" s="376"/>
      <c r="N260" s="376"/>
      <c r="O260" s="376"/>
      <c r="P260" s="376"/>
      <c r="Q260" s="376"/>
      <c r="R260" s="376"/>
    </row>
    <row r="261" spans="1:18" x14ac:dyDescent="0.25">
      <c r="A261" s="376"/>
      <c r="B261" s="376"/>
      <c r="C261" s="376"/>
      <c r="D261" s="376"/>
      <c r="E261" s="376"/>
      <c r="F261" s="376"/>
      <c r="G261" s="376"/>
      <c r="H261" s="376"/>
      <c r="I261" s="376"/>
      <c r="J261" s="376"/>
      <c r="K261" s="376"/>
      <c r="L261" s="376"/>
      <c r="M261" s="376"/>
      <c r="N261" s="376"/>
      <c r="O261" s="376"/>
      <c r="P261" s="376"/>
      <c r="Q261" s="376"/>
      <c r="R261" s="376"/>
    </row>
    <row r="262" spans="1:18" x14ac:dyDescent="0.25">
      <c r="A262" s="376"/>
      <c r="B262" s="376"/>
      <c r="C262" s="376"/>
      <c r="D262" s="376"/>
      <c r="E262" s="376"/>
      <c r="F262" s="376"/>
      <c r="G262" s="376"/>
      <c r="H262" s="376"/>
      <c r="I262" s="376"/>
      <c r="J262" s="376"/>
      <c r="K262" s="376"/>
      <c r="L262" s="376"/>
      <c r="M262" s="376"/>
      <c r="N262" s="376"/>
      <c r="O262" s="376"/>
      <c r="P262" s="376"/>
      <c r="Q262" s="376"/>
      <c r="R262" s="376"/>
    </row>
    <row r="263" spans="1:18" x14ac:dyDescent="0.25">
      <c r="A263" s="376"/>
      <c r="B263" s="376"/>
      <c r="C263" s="376"/>
      <c r="D263" s="376"/>
      <c r="E263" s="376"/>
      <c r="F263" s="376"/>
      <c r="G263" s="376"/>
      <c r="H263" s="376"/>
      <c r="I263" s="376"/>
      <c r="J263" s="376"/>
      <c r="K263" s="376"/>
      <c r="L263" s="376"/>
      <c r="M263" s="376"/>
      <c r="N263" s="376"/>
      <c r="O263" s="376"/>
      <c r="P263" s="376"/>
      <c r="Q263" s="376"/>
      <c r="R263" s="376"/>
    </row>
    <row r="264" spans="1:18" x14ac:dyDescent="0.25">
      <c r="A264" s="376"/>
      <c r="B264" s="376"/>
      <c r="C264" s="376"/>
      <c r="D264" s="376"/>
      <c r="E264" s="376"/>
      <c r="F264" s="376"/>
      <c r="G264" s="376"/>
      <c r="H264" s="376"/>
      <c r="I264" s="376"/>
      <c r="J264" s="376"/>
      <c r="K264" s="376"/>
      <c r="L264" s="376"/>
      <c r="M264" s="376"/>
      <c r="N264" s="376"/>
      <c r="O264" s="376"/>
      <c r="P264" s="376"/>
      <c r="Q264" s="376"/>
      <c r="R264" s="376"/>
    </row>
    <row r="265" spans="1:18" x14ac:dyDescent="0.25">
      <c r="A265" s="376"/>
      <c r="B265" s="376"/>
      <c r="C265" s="376"/>
      <c r="D265" s="376"/>
      <c r="E265" s="376"/>
      <c r="F265" s="376"/>
      <c r="G265" s="376"/>
      <c r="H265" s="376"/>
      <c r="I265" s="376"/>
      <c r="J265" s="376"/>
      <c r="K265" s="376"/>
      <c r="L265" s="376"/>
      <c r="M265" s="376"/>
      <c r="N265" s="376"/>
      <c r="O265" s="376"/>
      <c r="P265" s="376"/>
      <c r="Q265" s="376"/>
      <c r="R265" s="376"/>
    </row>
    <row r="266" spans="1:18" x14ac:dyDescent="0.25">
      <c r="A266" s="376"/>
      <c r="B266" s="376"/>
      <c r="C266" s="376"/>
      <c r="D266" s="376"/>
      <c r="E266" s="376"/>
      <c r="F266" s="376"/>
      <c r="G266" s="376"/>
      <c r="H266" s="376"/>
      <c r="I266" s="376"/>
      <c r="J266" s="376"/>
      <c r="K266" s="376"/>
      <c r="L266" s="376"/>
      <c r="M266" s="376"/>
      <c r="N266" s="376"/>
      <c r="O266" s="376"/>
      <c r="P266" s="376"/>
      <c r="Q266" s="376"/>
      <c r="R266" s="376"/>
    </row>
    <row r="267" spans="1:18" x14ac:dyDescent="0.25">
      <c r="A267" s="376"/>
      <c r="B267" s="376"/>
      <c r="C267" s="376"/>
      <c r="D267" s="376"/>
      <c r="E267" s="376"/>
      <c r="F267" s="376"/>
      <c r="G267" s="376"/>
      <c r="H267" s="376"/>
      <c r="I267" s="376"/>
      <c r="J267" s="376"/>
      <c r="K267" s="376"/>
      <c r="L267" s="376"/>
      <c r="M267" s="376"/>
      <c r="N267" s="376"/>
      <c r="O267" s="376"/>
      <c r="P267" s="376"/>
      <c r="Q267" s="376"/>
      <c r="R267" s="376"/>
    </row>
    <row r="268" spans="1:18" x14ac:dyDescent="0.25">
      <c r="A268" s="376"/>
      <c r="B268" s="376"/>
      <c r="C268" s="376"/>
      <c r="D268" s="376"/>
      <c r="E268" s="376"/>
      <c r="F268" s="376"/>
      <c r="G268" s="376"/>
      <c r="H268" s="376"/>
      <c r="I268" s="376"/>
      <c r="J268" s="376"/>
      <c r="K268" s="376"/>
      <c r="L268" s="376"/>
      <c r="M268" s="376"/>
      <c r="N268" s="376"/>
      <c r="O268" s="376"/>
      <c r="P268" s="376"/>
      <c r="Q268" s="376"/>
      <c r="R268" s="376"/>
    </row>
    <row r="269" spans="1:18" x14ac:dyDescent="0.25">
      <c r="A269" s="376"/>
      <c r="B269" s="376"/>
      <c r="C269" s="376"/>
      <c r="D269" s="376"/>
      <c r="E269" s="376"/>
      <c r="F269" s="376"/>
      <c r="G269" s="376"/>
      <c r="H269" s="376"/>
      <c r="I269" s="376"/>
      <c r="J269" s="376"/>
      <c r="K269" s="376"/>
      <c r="L269" s="376"/>
      <c r="M269" s="376"/>
      <c r="N269" s="376"/>
      <c r="O269" s="376"/>
      <c r="P269" s="376"/>
      <c r="Q269" s="376"/>
      <c r="R269" s="376"/>
    </row>
    <row r="270" spans="1:18" x14ac:dyDescent="0.25">
      <c r="A270" s="376"/>
      <c r="B270" s="376"/>
      <c r="C270" s="376"/>
      <c r="D270" s="376"/>
      <c r="E270" s="376"/>
      <c r="F270" s="376"/>
      <c r="G270" s="376"/>
      <c r="H270" s="376"/>
      <c r="I270" s="376"/>
      <c r="J270" s="376"/>
      <c r="K270" s="376"/>
      <c r="L270" s="376"/>
      <c r="M270" s="376"/>
      <c r="N270" s="376"/>
      <c r="O270" s="376"/>
      <c r="P270" s="376"/>
      <c r="Q270" s="376"/>
      <c r="R270" s="376"/>
    </row>
    <row r="271" spans="1:18" x14ac:dyDescent="0.25">
      <c r="A271" s="376"/>
      <c r="B271" s="376"/>
      <c r="C271" s="376"/>
      <c r="D271" s="376"/>
      <c r="E271" s="376"/>
      <c r="F271" s="376"/>
      <c r="G271" s="376"/>
      <c r="H271" s="376"/>
      <c r="I271" s="376"/>
      <c r="J271" s="376"/>
      <c r="K271" s="376"/>
      <c r="L271" s="376"/>
      <c r="M271" s="376"/>
      <c r="N271" s="376"/>
      <c r="O271" s="376"/>
      <c r="P271" s="376"/>
      <c r="Q271" s="376"/>
      <c r="R271" s="376"/>
    </row>
    <row r="272" spans="1:18" x14ac:dyDescent="0.25">
      <c r="A272" s="376"/>
      <c r="B272" s="376"/>
      <c r="C272" s="376"/>
      <c r="D272" s="376"/>
      <c r="E272" s="376"/>
      <c r="F272" s="376"/>
      <c r="G272" s="376"/>
      <c r="H272" s="376"/>
      <c r="I272" s="376"/>
      <c r="J272" s="376"/>
      <c r="K272" s="376"/>
      <c r="L272" s="376"/>
      <c r="M272" s="376"/>
      <c r="N272" s="376"/>
      <c r="O272" s="376"/>
      <c r="P272" s="376"/>
      <c r="Q272" s="376"/>
      <c r="R272" s="376"/>
    </row>
    <row r="273" spans="1:18" x14ac:dyDescent="0.25">
      <c r="A273" s="376"/>
      <c r="B273" s="376"/>
      <c r="C273" s="376"/>
      <c r="D273" s="376"/>
      <c r="E273" s="376"/>
      <c r="F273" s="376"/>
      <c r="G273" s="376"/>
      <c r="H273" s="376"/>
      <c r="I273" s="376"/>
      <c r="J273" s="376"/>
      <c r="K273" s="376"/>
      <c r="L273" s="376"/>
      <c r="M273" s="376"/>
      <c r="N273" s="376"/>
      <c r="O273" s="376"/>
      <c r="P273" s="376"/>
      <c r="Q273" s="376"/>
      <c r="R273" s="376"/>
    </row>
    <row r="274" spans="1:18" x14ac:dyDescent="0.25">
      <c r="A274" s="376"/>
      <c r="B274" s="376"/>
      <c r="C274" s="376"/>
      <c r="D274" s="376"/>
      <c r="E274" s="376"/>
      <c r="F274" s="376"/>
      <c r="G274" s="376"/>
      <c r="H274" s="376"/>
      <c r="I274" s="376"/>
      <c r="J274" s="376"/>
      <c r="K274" s="376"/>
      <c r="L274" s="376"/>
      <c r="M274" s="376"/>
      <c r="N274" s="376"/>
      <c r="O274" s="376"/>
      <c r="P274" s="376"/>
      <c r="Q274" s="376"/>
      <c r="R274" s="376"/>
    </row>
    <row r="275" spans="1:18" x14ac:dyDescent="0.25">
      <c r="A275" s="376"/>
      <c r="B275" s="376"/>
      <c r="C275" s="376"/>
      <c r="D275" s="376"/>
      <c r="E275" s="376"/>
      <c r="F275" s="376"/>
      <c r="G275" s="376"/>
      <c r="H275" s="376"/>
      <c r="I275" s="376"/>
      <c r="J275" s="376"/>
      <c r="K275" s="376"/>
      <c r="L275" s="376"/>
      <c r="M275" s="376"/>
      <c r="N275" s="376"/>
      <c r="O275" s="376"/>
      <c r="P275" s="376"/>
      <c r="Q275" s="376"/>
      <c r="R275" s="376"/>
    </row>
    <row r="276" spans="1:18" x14ac:dyDescent="0.25">
      <c r="A276" s="376"/>
      <c r="B276" s="376"/>
      <c r="C276" s="376"/>
      <c r="D276" s="376"/>
      <c r="E276" s="376"/>
      <c r="F276" s="376"/>
      <c r="G276" s="376"/>
      <c r="H276" s="376"/>
      <c r="I276" s="376"/>
      <c r="J276" s="376"/>
      <c r="K276" s="376"/>
      <c r="L276" s="376"/>
      <c r="M276" s="376"/>
      <c r="N276" s="376"/>
      <c r="O276" s="376"/>
      <c r="P276" s="376"/>
      <c r="Q276" s="376"/>
      <c r="R276" s="376"/>
    </row>
    <row r="277" spans="1:18" x14ac:dyDescent="0.25">
      <c r="A277" s="376"/>
      <c r="B277" s="376"/>
      <c r="C277" s="376"/>
      <c r="D277" s="376"/>
      <c r="E277" s="376"/>
      <c r="F277" s="376"/>
      <c r="G277" s="376"/>
      <c r="H277" s="376"/>
      <c r="I277" s="376"/>
      <c r="J277" s="376"/>
      <c r="K277" s="376"/>
      <c r="L277" s="376"/>
      <c r="M277" s="376"/>
      <c r="N277" s="376"/>
      <c r="O277" s="376"/>
      <c r="P277" s="376"/>
      <c r="Q277" s="376"/>
      <c r="R277" s="376"/>
    </row>
    <row r="278" spans="1:18" x14ac:dyDescent="0.25">
      <c r="A278" s="376"/>
      <c r="B278" s="376"/>
      <c r="C278" s="376"/>
      <c r="D278" s="376"/>
      <c r="E278" s="376"/>
      <c r="F278" s="376"/>
      <c r="G278" s="376"/>
      <c r="H278" s="376"/>
      <c r="I278" s="376"/>
      <c r="J278" s="376"/>
      <c r="K278" s="376"/>
      <c r="L278" s="376"/>
      <c r="M278" s="376"/>
      <c r="N278" s="376"/>
      <c r="O278" s="376"/>
      <c r="P278" s="376"/>
      <c r="Q278" s="376"/>
      <c r="R278" s="376"/>
    </row>
    <row r="279" spans="1:18" x14ac:dyDescent="0.25">
      <c r="A279" s="376"/>
      <c r="B279" s="376"/>
      <c r="C279" s="376"/>
      <c r="D279" s="376"/>
      <c r="E279" s="376"/>
      <c r="F279" s="376"/>
      <c r="G279" s="376"/>
      <c r="H279" s="376"/>
      <c r="I279" s="376"/>
      <c r="J279" s="376"/>
      <c r="K279" s="376"/>
      <c r="L279" s="376"/>
      <c r="M279" s="376"/>
      <c r="N279" s="376"/>
      <c r="O279" s="376"/>
      <c r="P279" s="376"/>
      <c r="Q279" s="376"/>
      <c r="R279" s="376"/>
    </row>
    <row r="280" spans="1:18" x14ac:dyDescent="0.25">
      <c r="A280" s="376"/>
      <c r="B280" s="376"/>
      <c r="C280" s="376"/>
      <c r="D280" s="376"/>
      <c r="E280" s="376"/>
      <c r="F280" s="376"/>
      <c r="G280" s="376"/>
      <c r="H280" s="376"/>
      <c r="I280" s="376"/>
      <c r="J280" s="376"/>
      <c r="K280" s="376"/>
      <c r="L280" s="376"/>
      <c r="M280" s="376"/>
      <c r="N280" s="376"/>
      <c r="O280" s="376"/>
      <c r="P280" s="376"/>
      <c r="Q280" s="376"/>
      <c r="R280" s="376"/>
    </row>
    <row r="281" spans="1:18" x14ac:dyDescent="0.25">
      <c r="A281" s="376"/>
      <c r="B281" s="376"/>
      <c r="C281" s="376"/>
      <c r="D281" s="376"/>
      <c r="E281" s="376"/>
      <c r="F281" s="376"/>
      <c r="G281" s="376"/>
      <c r="H281" s="376"/>
      <c r="I281" s="376"/>
      <c r="J281" s="376"/>
      <c r="K281" s="376"/>
      <c r="L281" s="376"/>
      <c r="M281" s="376"/>
      <c r="N281" s="376"/>
      <c r="O281" s="376"/>
      <c r="P281" s="376"/>
      <c r="Q281" s="376"/>
      <c r="R281" s="376"/>
    </row>
    <row r="282" spans="1:18" x14ac:dyDescent="0.25">
      <c r="A282" s="376"/>
      <c r="B282" s="376"/>
      <c r="C282" s="376"/>
      <c r="D282" s="376"/>
      <c r="E282" s="376"/>
      <c r="F282" s="376"/>
      <c r="G282" s="376"/>
      <c r="H282" s="376"/>
      <c r="I282" s="376"/>
      <c r="J282" s="376"/>
      <c r="K282" s="376"/>
      <c r="L282" s="376"/>
      <c r="M282" s="376"/>
      <c r="N282" s="376"/>
      <c r="O282" s="376"/>
      <c r="P282" s="376"/>
      <c r="Q282" s="376"/>
      <c r="R282" s="376"/>
    </row>
    <row r="283" spans="1:18" x14ac:dyDescent="0.25">
      <c r="A283" s="376"/>
      <c r="B283" s="376"/>
      <c r="C283" s="376"/>
      <c r="D283" s="376"/>
      <c r="E283" s="376"/>
      <c r="F283" s="376"/>
      <c r="G283" s="376"/>
      <c r="H283" s="376"/>
      <c r="I283" s="376"/>
      <c r="J283" s="376"/>
      <c r="K283" s="376"/>
      <c r="L283" s="376"/>
      <c r="M283" s="376"/>
      <c r="N283" s="376"/>
      <c r="O283" s="376"/>
      <c r="P283" s="376"/>
      <c r="Q283" s="376"/>
      <c r="R283" s="376"/>
    </row>
    <row r="284" spans="1:18" x14ac:dyDescent="0.25">
      <c r="A284" s="376"/>
      <c r="B284" s="376"/>
      <c r="C284" s="376"/>
      <c r="D284" s="376"/>
      <c r="E284" s="376"/>
      <c r="F284" s="376"/>
      <c r="G284" s="376"/>
      <c r="H284" s="376"/>
      <c r="I284" s="376"/>
      <c r="J284" s="376"/>
      <c r="K284" s="376"/>
      <c r="L284" s="376"/>
      <c r="M284" s="376"/>
      <c r="N284" s="376"/>
      <c r="O284" s="376"/>
      <c r="P284" s="376"/>
      <c r="Q284" s="376"/>
      <c r="R284" s="376"/>
    </row>
    <row r="285" spans="1:18" x14ac:dyDescent="0.25">
      <c r="A285" s="376"/>
      <c r="B285" s="376"/>
      <c r="C285" s="376"/>
      <c r="D285" s="376"/>
      <c r="E285" s="376"/>
      <c r="F285" s="376"/>
      <c r="G285" s="376"/>
      <c r="H285" s="376"/>
      <c r="I285" s="376"/>
      <c r="J285" s="376"/>
      <c r="K285" s="376"/>
      <c r="L285" s="376"/>
      <c r="M285" s="376"/>
      <c r="N285" s="376"/>
      <c r="O285" s="376"/>
      <c r="P285" s="376"/>
      <c r="Q285" s="376"/>
      <c r="R285" s="376"/>
    </row>
    <row r="286" spans="1:18" x14ac:dyDescent="0.25">
      <c r="A286" s="376"/>
      <c r="B286" s="376"/>
      <c r="C286" s="376"/>
      <c r="D286" s="376"/>
      <c r="E286" s="376"/>
      <c r="F286" s="376"/>
      <c r="G286" s="376"/>
      <c r="H286" s="376"/>
      <c r="I286" s="376"/>
      <c r="J286" s="376"/>
      <c r="K286" s="376"/>
      <c r="L286" s="376"/>
      <c r="M286" s="376"/>
      <c r="N286" s="376"/>
      <c r="O286" s="376"/>
      <c r="P286" s="376"/>
      <c r="Q286" s="376"/>
      <c r="R286" s="376"/>
    </row>
    <row r="287" spans="1:18" x14ac:dyDescent="0.25">
      <c r="A287" s="376"/>
      <c r="B287" s="376"/>
      <c r="C287" s="376"/>
      <c r="D287" s="376"/>
      <c r="E287" s="376"/>
      <c r="F287" s="376"/>
      <c r="G287" s="376"/>
      <c r="H287" s="376"/>
      <c r="I287" s="376"/>
      <c r="J287" s="376"/>
      <c r="K287" s="376"/>
      <c r="L287" s="376"/>
      <c r="M287" s="376"/>
      <c r="N287" s="376"/>
      <c r="O287" s="376"/>
      <c r="P287" s="376"/>
      <c r="Q287" s="376"/>
      <c r="R287" s="376"/>
    </row>
    <row r="288" spans="1:18" x14ac:dyDescent="0.25">
      <c r="A288" s="376"/>
      <c r="B288" s="376"/>
      <c r="C288" s="376"/>
      <c r="D288" s="376"/>
      <c r="E288" s="376"/>
      <c r="F288" s="376"/>
      <c r="G288" s="376"/>
      <c r="H288" s="376"/>
      <c r="I288" s="376"/>
      <c r="J288" s="376"/>
      <c r="K288" s="376"/>
      <c r="L288" s="376"/>
      <c r="M288" s="376"/>
      <c r="N288" s="376"/>
      <c r="O288" s="376"/>
      <c r="P288" s="376"/>
      <c r="Q288" s="376"/>
      <c r="R288" s="376"/>
    </row>
    <row r="289" spans="1:18" x14ac:dyDescent="0.25">
      <c r="A289" s="376"/>
      <c r="B289" s="376"/>
      <c r="C289" s="376"/>
      <c r="D289" s="376"/>
      <c r="E289" s="376"/>
      <c r="F289" s="376"/>
      <c r="G289" s="376"/>
      <c r="H289" s="376"/>
      <c r="I289" s="376"/>
      <c r="J289" s="376"/>
      <c r="K289" s="376"/>
      <c r="L289" s="376"/>
      <c r="M289" s="376"/>
      <c r="N289" s="376"/>
      <c r="O289" s="376"/>
      <c r="P289" s="376"/>
      <c r="Q289" s="376"/>
      <c r="R289" s="376"/>
    </row>
  </sheetData>
  <mergeCells count="7">
    <mergeCell ref="I14:J14"/>
    <mergeCell ref="K14:L14"/>
    <mergeCell ref="I11:J11"/>
    <mergeCell ref="I12:J12"/>
    <mergeCell ref="K12:L12"/>
    <mergeCell ref="I13:J13"/>
    <mergeCell ref="K13:L13"/>
  </mergeCells>
  <conditionalFormatting sqref="I40:P46">
    <cfRule type="dataBar" priority="2">
      <dataBar>
        <cfvo type="min"/>
        <cfvo type="max"/>
        <color theme="4" tint="0.59999389629810485"/>
      </dataBar>
    </cfRule>
  </conditionalFormatting>
  <conditionalFormatting sqref="I47:P47">
    <cfRule type="colorScale" priority="1">
      <colorScale>
        <cfvo type="min"/>
        <cfvo type="max"/>
        <color rgb="FFFFEF9C"/>
        <color rgb="FF63BE7B"/>
      </colorScale>
    </cfRule>
  </conditionalFormatting>
  <conditionalFormatting sqref="E12:E14">
    <cfRule type="iconSet" priority="3">
      <iconSet iconSet="3Arrows" showValue="0">
        <cfvo type="percent" val="0"/>
        <cfvo type="num" val="0"/>
        <cfvo type="num" val="0"/>
      </iconSet>
    </cfRule>
  </conditionalFormatting>
  <conditionalFormatting sqref="E12:E14">
    <cfRule type="iconSet" priority="4">
      <iconSet iconSet="3Arrows" showValue="0">
        <cfvo type="percent" val="0"/>
        <cfvo type="percent" val="33"/>
        <cfvo type="percent" val="67"/>
      </iconSet>
    </cfRule>
  </conditionalFormatting>
  <dataValidations count="2">
    <dataValidation type="list" allowBlank="1" showInputMessage="1" showErrorMessage="1" sqref="B58">
      <formula1>inter_prov</formula1>
    </dataValidation>
    <dataValidation allowBlank="1" showInputMessage="1" showErrorMessage="1" prompt="This includes data on purchases from non-NHS bodies as reported in the financial return" sqref="B66"/>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42689" r:id="rId4" name="Check Box 1">
              <controlPr defaultSize="0" autoFill="0" autoLine="0" autoPict="0">
                <anchor moveWithCells="1">
                  <from>
                    <xdr:col>0</xdr:col>
                    <xdr:colOff>571500</xdr:colOff>
                    <xdr:row>14</xdr:row>
                    <xdr:rowOff>180975</xdr:rowOff>
                  </from>
                  <to>
                    <xdr:col>1</xdr:col>
                    <xdr:colOff>1009650</xdr:colOff>
                    <xdr:row>15</xdr:row>
                    <xdr:rowOff>114300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4:L98"/>
  <sheetViews>
    <sheetView showGridLines="0" showRowColHeaders="0" topLeftCell="A46" zoomScale="60" zoomScaleNormal="60" workbookViewId="0">
      <selection activeCell="F82" sqref="F82"/>
    </sheetView>
  </sheetViews>
  <sheetFormatPr defaultRowHeight="15" x14ac:dyDescent="0.25"/>
  <cols>
    <col min="4" max="4" width="23.7109375" customWidth="1"/>
    <col min="5" max="5" width="38.42578125" bestFit="1" customWidth="1"/>
    <col min="6" max="6" width="35.140625" customWidth="1"/>
    <col min="7" max="7" width="31.85546875" bestFit="1" customWidth="1"/>
    <col min="8" max="8" width="32.5703125" bestFit="1" customWidth="1"/>
    <col min="9" max="10" width="23.7109375" bestFit="1" customWidth="1"/>
  </cols>
  <sheetData>
    <row r="4" spans="3:10" ht="59.25" x14ac:dyDescent="0.75">
      <c r="D4" s="4" t="s">
        <v>111</v>
      </c>
    </row>
    <row r="5" spans="3:10" ht="59.25" x14ac:dyDescent="0.75">
      <c r="D5" s="4"/>
    </row>
    <row r="6" spans="3:10" ht="23.25" thickBot="1" x14ac:dyDescent="0.35">
      <c r="D6" s="11" t="s">
        <v>112</v>
      </c>
      <c r="E6" s="11"/>
      <c r="F6" s="11"/>
      <c r="G6" s="11"/>
      <c r="H6" s="11"/>
      <c r="I6" s="11"/>
      <c r="J6" s="11"/>
    </row>
    <row r="7" spans="3:10" ht="22.5" x14ac:dyDescent="0.3">
      <c r="D7" s="53" t="s">
        <v>1</v>
      </c>
      <c r="E7" s="54" t="s">
        <v>2</v>
      </c>
      <c r="F7" s="55" t="s">
        <v>3</v>
      </c>
      <c r="G7" s="11"/>
      <c r="H7" s="11"/>
      <c r="I7" s="11"/>
      <c r="J7" s="11"/>
    </row>
    <row r="8" spans="3:10" ht="22.5" x14ac:dyDescent="0.3">
      <c r="D8" s="56" t="s">
        <v>4</v>
      </c>
      <c r="E8" s="57">
        <v>967045</v>
      </c>
      <c r="F8" s="58">
        <v>30012266041</v>
      </c>
      <c r="G8" s="11"/>
      <c r="H8" s="11"/>
      <c r="I8" s="11"/>
      <c r="J8" s="11"/>
    </row>
    <row r="9" spans="3:10" ht="23.25" x14ac:dyDescent="0.35">
      <c r="C9" s="10"/>
      <c r="D9" s="56" t="s">
        <v>5</v>
      </c>
      <c r="E9" s="57">
        <v>1001315</v>
      </c>
      <c r="F9" s="58">
        <v>32569007468</v>
      </c>
      <c r="G9" s="11"/>
      <c r="H9" s="11"/>
      <c r="I9" s="11"/>
      <c r="J9" s="11"/>
    </row>
    <row r="10" spans="3:10" ht="23.25" x14ac:dyDescent="0.35">
      <c r="C10" s="10"/>
      <c r="D10" s="56" t="s">
        <v>6</v>
      </c>
      <c r="E10" s="57">
        <v>1049595</v>
      </c>
      <c r="F10" s="58">
        <v>34877267165</v>
      </c>
      <c r="G10" s="11"/>
      <c r="H10" s="11"/>
      <c r="I10" s="11"/>
      <c r="J10" s="11"/>
    </row>
    <row r="11" spans="3:10" ht="24" thickBot="1" x14ac:dyDescent="0.4">
      <c r="C11" s="10"/>
      <c r="D11" s="59" t="s">
        <v>7</v>
      </c>
      <c r="E11" s="60">
        <v>1088088</v>
      </c>
      <c r="F11" s="61">
        <v>36952042490</v>
      </c>
      <c r="G11" s="11"/>
      <c r="H11" s="11"/>
      <c r="I11" s="11"/>
      <c r="J11" s="11"/>
    </row>
    <row r="12" spans="3:10" ht="23.25" x14ac:dyDescent="0.35">
      <c r="C12" s="10"/>
      <c r="D12" s="19"/>
      <c r="E12" s="19"/>
      <c r="F12" s="19"/>
      <c r="G12" s="11"/>
      <c r="H12" s="11"/>
      <c r="I12" s="11"/>
      <c r="J12" s="11"/>
    </row>
    <row r="13" spans="3:10" ht="24" customHeight="1" thickBot="1" x14ac:dyDescent="0.4">
      <c r="C13" s="10"/>
      <c r="D13" s="1901" t="s">
        <v>8</v>
      </c>
      <c r="E13" s="1901"/>
      <c r="F13" s="1901"/>
      <c r="G13" s="1901"/>
      <c r="H13" s="1901"/>
      <c r="I13" s="1901"/>
      <c r="J13" s="1901"/>
    </row>
    <row r="14" spans="3:10" ht="67.5" x14ac:dyDescent="0.35">
      <c r="C14" s="10"/>
      <c r="D14" s="14" t="s">
        <v>1</v>
      </c>
      <c r="E14" s="15" t="s">
        <v>9</v>
      </c>
      <c r="F14" s="15" t="s">
        <v>113</v>
      </c>
      <c r="G14" s="15" t="s">
        <v>11</v>
      </c>
      <c r="H14" s="15" t="s">
        <v>12</v>
      </c>
      <c r="I14" s="15" t="s">
        <v>13</v>
      </c>
      <c r="J14" s="16" t="s">
        <v>14</v>
      </c>
    </row>
    <row r="15" spans="3:10" ht="22.5" x14ac:dyDescent="0.25">
      <c r="D15" s="17" t="s">
        <v>15</v>
      </c>
      <c r="E15" s="62">
        <v>1.0402</v>
      </c>
      <c r="F15" s="62">
        <v>1.0397000000000001</v>
      </c>
      <c r="G15" s="62">
        <v>1.04</v>
      </c>
      <c r="H15" s="62">
        <v>1.0437000000000001</v>
      </c>
      <c r="I15" s="62">
        <v>1.0431999999999999</v>
      </c>
      <c r="J15" s="63">
        <v>1.0435000000000001</v>
      </c>
    </row>
    <row r="16" spans="3:10" ht="22.5" x14ac:dyDescent="0.25">
      <c r="D16" s="17" t="s">
        <v>16</v>
      </c>
      <c r="E16" s="62">
        <v>1.024</v>
      </c>
      <c r="F16" s="62">
        <v>1.024</v>
      </c>
      <c r="G16" s="62">
        <v>1.024</v>
      </c>
      <c r="H16" s="62">
        <v>1.0458000000000001</v>
      </c>
      <c r="I16" s="62">
        <v>1.0458000000000001</v>
      </c>
      <c r="J16" s="63">
        <v>1.0458000000000001</v>
      </c>
    </row>
    <row r="17" spans="1:11" ht="23.25" thickBot="1" x14ac:dyDescent="0.3">
      <c r="D17" s="18" t="s">
        <v>17</v>
      </c>
      <c r="E17" s="64">
        <v>1.0230999999999999</v>
      </c>
      <c r="F17" s="64">
        <v>1.0228999999999999</v>
      </c>
      <c r="G17" s="64">
        <v>1.0229999999999999</v>
      </c>
      <c r="H17" s="64">
        <v>1.0358000000000001</v>
      </c>
      <c r="I17" s="64">
        <v>1.0356000000000001</v>
      </c>
      <c r="J17" s="65">
        <v>1.0357000000000001</v>
      </c>
    </row>
    <row r="18" spans="1:11" ht="22.5" x14ac:dyDescent="0.25">
      <c r="D18" s="66"/>
      <c r="E18" s="66"/>
      <c r="F18" s="66"/>
      <c r="G18" s="66"/>
      <c r="H18" s="66"/>
      <c r="I18" s="66"/>
      <c r="J18" s="66"/>
    </row>
    <row r="19" spans="1:11" ht="22.5" x14ac:dyDescent="0.25">
      <c r="D19" s="66"/>
      <c r="E19" s="66"/>
      <c r="F19" s="66"/>
      <c r="G19" s="66"/>
      <c r="H19" s="66"/>
      <c r="I19" s="66"/>
      <c r="J19" s="66"/>
    </row>
    <row r="20" spans="1:11" ht="23.25" thickBot="1" x14ac:dyDescent="0.3">
      <c r="D20" s="1902" t="s">
        <v>18</v>
      </c>
      <c r="E20" s="1902"/>
      <c r="F20" s="1902"/>
      <c r="G20" s="1902"/>
      <c r="H20" s="1902"/>
      <c r="I20" s="1902"/>
      <c r="J20" s="1902"/>
    </row>
    <row r="21" spans="1:11" ht="45" x14ac:dyDescent="0.25">
      <c r="D21" s="14" t="s">
        <v>1</v>
      </c>
      <c r="E21" s="15" t="s">
        <v>19</v>
      </c>
      <c r="F21" s="15" t="s">
        <v>20</v>
      </c>
      <c r="G21" s="15" t="s">
        <v>21</v>
      </c>
      <c r="H21" s="15" t="s">
        <v>22</v>
      </c>
      <c r="I21" s="15" t="s">
        <v>23</v>
      </c>
      <c r="J21" s="16" t="s">
        <v>24</v>
      </c>
    </row>
    <row r="22" spans="1:11" ht="22.5" x14ac:dyDescent="0.25">
      <c r="D22" s="17" t="s">
        <v>5</v>
      </c>
      <c r="E22" s="45">
        <v>4.0239999999999998E-2</v>
      </c>
      <c r="F22" s="45">
        <v>3.9739999999999998E-2</v>
      </c>
      <c r="G22" s="45">
        <v>3.9989999999999998E-2</v>
      </c>
      <c r="H22" s="45">
        <v>4.3709999999999999E-2</v>
      </c>
      <c r="I22" s="45">
        <v>4.3209999999999998E-2</v>
      </c>
      <c r="J22" s="46">
        <v>4.3459999999999999E-2</v>
      </c>
    </row>
    <row r="23" spans="1:11" ht="22.5" x14ac:dyDescent="0.25">
      <c r="D23" s="17" t="s">
        <v>6</v>
      </c>
      <c r="E23" s="45">
        <v>2.3990000000000001E-2</v>
      </c>
      <c r="F23" s="45">
        <v>2.3990000000000001E-2</v>
      </c>
      <c r="G23" s="45">
        <v>2.3990000000000001E-2</v>
      </c>
      <c r="H23" s="45">
        <v>4.5789999999999997E-2</v>
      </c>
      <c r="I23" s="45">
        <v>4.5780000000000001E-2</v>
      </c>
      <c r="J23" s="46">
        <v>4.5780000000000001E-2</v>
      </c>
    </row>
    <row r="24" spans="1:11" ht="23.25" thickBot="1" x14ac:dyDescent="0.3">
      <c r="D24" s="18" t="s">
        <v>7</v>
      </c>
      <c r="E24" s="48">
        <v>2.3050000000000001E-2</v>
      </c>
      <c r="F24" s="48">
        <v>2.29E-2</v>
      </c>
      <c r="G24" s="48">
        <v>2.2970000000000001E-2</v>
      </c>
      <c r="H24" s="48">
        <v>3.5770000000000003E-2</v>
      </c>
      <c r="I24" s="48">
        <v>3.5619999999999999E-2</v>
      </c>
      <c r="J24" s="49">
        <v>3.569E-2</v>
      </c>
    </row>
    <row r="25" spans="1:11" ht="22.5" x14ac:dyDescent="0.25">
      <c r="D25" s="66"/>
      <c r="E25" s="67"/>
      <c r="F25" s="67"/>
      <c r="G25" s="67"/>
      <c r="H25" s="67"/>
      <c r="I25" s="67"/>
      <c r="J25" s="67"/>
    </row>
    <row r="26" spans="1:11" ht="22.5" x14ac:dyDescent="0.25">
      <c r="A26" s="5"/>
      <c r="B26" s="5"/>
      <c r="C26" s="5"/>
      <c r="D26" s="66"/>
      <c r="E26" s="67"/>
      <c r="F26" s="67"/>
      <c r="G26" s="67"/>
      <c r="H26" s="67"/>
      <c r="I26" s="67"/>
      <c r="J26" s="67"/>
      <c r="K26" s="5"/>
    </row>
    <row r="27" spans="1:11" ht="22.5" x14ac:dyDescent="0.25">
      <c r="A27" s="5"/>
      <c r="B27" s="5"/>
      <c r="C27" s="5"/>
      <c r="D27" s="66"/>
      <c r="E27" s="67"/>
      <c r="F27" s="67"/>
      <c r="G27" s="67"/>
      <c r="H27" s="67"/>
      <c r="I27" s="67"/>
      <c r="J27" s="67"/>
      <c r="K27" s="5"/>
    </row>
    <row r="28" spans="1:11" ht="23.25" thickBot="1" x14ac:dyDescent="0.3">
      <c r="D28" s="1902" t="s">
        <v>25</v>
      </c>
      <c r="E28" s="1902"/>
      <c r="F28" s="1902"/>
      <c r="G28" s="1902"/>
      <c r="H28" s="1902"/>
      <c r="I28" s="1902"/>
      <c r="J28" s="1902"/>
      <c r="K28" s="5"/>
    </row>
    <row r="29" spans="1:11" ht="67.5" x14ac:dyDescent="0.25">
      <c r="D29" s="14" t="s">
        <v>1</v>
      </c>
      <c r="E29" s="15" t="s">
        <v>26</v>
      </c>
      <c r="F29" s="15" t="s">
        <v>27</v>
      </c>
      <c r="G29" s="15" t="s">
        <v>28</v>
      </c>
      <c r="H29" s="15" t="s">
        <v>29</v>
      </c>
      <c r="I29" s="15" t="s">
        <v>30</v>
      </c>
      <c r="J29" s="16" t="s">
        <v>31</v>
      </c>
      <c r="K29" s="5"/>
    </row>
    <row r="30" spans="1:11" ht="22.5" x14ac:dyDescent="0.25">
      <c r="D30" s="17" t="s">
        <v>5</v>
      </c>
      <c r="E30" s="62">
        <v>0.9546</v>
      </c>
      <c r="F30" s="62">
        <v>0.95469999999999999</v>
      </c>
      <c r="G30" s="62">
        <v>0.9546</v>
      </c>
      <c r="H30" s="62">
        <v>0.92320000000000002</v>
      </c>
      <c r="I30" s="62">
        <v>0.92330000000000001</v>
      </c>
      <c r="J30" s="63">
        <v>0.92330000000000001</v>
      </c>
      <c r="K30" s="5"/>
    </row>
    <row r="31" spans="1:11" ht="22.5" x14ac:dyDescent="0.25">
      <c r="D31" s="17" t="s">
        <v>6</v>
      </c>
      <c r="E31" s="62">
        <v>0.97750000000000004</v>
      </c>
      <c r="F31" s="62">
        <v>0.97760000000000002</v>
      </c>
      <c r="G31" s="62">
        <v>0.97750000000000004</v>
      </c>
      <c r="H31" s="62">
        <v>0.96550000000000002</v>
      </c>
      <c r="I31" s="62">
        <v>0.96560000000000001</v>
      </c>
      <c r="J31" s="63">
        <v>0.96550000000000002</v>
      </c>
    </row>
    <row r="32" spans="1:11" ht="23.25" thickBot="1" x14ac:dyDescent="0.3">
      <c r="D32" s="18" t="s">
        <v>7</v>
      </c>
      <c r="E32" s="64">
        <v>1</v>
      </c>
      <c r="F32" s="64">
        <v>1</v>
      </c>
      <c r="G32" s="64">
        <v>1</v>
      </c>
      <c r="H32" s="64">
        <v>1</v>
      </c>
      <c r="I32" s="64">
        <v>1</v>
      </c>
      <c r="J32" s="65">
        <v>1</v>
      </c>
    </row>
    <row r="33" spans="1:10" ht="22.5" x14ac:dyDescent="0.3">
      <c r="D33" s="11"/>
      <c r="E33" s="11"/>
      <c r="F33" s="11"/>
      <c r="G33" s="11"/>
      <c r="H33" s="11"/>
      <c r="I33" s="11"/>
      <c r="J33" s="11"/>
    </row>
    <row r="34" spans="1:10" ht="22.5" x14ac:dyDescent="0.3">
      <c r="A34" s="5"/>
      <c r="B34" s="5"/>
      <c r="C34" s="5"/>
      <c r="D34" s="68"/>
      <c r="E34" s="68"/>
      <c r="F34" s="68"/>
      <c r="G34" s="68"/>
      <c r="H34" s="68"/>
      <c r="I34" s="11"/>
      <c r="J34" s="11"/>
    </row>
    <row r="35" spans="1:10" ht="23.25" thickBot="1" x14ac:dyDescent="0.35">
      <c r="D35" s="1899" t="s">
        <v>135</v>
      </c>
      <c r="E35" s="1899"/>
      <c r="F35" s="1899"/>
      <c r="G35" s="1899"/>
      <c r="H35" s="11"/>
      <c r="I35" s="11"/>
      <c r="J35" s="11"/>
    </row>
    <row r="36" spans="1:10" ht="23.25" thickBot="1" x14ac:dyDescent="0.35">
      <c r="D36" s="69" t="s">
        <v>1</v>
      </c>
      <c r="E36" s="70" t="s">
        <v>32</v>
      </c>
      <c r="F36" s="70" t="s">
        <v>2</v>
      </c>
      <c r="G36" s="71" t="s">
        <v>3</v>
      </c>
      <c r="H36" s="11"/>
      <c r="I36" s="11" t="s">
        <v>114</v>
      </c>
      <c r="J36" s="11"/>
    </row>
    <row r="37" spans="1:10" ht="23.25" thickTop="1" x14ac:dyDescent="0.3">
      <c r="D37" s="72" t="s">
        <v>4</v>
      </c>
      <c r="E37" s="73">
        <v>0</v>
      </c>
      <c r="F37" s="74">
        <v>83123</v>
      </c>
      <c r="G37" s="75">
        <v>6369046052</v>
      </c>
      <c r="H37" s="68"/>
      <c r="I37" s="76" t="s">
        <v>124</v>
      </c>
      <c r="J37" s="11"/>
    </row>
    <row r="38" spans="1:10" ht="22.5" x14ac:dyDescent="0.3">
      <c r="D38" s="72"/>
      <c r="E38" s="73">
        <v>1</v>
      </c>
      <c r="F38" s="73">
        <v>709</v>
      </c>
      <c r="G38" s="75">
        <v>54798003</v>
      </c>
      <c r="H38" s="68"/>
      <c r="I38" s="76" t="s">
        <v>125</v>
      </c>
      <c r="J38" s="11"/>
    </row>
    <row r="39" spans="1:10" ht="22.5" x14ac:dyDescent="0.3">
      <c r="D39" s="72"/>
      <c r="E39" s="73">
        <v>2</v>
      </c>
      <c r="F39" s="73">
        <v>44</v>
      </c>
      <c r="G39" s="75">
        <v>3044002</v>
      </c>
      <c r="H39" s="68"/>
      <c r="I39" s="76" t="s">
        <v>128</v>
      </c>
      <c r="J39" s="11"/>
    </row>
    <row r="40" spans="1:10" ht="22.5" x14ac:dyDescent="0.3">
      <c r="D40" s="72"/>
      <c r="E40" s="73">
        <v>8</v>
      </c>
      <c r="F40" s="73">
        <v>350</v>
      </c>
      <c r="G40" s="75">
        <v>9555518</v>
      </c>
      <c r="H40" s="68"/>
      <c r="I40" s="76" t="s">
        <v>126</v>
      </c>
      <c r="J40" s="11"/>
    </row>
    <row r="41" spans="1:10" ht="22.5" x14ac:dyDescent="0.3">
      <c r="D41" s="72"/>
      <c r="E41" s="73">
        <v>9</v>
      </c>
      <c r="F41" s="74">
        <v>3744</v>
      </c>
      <c r="G41" s="75">
        <v>191341747</v>
      </c>
      <c r="H41" s="68"/>
      <c r="I41" s="76" t="s">
        <v>127</v>
      </c>
      <c r="J41" s="11"/>
    </row>
    <row r="42" spans="1:10" ht="22.5" x14ac:dyDescent="0.3">
      <c r="D42" s="72"/>
      <c r="E42" s="73" t="s">
        <v>33</v>
      </c>
      <c r="F42" s="74">
        <v>21149</v>
      </c>
      <c r="G42" s="75">
        <v>661263250</v>
      </c>
      <c r="H42" s="68"/>
      <c r="I42" s="76" t="s">
        <v>123</v>
      </c>
      <c r="J42" s="11"/>
    </row>
    <row r="43" spans="1:10" ht="22.5" x14ac:dyDescent="0.3">
      <c r="D43" s="72"/>
      <c r="E43" s="73" t="s">
        <v>34</v>
      </c>
      <c r="F43" s="74">
        <v>237815</v>
      </c>
      <c r="G43" s="75">
        <v>5979891621</v>
      </c>
      <c r="H43" s="68"/>
      <c r="I43" s="76" t="s">
        <v>122</v>
      </c>
      <c r="J43" s="11"/>
    </row>
    <row r="44" spans="1:10" ht="22.5" x14ac:dyDescent="0.3">
      <c r="D44" s="72"/>
      <c r="E44" s="73" t="s">
        <v>35</v>
      </c>
      <c r="F44" s="74">
        <v>101706</v>
      </c>
      <c r="G44" s="75">
        <v>1771958198</v>
      </c>
      <c r="H44" s="68"/>
      <c r="I44" s="76" t="s">
        <v>121</v>
      </c>
      <c r="J44" s="11"/>
    </row>
    <row r="45" spans="1:10" ht="22.5" x14ac:dyDescent="0.3">
      <c r="D45" s="72"/>
      <c r="E45" s="73" t="s">
        <v>36</v>
      </c>
      <c r="F45" s="74">
        <v>365279</v>
      </c>
      <c r="G45" s="75">
        <v>10412970392</v>
      </c>
      <c r="H45" s="68"/>
      <c r="I45" s="76" t="s">
        <v>116</v>
      </c>
      <c r="J45" s="11"/>
    </row>
    <row r="46" spans="1:10" ht="22.5" x14ac:dyDescent="0.3">
      <c r="D46" s="72"/>
      <c r="E46" s="73" t="s">
        <v>37</v>
      </c>
      <c r="F46" s="74">
        <v>3510</v>
      </c>
      <c r="G46" s="75">
        <v>62004295</v>
      </c>
      <c r="H46" s="68"/>
      <c r="I46" s="76" t="s">
        <v>115</v>
      </c>
      <c r="J46" s="11"/>
    </row>
    <row r="47" spans="1:10" ht="22.5" x14ac:dyDescent="0.3">
      <c r="D47" s="72"/>
      <c r="E47" s="73" t="s">
        <v>38</v>
      </c>
      <c r="F47" s="74">
        <v>106861</v>
      </c>
      <c r="G47" s="75">
        <v>3300935930</v>
      </c>
      <c r="H47" s="68"/>
      <c r="I47" s="76" t="s">
        <v>117</v>
      </c>
      <c r="J47" s="11"/>
    </row>
    <row r="48" spans="1:10" ht="22.5" x14ac:dyDescent="0.3">
      <c r="D48" s="72"/>
      <c r="E48" s="73" t="s">
        <v>39</v>
      </c>
      <c r="F48" s="74">
        <v>37884</v>
      </c>
      <c r="G48" s="75">
        <v>1149882837</v>
      </c>
      <c r="H48" s="68"/>
      <c r="I48" s="76" t="s">
        <v>118</v>
      </c>
      <c r="J48" s="11"/>
    </row>
    <row r="49" spans="4:12" ht="22.5" x14ac:dyDescent="0.3">
      <c r="D49" s="72"/>
      <c r="E49" s="73" t="s">
        <v>40</v>
      </c>
      <c r="F49" s="74">
        <v>1366</v>
      </c>
      <c r="G49" s="75">
        <v>45574196</v>
      </c>
      <c r="H49" s="68"/>
      <c r="I49" s="76" t="s">
        <v>120</v>
      </c>
      <c r="J49" s="11"/>
    </row>
    <row r="50" spans="4:12" ht="22.5" x14ac:dyDescent="0.3">
      <c r="D50" s="72"/>
      <c r="E50" s="73" t="s">
        <v>41</v>
      </c>
      <c r="F50" s="74">
        <v>3506</v>
      </c>
      <c r="G50" s="75">
        <v>0</v>
      </c>
      <c r="H50" s="68"/>
      <c r="I50" s="76" t="s">
        <v>119</v>
      </c>
      <c r="J50" s="11"/>
    </row>
    <row r="51" spans="4:12" ht="22.5" x14ac:dyDescent="0.3">
      <c r="D51" s="77"/>
      <c r="E51" s="78"/>
      <c r="F51" s="79"/>
      <c r="G51" s="80"/>
      <c r="H51" s="68"/>
      <c r="I51" s="11"/>
      <c r="J51" s="11"/>
    </row>
    <row r="52" spans="4:12" ht="22.5" x14ac:dyDescent="0.3">
      <c r="D52" s="72" t="s">
        <v>5</v>
      </c>
      <c r="E52" s="73">
        <v>0</v>
      </c>
      <c r="F52" s="74">
        <v>88849</v>
      </c>
      <c r="G52" s="75">
        <v>7046860173</v>
      </c>
      <c r="H52" s="68"/>
      <c r="I52" s="11"/>
      <c r="J52" s="11"/>
    </row>
    <row r="53" spans="4:12" ht="22.5" x14ac:dyDescent="0.3">
      <c r="D53" s="72"/>
      <c r="E53" s="73">
        <v>1</v>
      </c>
      <c r="F53" s="73">
        <v>588</v>
      </c>
      <c r="G53" s="75">
        <v>47971927</v>
      </c>
      <c r="H53" s="68"/>
      <c r="I53" s="11"/>
      <c r="J53" s="11"/>
    </row>
    <row r="54" spans="4:12" ht="22.5" x14ac:dyDescent="0.3">
      <c r="D54" s="72"/>
      <c r="E54" s="73">
        <v>2</v>
      </c>
      <c r="F54" s="73">
        <v>45</v>
      </c>
      <c r="G54" s="75">
        <v>3926625</v>
      </c>
      <c r="H54" s="68"/>
      <c r="I54" s="11"/>
      <c r="J54" s="11"/>
    </row>
    <row r="55" spans="4:12" ht="22.5" x14ac:dyDescent="0.3">
      <c r="D55" s="72"/>
      <c r="E55" s="73">
        <v>8</v>
      </c>
      <c r="F55" s="73">
        <v>647</v>
      </c>
      <c r="G55" s="75">
        <v>18349928</v>
      </c>
      <c r="H55" s="68"/>
      <c r="I55" s="11" t="s">
        <v>185</v>
      </c>
      <c r="J55" s="153">
        <v>72736.800000000003</v>
      </c>
      <c r="K55" s="154">
        <v>72444.2</v>
      </c>
      <c r="L55" s="154">
        <v>71817.399999999994</v>
      </c>
    </row>
    <row r="56" spans="4:12" ht="22.5" x14ac:dyDescent="0.3">
      <c r="D56" s="72"/>
      <c r="E56" s="73">
        <v>9</v>
      </c>
      <c r="F56" s="74">
        <v>3791</v>
      </c>
      <c r="G56" s="75">
        <v>280792031</v>
      </c>
      <c r="H56" s="68"/>
      <c r="I56" s="11" t="s">
        <v>186</v>
      </c>
      <c r="J56" s="153">
        <v>5562.3</v>
      </c>
      <c r="K56" s="154">
        <v>5654.2</v>
      </c>
      <c r="L56" s="154">
        <v>5812.9</v>
      </c>
    </row>
    <row r="57" spans="4:12" ht="22.5" x14ac:dyDescent="0.3">
      <c r="D57" s="72"/>
      <c r="E57" s="73" t="s">
        <v>33</v>
      </c>
      <c r="F57" s="74">
        <v>23143</v>
      </c>
      <c r="G57" s="75">
        <v>759413417</v>
      </c>
      <c r="H57" s="68"/>
      <c r="I57" s="11" t="s">
        <v>187</v>
      </c>
      <c r="J57" s="153">
        <v>5237.2</v>
      </c>
      <c r="K57" s="154">
        <v>5329.7</v>
      </c>
      <c r="L57" s="154">
        <v>5467.7</v>
      </c>
    </row>
    <row r="58" spans="4:12" ht="22.5" x14ac:dyDescent="0.3">
      <c r="D58" s="72"/>
      <c r="E58" s="73" t="s">
        <v>34</v>
      </c>
      <c r="F58" s="74">
        <v>243678</v>
      </c>
      <c r="G58" s="75">
        <v>6448222792</v>
      </c>
      <c r="H58" s="68"/>
      <c r="I58" s="11" t="s">
        <v>174</v>
      </c>
      <c r="J58" s="11">
        <v>153</v>
      </c>
      <c r="K58">
        <v>157.80000000000001</v>
      </c>
      <c r="L58">
        <v>159</v>
      </c>
    </row>
    <row r="59" spans="4:12" ht="22.5" x14ac:dyDescent="0.3">
      <c r="D59" s="72"/>
      <c r="E59" s="73" t="s">
        <v>35</v>
      </c>
      <c r="F59" s="74">
        <v>107392</v>
      </c>
      <c r="G59" s="75">
        <v>1966794729</v>
      </c>
      <c r="H59" s="68"/>
      <c r="I59" s="11" t="s">
        <v>175</v>
      </c>
      <c r="J59" s="11">
        <v>81.400000000000006</v>
      </c>
      <c r="K59">
        <v>74.7</v>
      </c>
      <c r="L59">
        <v>78.099999999999994</v>
      </c>
    </row>
    <row r="60" spans="4:12" ht="22.5" x14ac:dyDescent="0.3">
      <c r="D60" s="72"/>
      <c r="E60" s="73" t="s">
        <v>36</v>
      </c>
      <c r="F60" s="74">
        <v>372112</v>
      </c>
      <c r="G60" s="75">
        <v>11102319201</v>
      </c>
      <c r="H60" s="68"/>
      <c r="I60" s="11" t="s">
        <v>176</v>
      </c>
      <c r="J60" s="11">
        <v>90.7</v>
      </c>
      <c r="K60">
        <v>92</v>
      </c>
      <c r="L60">
        <v>108.2</v>
      </c>
    </row>
    <row r="61" spans="4:12" ht="22.5" x14ac:dyDescent="0.3">
      <c r="D61" s="72"/>
      <c r="E61" s="73" t="s">
        <v>37</v>
      </c>
      <c r="F61" s="74">
        <v>3006</v>
      </c>
      <c r="G61" s="75">
        <v>57844808</v>
      </c>
      <c r="H61" s="68"/>
      <c r="I61" s="11" t="s">
        <v>177</v>
      </c>
      <c r="J61" s="153">
        <v>1402.8</v>
      </c>
      <c r="K61" s="154">
        <v>1428.6</v>
      </c>
      <c r="L61" s="154">
        <v>1458.2</v>
      </c>
    </row>
    <row r="62" spans="4:12" ht="22.5" x14ac:dyDescent="0.3">
      <c r="D62" s="72"/>
      <c r="E62" s="73" t="s">
        <v>38</v>
      </c>
      <c r="F62" s="74">
        <v>114024</v>
      </c>
      <c r="G62" s="75">
        <v>3576624869</v>
      </c>
      <c r="H62" s="68"/>
      <c r="I62" s="11" t="s">
        <v>178</v>
      </c>
      <c r="J62" s="153">
        <v>16150.8</v>
      </c>
      <c r="K62" s="154">
        <v>15502.1</v>
      </c>
      <c r="L62" s="154">
        <v>15229.5</v>
      </c>
    </row>
    <row r="63" spans="4:12" ht="22.5" x14ac:dyDescent="0.3">
      <c r="D63" s="72"/>
      <c r="E63" s="73" t="s">
        <v>39</v>
      </c>
      <c r="F63" s="74">
        <v>40121</v>
      </c>
      <c r="G63" s="75">
        <v>1234364603</v>
      </c>
      <c r="H63" s="68"/>
      <c r="I63" s="11" t="s">
        <v>179</v>
      </c>
      <c r="J63" s="153">
        <v>3408.2</v>
      </c>
      <c r="K63" s="154">
        <v>3568.8</v>
      </c>
      <c r="L63" s="154">
        <v>3474.6</v>
      </c>
    </row>
    <row r="64" spans="4:12" ht="22.5" x14ac:dyDescent="0.3">
      <c r="D64" s="72"/>
      <c r="E64" s="73" t="s">
        <v>40</v>
      </c>
      <c r="F64" s="73">
        <v>672</v>
      </c>
      <c r="G64" s="75">
        <v>25522365</v>
      </c>
      <c r="H64" s="68"/>
      <c r="I64" s="11" t="s">
        <v>180</v>
      </c>
      <c r="J64" s="153">
        <v>6511.5</v>
      </c>
      <c r="K64" s="154">
        <v>6480.2</v>
      </c>
      <c r="L64" s="154">
        <v>6236.1</v>
      </c>
    </row>
    <row r="65" spans="4:12" ht="22.5" x14ac:dyDescent="0.3">
      <c r="D65" s="72"/>
      <c r="E65" s="73" t="s">
        <v>41</v>
      </c>
      <c r="F65" s="74">
        <v>3248</v>
      </c>
      <c r="G65" s="75">
        <v>0</v>
      </c>
      <c r="H65" s="68"/>
      <c r="I65" s="11" t="s">
        <v>181</v>
      </c>
      <c r="J65" s="153">
        <v>28199.200000000001</v>
      </c>
      <c r="K65" s="154">
        <v>28168.400000000001</v>
      </c>
      <c r="L65" s="154">
        <v>27998.799999999999</v>
      </c>
    </row>
    <row r="66" spans="4:12" ht="22.5" x14ac:dyDescent="0.3">
      <c r="D66" s="77"/>
      <c r="E66" s="78"/>
      <c r="F66" s="79"/>
      <c r="G66" s="80"/>
      <c r="H66" s="68"/>
      <c r="I66" s="11" t="s">
        <v>182</v>
      </c>
      <c r="J66" s="153">
        <v>11202.1</v>
      </c>
      <c r="K66" s="154">
        <v>11483.2</v>
      </c>
      <c r="L66" s="154">
        <v>11450.3</v>
      </c>
    </row>
    <row r="67" spans="4:12" ht="22.5" x14ac:dyDescent="0.3">
      <c r="D67" s="72" t="s">
        <v>6</v>
      </c>
      <c r="E67" s="73">
        <v>0</v>
      </c>
      <c r="F67" s="74">
        <v>91449</v>
      </c>
      <c r="G67" s="75">
        <v>7338360094</v>
      </c>
      <c r="H67" s="68"/>
      <c r="I67" s="11" t="s">
        <v>183</v>
      </c>
      <c r="J67" s="11">
        <v>204.3</v>
      </c>
      <c r="K67">
        <v>144.6</v>
      </c>
      <c r="L67">
        <v>143.80000000000001</v>
      </c>
    </row>
    <row r="68" spans="4:12" ht="22.5" x14ac:dyDescent="0.3">
      <c r="D68" s="72"/>
      <c r="E68" s="73">
        <v>1</v>
      </c>
      <c r="F68" s="73">
        <v>514</v>
      </c>
      <c r="G68" s="75">
        <v>43055106</v>
      </c>
      <c r="H68" s="68"/>
      <c r="I68" s="11" t="s">
        <v>184</v>
      </c>
      <c r="J68" s="11"/>
    </row>
    <row r="69" spans="4:12" ht="22.5" x14ac:dyDescent="0.3">
      <c r="D69" s="72"/>
      <c r="E69" s="73">
        <v>2</v>
      </c>
      <c r="F69" s="73">
        <v>30</v>
      </c>
      <c r="G69" s="75">
        <v>2761332</v>
      </c>
      <c r="H69" s="68"/>
      <c r="I69" s="11"/>
      <c r="J69" s="11"/>
    </row>
    <row r="70" spans="4:12" ht="22.5" x14ac:dyDescent="0.3">
      <c r="D70" s="72"/>
      <c r="E70" s="73">
        <v>8</v>
      </c>
      <c r="F70" s="73">
        <v>998</v>
      </c>
      <c r="G70" s="75">
        <v>28965350</v>
      </c>
      <c r="H70" s="68"/>
      <c r="I70" s="11"/>
      <c r="J70" s="11"/>
    </row>
    <row r="71" spans="4:12" ht="22.5" x14ac:dyDescent="0.3">
      <c r="D71" s="72"/>
      <c r="E71" s="73">
        <v>9</v>
      </c>
      <c r="F71" s="74">
        <v>3682</v>
      </c>
      <c r="G71" s="75">
        <v>286210896</v>
      </c>
      <c r="H71" s="68"/>
      <c r="I71" s="11"/>
      <c r="J71" s="11"/>
    </row>
    <row r="72" spans="4:12" ht="22.5" x14ac:dyDescent="0.3">
      <c r="D72" s="72"/>
      <c r="E72" s="73" t="s">
        <v>33</v>
      </c>
      <c r="F72" s="74">
        <v>24489</v>
      </c>
      <c r="G72" s="75">
        <v>807194125</v>
      </c>
      <c r="H72" s="68"/>
      <c r="I72" s="11"/>
      <c r="J72" s="11"/>
    </row>
    <row r="73" spans="4:12" ht="22.5" x14ac:dyDescent="0.3">
      <c r="D73" s="72"/>
      <c r="E73" s="73" t="s">
        <v>34</v>
      </c>
      <c r="F73" s="74">
        <v>263497</v>
      </c>
      <c r="G73" s="75">
        <v>7180624167</v>
      </c>
      <c r="H73" s="68"/>
      <c r="I73" s="11"/>
      <c r="J73" s="11"/>
    </row>
    <row r="74" spans="4:12" ht="22.5" x14ac:dyDescent="0.3">
      <c r="D74" s="72"/>
      <c r="E74" s="73" t="s">
        <v>35</v>
      </c>
      <c r="F74" s="74">
        <v>113790</v>
      </c>
      <c r="G74" s="75">
        <v>2135610875</v>
      </c>
      <c r="H74" s="68"/>
      <c r="I74" s="11"/>
      <c r="J74" s="11"/>
    </row>
    <row r="75" spans="4:12" ht="22.5" x14ac:dyDescent="0.3">
      <c r="D75" s="72"/>
      <c r="E75" s="73" t="s">
        <v>36</v>
      </c>
      <c r="F75" s="74">
        <v>380160</v>
      </c>
      <c r="G75" s="75">
        <v>11741194225</v>
      </c>
      <c r="H75" s="68"/>
      <c r="I75" s="11"/>
      <c r="J75" s="11"/>
    </row>
    <row r="76" spans="4:12" ht="22.5" x14ac:dyDescent="0.3">
      <c r="D76" s="72"/>
      <c r="E76" s="73" t="s">
        <v>37</v>
      </c>
      <c r="F76" s="74">
        <v>2915</v>
      </c>
      <c r="G76" s="75">
        <v>59080658</v>
      </c>
      <c r="H76" s="68"/>
      <c r="I76" s="11"/>
      <c r="J76" s="11"/>
    </row>
    <row r="77" spans="4:12" ht="22.5" x14ac:dyDescent="0.3">
      <c r="D77" s="72"/>
      <c r="E77" s="73" t="s">
        <v>38</v>
      </c>
      <c r="F77" s="74">
        <v>121885</v>
      </c>
      <c r="G77" s="75">
        <v>3889978390</v>
      </c>
      <c r="H77" s="68"/>
      <c r="I77" s="11"/>
      <c r="J77" s="11"/>
    </row>
    <row r="78" spans="4:12" ht="22.5" x14ac:dyDescent="0.3">
      <c r="D78" s="72"/>
      <c r="E78" s="73" t="s">
        <v>39</v>
      </c>
      <c r="F78" s="74">
        <v>42435</v>
      </c>
      <c r="G78" s="75">
        <v>1342889739</v>
      </c>
      <c r="H78" s="68"/>
      <c r="I78" s="11"/>
      <c r="J78" s="11"/>
    </row>
    <row r="79" spans="4:12" ht="22.5" x14ac:dyDescent="0.3">
      <c r="D79" s="72"/>
      <c r="E79" s="73" t="s">
        <v>40</v>
      </c>
      <c r="F79" s="73">
        <v>530</v>
      </c>
      <c r="G79" s="75">
        <v>21342208</v>
      </c>
      <c r="H79" s="68"/>
      <c r="I79" s="11"/>
      <c r="J79" s="11"/>
    </row>
    <row r="80" spans="4:12" ht="22.5" x14ac:dyDescent="0.3">
      <c r="D80" s="72"/>
      <c r="E80" s="73" t="s">
        <v>41</v>
      </c>
      <c r="F80" s="74">
        <v>3224</v>
      </c>
      <c r="G80" s="75">
        <v>0</v>
      </c>
      <c r="H80" s="68"/>
      <c r="I80" s="11"/>
      <c r="J80" s="11"/>
    </row>
    <row r="81" spans="4:10" ht="22.5" x14ac:dyDescent="0.3">
      <c r="D81" s="77"/>
      <c r="E81" s="78"/>
      <c r="F81" s="79"/>
      <c r="G81" s="80"/>
      <c r="H81" s="68"/>
      <c r="I81" s="11"/>
      <c r="J81" s="11"/>
    </row>
    <row r="82" spans="4:10" ht="22.5" x14ac:dyDescent="0.3">
      <c r="D82" s="72" t="s">
        <v>7</v>
      </c>
      <c r="E82" s="73">
        <v>0</v>
      </c>
      <c r="F82" s="74">
        <v>95106</v>
      </c>
      <c r="G82" s="75">
        <v>7587449514</v>
      </c>
      <c r="H82" s="68"/>
      <c r="I82" s="11"/>
      <c r="J82" s="11"/>
    </row>
    <row r="83" spans="4:10" ht="22.5" x14ac:dyDescent="0.3">
      <c r="D83" s="72"/>
      <c r="E83" s="73">
        <v>1</v>
      </c>
      <c r="F83" s="74">
        <v>1001</v>
      </c>
      <c r="G83" s="75">
        <v>82919356</v>
      </c>
      <c r="H83" s="68"/>
      <c r="I83" s="11"/>
      <c r="J83" s="11"/>
    </row>
    <row r="84" spans="4:10" ht="22.5" x14ac:dyDescent="0.3">
      <c r="D84" s="72"/>
      <c r="E84" s="73">
        <v>2</v>
      </c>
      <c r="F84" s="73">
        <v>25</v>
      </c>
      <c r="G84" s="75">
        <v>2190861</v>
      </c>
      <c r="H84" s="68"/>
      <c r="I84" s="11"/>
      <c r="J84" s="11"/>
    </row>
    <row r="85" spans="4:10" ht="22.5" x14ac:dyDescent="0.3">
      <c r="D85" s="72"/>
      <c r="E85" s="73">
        <v>8</v>
      </c>
      <c r="F85" s="74">
        <v>1245</v>
      </c>
      <c r="G85" s="75">
        <v>36982725</v>
      </c>
      <c r="H85" s="68"/>
      <c r="I85" s="11"/>
      <c r="J85" s="11"/>
    </row>
    <row r="86" spans="4:10" ht="22.5" x14ac:dyDescent="0.3">
      <c r="D86" s="72"/>
      <c r="E86" s="73">
        <v>9</v>
      </c>
      <c r="F86" s="74">
        <v>2377</v>
      </c>
      <c r="G86" s="75">
        <v>186701000</v>
      </c>
      <c r="H86" s="68"/>
      <c r="I86" s="11"/>
      <c r="J86" s="11"/>
    </row>
    <row r="87" spans="4:10" ht="22.5" x14ac:dyDescent="0.3">
      <c r="D87" s="72"/>
      <c r="E87" s="73" t="s">
        <v>33</v>
      </c>
      <c r="F87" s="74">
        <v>25085</v>
      </c>
      <c r="G87" s="75">
        <v>828489031</v>
      </c>
      <c r="H87" s="68"/>
      <c r="I87" s="11"/>
      <c r="J87" s="11"/>
    </row>
    <row r="88" spans="4:10" ht="22.5" x14ac:dyDescent="0.3">
      <c r="D88" s="72"/>
      <c r="E88" s="73" t="s">
        <v>34</v>
      </c>
      <c r="F88" s="74">
        <v>270074</v>
      </c>
      <c r="G88" s="75">
        <v>7671335177</v>
      </c>
      <c r="H88" s="68"/>
      <c r="I88" s="11"/>
      <c r="J88" s="11"/>
    </row>
    <row r="89" spans="4:10" ht="22.5" x14ac:dyDescent="0.3">
      <c r="D89" s="72"/>
      <c r="E89" s="73" t="s">
        <v>35</v>
      </c>
      <c r="F89" s="74">
        <v>118145</v>
      </c>
      <c r="G89" s="75">
        <v>2282668396</v>
      </c>
      <c r="H89" s="68"/>
      <c r="I89" s="11"/>
      <c r="J89" s="11"/>
    </row>
    <row r="90" spans="4:10" ht="22.5" x14ac:dyDescent="0.3">
      <c r="D90" s="72"/>
      <c r="E90" s="73" t="s">
        <v>36</v>
      </c>
      <c r="F90" s="74">
        <v>393368</v>
      </c>
      <c r="G90" s="75">
        <v>12504942970</v>
      </c>
      <c r="H90" s="68"/>
      <c r="I90" s="11"/>
      <c r="J90" s="11"/>
    </row>
    <row r="91" spans="4:10" ht="22.5" x14ac:dyDescent="0.3">
      <c r="D91" s="72"/>
      <c r="E91" s="73" t="s">
        <v>37</v>
      </c>
      <c r="F91" s="74">
        <v>3114</v>
      </c>
      <c r="G91" s="75">
        <v>64344279</v>
      </c>
      <c r="H91" s="68"/>
      <c r="I91" s="11"/>
      <c r="J91" s="11"/>
    </row>
    <row r="92" spans="4:10" ht="22.5" x14ac:dyDescent="0.3">
      <c r="D92" s="72"/>
      <c r="E92" s="73" t="s">
        <v>38</v>
      </c>
      <c r="F92" s="74">
        <v>131653</v>
      </c>
      <c r="G92" s="75">
        <v>4301355377</v>
      </c>
      <c r="H92" s="68"/>
      <c r="I92" s="11"/>
      <c r="J92" s="11"/>
    </row>
    <row r="93" spans="4:10" ht="22.5" x14ac:dyDescent="0.3">
      <c r="D93" s="72"/>
      <c r="E93" s="73" t="s">
        <v>39</v>
      </c>
      <c r="F93" s="74">
        <v>43173</v>
      </c>
      <c r="G93" s="75">
        <v>1397214742</v>
      </c>
      <c r="H93" s="68"/>
      <c r="I93" s="11"/>
      <c r="J93" s="11"/>
    </row>
    <row r="94" spans="4:10" ht="22.5" x14ac:dyDescent="0.3">
      <c r="D94" s="72"/>
      <c r="E94" s="73" t="s">
        <v>40</v>
      </c>
      <c r="F94" s="73">
        <v>133</v>
      </c>
      <c r="G94" s="75">
        <v>5449063</v>
      </c>
      <c r="H94" s="68"/>
      <c r="I94" s="11"/>
      <c r="J94" s="11"/>
    </row>
    <row r="95" spans="4:10" ht="23.25" thickBot="1" x14ac:dyDescent="0.35">
      <c r="D95" s="81"/>
      <c r="E95" s="82" t="s">
        <v>41</v>
      </c>
      <c r="F95" s="83">
        <v>3591</v>
      </c>
      <c r="G95" s="84">
        <v>0</v>
      </c>
      <c r="H95" s="68"/>
      <c r="I95" s="11"/>
      <c r="J95" s="11"/>
    </row>
    <row r="96" spans="4:10" ht="22.5" x14ac:dyDescent="0.3">
      <c r="D96" s="1900"/>
      <c r="E96" s="1900"/>
      <c r="F96" s="1900"/>
      <c r="G96" s="1900"/>
      <c r="H96" s="68"/>
      <c r="I96" s="11"/>
      <c r="J96" s="11"/>
    </row>
    <row r="97" spans="4:10" ht="22.5" x14ac:dyDescent="0.3">
      <c r="D97" s="11"/>
      <c r="E97" s="11"/>
      <c r="F97" s="11"/>
      <c r="G97" s="11"/>
      <c r="H97" s="68"/>
      <c r="I97" s="11"/>
      <c r="J97" s="11"/>
    </row>
    <row r="98" spans="4:10" ht="23.25" x14ac:dyDescent="0.35">
      <c r="H98" s="20"/>
      <c r="I98" s="10"/>
      <c r="J98" s="10"/>
    </row>
  </sheetData>
  <customSheetViews>
    <customSheetView guid="{9EA95E61-FCA5-4867-AEB4-B8C24058ACDD}" scale="60" showGridLines="0" showRowCol="0" state="hidden" topLeftCell="A46">
      <selection activeCell="F82" sqref="F82"/>
      <pageMargins left="0.7" right="0.7" top="0.75" bottom="0.75" header="0.3" footer="0.3"/>
      <pageSetup paperSize="9" orientation="portrait" r:id="rId1"/>
    </customSheetView>
  </customSheetViews>
  <mergeCells count="5">
    <mergeCell ref="D35:G35"/>
    <mergeCell ref="D96:G96"/>
    <mergeCell ref="D13:J13"/>
    <mergeCell ref="D20:J20"/>
    <mergeCell ref="D28:J28"/>
  </mergeCells>
  <pageMargins left="0.7" right="0.7" top="0.75" bottom="0.75" header="0.3" footer="0.3"/>
  <pageSetup paperSize="9" orientation="portrait" r:id="rId2"/>
  <drawing r:id="rId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tabColor theme="4" tint="0.39997558519241921"/>
  </sheetPr>
  <dimension ref="A1:AE71"/>
  <sheetViews>
    <sheetView showGridLines="0" showRowColHeaders="0" topLeftCell="A4" zoomScaleNormal="100" workbookViewId="0">
      <selection activeCell="C10" sqref="C10"/>
    </sheetView>
  </sheetViews>
  <sheetFormatPr defaultRowHeight="15" x14ac:dyDescent="0.25"/>
  <cols>
    <col min="1" max="1" width="9.140625" style="233"/>
    <col min="2" max="2" width="16.5703125" style="233" customWidth="1"/>
    <col min="3" max="3" width="14.7109375" style="233" customWidth="1"/>
    <col min="4" max="4" width="11.7109375" style="233" customWidth="1"/>
    <col min="5" max="5" width="4.7109375" style="233" customWidth="1"/>
    <col min="6" max="7" width="10.85546875" style="233" customWidth="1"/>
    <col min="8" max="8" width="6.7109375" style="233" customWidth="1"/>
    <col min="9" max="9" width="5.5703125" style="233" customWidth="1"/>
    <col min="10" max="10" width="25.7109375" style="233" customWidth="1"/>
    <col min="11" max="11" width="6.7109375" style="233" customWidth="1"/>
    <col min="12" max="16" width="8.7109375" style="233" customWidth="1"/>
    <col min="17" max="16384" width="9.140625" style="233"/>
  </cols>
  <sheetData>
    <row r="1" spans="1:31" x14ac:dyDescent="0.25">
      <c r="B1" s="658"/>
      <c r="C1" s="658"/>
      <c r="D1" s="658"/>
      <c r="E1" s="658"/>
      <c r="F1" s="658"/>
    </row>
    <row r="4" spans="1:31" ht="31.5" x14ac:dyDescent="0.5">
      <c r="B4" s="626" t="s">
        <v>554</v>
      </c>
    </row>
    <row r="5" spans="1:31" ht="18" customHeight="1" x14ac:dyDescent="0.9">
      <c r="B5" s="762"/>
    </row>
    <row r="6" spans="1:31" ht="18" customHeight="1" x14ac:dyDescent="0.25">
      <c r="B6" s="627" t="s">
        <v>393</v>
      </c>
      <c r="C6" s="276"/>
      <c r="D6" s="276"/>
      <c r="E6" s="276"/>
      <c r="F6" s="276"/>
      <c r="G6" s="276"/>
      <c r="H6" s="276"/>
      <c r="I6" s="276"/>
      <c r="J6" s="276"/>
      <c r="K6" s="276"/>
      <c r="L6" s="276"/>
    </row>
    <row r="7" spans="1:31" ht="18" customHeight="1" x14ac:dyDescent="0.25">
      <c r="A7" s="259">
        <v>1</v>
      </c>
      <c r="B7" s="723" t="s">
        <v>429</v>
      </c>
      <c r="C7" s="279"/>
      <c r="D7" s="279"/>
      <c r="E7" s="279"/>
      <c r="F7" s="279"/>
      <c r="G7" s="276"/>
      <c r="H7" s="276"/>
      <c r="I7" s="276"/>
      <c r="J7" s="276"/>
      <c r="K7" s="276"/>
      <c r="L7" s="276"/>
    </row>
    <row r="8" spans="1:31" ht="18" customHeight="1" x14ac:dyDescent="0.25">
      <c r="B8" s="627"/>
      <c r="C8" s="276"/>
      <c r="D8" s="276"/>
      <c r="E8" s="276"/>
      <c r="F8" s="276"/>
      <c r="G8" s="276"/>
      <c r="H8" s="276"/>
      <c r="I8" s="276"/>
      <c r="J8" s="276"/>
      <c r="K8" s="276"/>
      <c r="L8" s="276"/>
    </row>
    <row r="9" spans="1:31" ht="26.1" customHeight="1" x14ac:dyDescent="0.25">
      <c r="A9" s="763"/>
      <c r="B9" s="770" t="s">
        <v>428</v>
      </c>
      <c r="C9" s="764" t="s">
        <v>536</v>
      </c>
      <c r="D9" s="790" t="s">
        <v>654</v>
      </c>
      <c r="E9" s="764"/>
      <c r="F9" s="764" t="s">
        <v>526</v>
      </c>
      <c r="G9" s="764" t="s">
        <v>507</v>
      </c>
      <c r="H9" s="1453" t="s">
        <v>635</v>
      </c>
      <c r="I9" s="1954" t="s">
        <v>503</v>
      </c>
      <c r="J9" s="1954"/>
      <c r="K9" s="1454" t="s">
        <v>536</v>
      </c>
      <c r="L9" s="694"/>
      <c r="M9" s="694"/>
      <c r="N9" s="694"/>
      <c r="O9" s="694"/>
      <c r="P9" s="694"/>
      <c r="Q9" s="694"/>
      <c r="R9" s="657"/>
      <c r="S9" s="657"/>
      <c r="T9" s="657"/>
      <c r="U9" s="657"/>
      <c r="V9" s="657"/>
      <c r="W9" s="657"/>
      <c r="X9" s="765"/>
      <c r="Y9" s="765"/>
      <c r="Z9" s="765"/>
    </row>
    <row r="10" spans="1:31" ht="26.1" customHeight="1" x14ac:dyDescent="0.25">
      <c r="A10" s="763"/>
      <c r="B10" s="770" t="s">
        <v>266</v>
      </c>
      <c r="C10" s="1382">
        <v>14941588</v>
      </c>
      <c r="D10" s="791">
        <v>0.15279187860339372</v>
      </c>
      <c r="E10" s="792">
        <f>D10</f>
        <v>0.15279187860339372</v>
      </c>
      <c r="F10" s="771">
        <v>5077117.7869999995</v>
      </c>
      <c r="G10" s="771">
        <v>14941588</v>
      </c>
      <c r="H10" s="793">
        <f>C49/1000000</f>
        <v>5.0771177869999997</v>
      </c>
      <c r="I10" s="1948"/>
      <c r="J10" s="1949"/>
      <c r="K10" s="1948">
        <v>14.9</v>
      </c>
      <c r="L10" s="1949"/>
      <c r="M10" s="766"/>
      <c r="N10" s="766"/>
      <c r="O10" s="766"/>
      <c r="P10" s="766"/>
      <c r="Q10" s="767"/>
      <c r="R10" s="767"/>
      <c r="S10" s="657"/>
      <c r="T10" s="657"/>
      <c r="U10" s="657"/>
      <c r="V10" s="657"/>
      <c r="W10" s="657"/>
      <c r="X10" s="657"/>
      <c r="Y10" s="765"/>
      <c r="Z10" s="765"/>
      <c r="AA10" s="765"/>
      <c r="AB10" s="768"/>
      <c r="AC10" s="768"/>
      <c r="AD10" s="768"/>
      <c r="AE10" s="769"/>
    </row>
    <row r="11" spans="1:31" x14ac:dyDescent="0.25">
      <c r="A11" s="763"/>
      <c r="B11" s="795"/>
      <c r="C11" s="1382"/>
      <c r="D11" s="791"/>
      <c r="E11" s="792"/>
      <c r="F11" s="771"/>
      <c r="G11" s="771"/>
      <c r="H11" s="793"/>
      <c r="I11" s="1948"/>
      <c r="J11" s="1948"/>
      <c r="K11" s="1948"/>
      <c r="L11" s="1949"/>
      <c r="M11" s="766"/>
      <c r="N11" s="766"/>
      <c r="O11" s="766"/>
      <c r="P11" s="766"/>
      <c r="Q11" s="767"/>
      <c r="R11" s="767"/>
      <c r="S11" s="657"/>
      <c r="T11" s="657"/>
      <c r="U11" s="657"/>
      <c r="V11" s="657"/>
      <c r="W11" s="657"/>
      <c r="X11" s="657"/>
      <c r="Y11" s="765"/>
      <c r="Z11" s="765"/>
      <c r="AA11" s="765"/>
      <c r="AB11" s="768"/>
      <c r="AC11" s="768"/>
      <c r="AD11" s="768"/>
      <c r="AE11" s="769"/>
    </row>
    <row r="12" spans="1:31" ht="26.1" customHeight="1" x14ac:dyDescent="0.25">
      <c r="A12" s="541"/>
      <c r="B12" s="822" t="s">
        <v>48</v>
      </c>
      <c r="C12" s="1382">
        <v>25522535.52482</v>
      </c>
      <c r="D12" s="824">
        <v>6.6491189109799897E-2</v>
      </c>
      <c r="E12" s="825">
        <f>D12</f>
        <v>6.6491189109799897E-2</v>
      </c>
      <c r="F12" s="771">
        <v>10445008.787</v>
      </c>
      <c r="G12" s="771">
        <v>25522535.52482</v>
      </c>
      <c r="H12" s="793">
        <f>C52/1000000</f>
        <v>10.445008787000001</v>
      </c>
      <c r="I12" s="1948"/>
      <c r="J12" s="1949"/>
      <c r="K12" s="1948">
        <v>25.5</v>
      </c>
      <c r="L12" s="1949"/>
      <c r="M12" s="766"/>
      <c r="N12" s="766"/>
      <c r="O12" s="766"/>
      <c r="P12" s="766"/>
      <c r="Q12" s="767"/>
      <c r="R12" s="767"/>
      <c r="S12" s="657"/>
      <c r="T12" s="657"/>
      <c r="U12" s="657"/>
      <c r="V12" s="657"/>
      <c r="W12" s="657"/>
      <c r="X12" s="657"/>
      <c r="Y12" s="657"/>
      <c r="Z12" s="657"/>
      <c r="AA12" s="657"/>
      <c r="AB12" s="768"/>
      <c r="AC12" s="768"/>
      <c r="AD12" s="768"/>
      <c r="AE12" s="769"/>
    </row>
    <row r="13" spans="1:31" ht="26.1" customHeight="1" x14ac:dyDescent="0.25">
      <c r="A13" s="541" t="b">
        <v>1</v>
      </c>
      <c r="B13" s="822"/>
      <c r="C13" s="823"/>
      <c r="D13" s="823"/>
      <c r="E13" s="823"/>
      <c r="F13" s="771"/>
      <c r="G13" s="771"/>
      <c r="H13" s="766"/>
      <c r="I13" s="766"/>
      <c r="J13" s="766"/>
      <c r="K13" s="766"/>
      <c r="L13" s="766"/>
      <c r="M13" s="766"/>
      <c r="N13" s="766"/>
      <c r="O13" s="766"/>
      <c r="P13" s="766"/>
      <c r="Q13" s="766"/>
      <c r="R13" s="766"/>
      <c r="S13" s="657"/>
      <c r="T13" s="657"/>
      <c r="U13" s="657"/>
      <c r="V13" s="657"/>
      <c r="W13" s="657"/>
      <c r="X13" s="657"/>
      <c r="Y13" s="657"/>
      <c r="Z13" s="657"/>
      <c r="AA13" s="657"/>
    </row>
    <row r="14" spans="1:31" ht="18" customHeight="1" x14ac:dyDescent="0.25">
      <c r="A14" s="530"/>
      <c r="B14" s="826"/>
      <c r="C14" s="827"/>
      <c r="D14" s="827"/>
      <c r="E14" s="827"/>
      <c r="F14" s="766"/>
      <c r="G14" s="766"/>
      <c r="H14" s="766"/>
      <c r="I14" s="766"/>
      <c r="J14" s="766"/>
      <c r="K14" s="766"/>
      <c r="L14" s="766"/>
      <c r="M14" s="766"/>
      <c r="N14" s="766"/>
      <c r="O14" s="766"/>
      <c r="P14" s="766"/>
      <c r="Q14" s="657"/>
      <c r="R14" s="657"/>
      <c r="S14" s="657"/>
      <c r="T14" s="657"/>
      <c r="U14" s="657"/>
      <c r="V14" s="657"/>
      <c r="W14" s="657"/>
      <c r="X14" s="657"/>
      <c r="Y14" s="657"/>
    </row>
    <row r="15" spans="1:31" ht="18" customHeight="1" x14ac:dyDescent="0.25">
      <c r="A15" s="532"/>
      <c r="B15" s="828"/>
      <c r="C15" s="828" t="str">
        <f>IF($A$13=TRUE, J21, "")</f>
        <v>All trusts</v>
      </c>
      <c r="D15" s="828" t="str">
        <f>IF($A$13=TRUE, K21, "")</f>
        <v>Total</v>
      </c>
      <c r="E15" s="828"/>
      <c r="F15" s="828"/>
      <c r="G15" s="773"/>
      <c r="H15" s="773"/>
      <c r="I15" s="773"/>
      <c r="J15" s="773"/>
      <c r="K15" s="773"/>
      <c r="L15" s="773"/>
      <c r="M15" s="773"/>
      <c r="N15" s="773"/>
      <c r="O15" s="773"/>
      <c r="P15" s="773"/>
      <c r="Q15" s="377"/>
      <c r="R15" s="657"/>
      <c r="S15" s="657"/>
      <c r="T15" s="657"/>
      <c r="U15" s="657"/>
      <c r="V15" s="657"/>
      <c r="W15" s="657"/>
      <c r="X15" s="657"/>
      <c r="Y15" s="657"/>
    </row>
    <row r="16" spans="1:31" ht="18" customHeight="1" x14ac:dyDescent="0.25">
      <c r="A16" s="834"/>
      <c r="B16" s="828" t="str">
        <f>IF($A$13=TRUE, I22, "")</f>
        <v>1998/99</v>
      </c>
      <c r="C16" s="838">
        <f>IF($A$13=TRUE, J22, "")</f>
        <v>5077117.7869999995</v>
      </c>
      <c r="D16" s="838">
        <f>IF($A$13=TRUE, K22, "")</f>
        <v>10445008.787</v>
      </c>
      <c r="E16" s="835"/>
      <c r="F16" s="836"/>
      <c r="G16" s="776"/>
      <c r="H16" s="1380"/>
      <c r="I16" s="1380"/>
      <c r="J16" s="1380"/>
      <c r="K16" s="1380"/>
      <c r="L16" s="1380"/>
      <c r="M16" s="776"/>
      <c r="N16" s="776"/>
      <c r="O16" s="776"/>
      <c r="P16" s="776"/>
      <c r="Q16" s="777"/>
      <c r="T16" s="657"/>
      <c r="U16" s="657"/>
      <c r="V16" s="657"/>
      <c r="W16" s="657"/>
      <c r="X16" s="657"/>
      <c r="Y16" s="657"/>
    </row>
    <row r="17" spans="1:25" x14ac:dyDescent="0.25">
      <c r="A17" s="834"/>
      <c r="B17" s="828" t="str">
        <f t="shared" ref="B17:D29" si="0">IF($A$13=TRUE, I23, "")</f>
        <v>1999/00</v>
      </c>
      <c r="C17" s="838">
        <f t="shared" si="0"/>
        <v>5620251.5159999998</v>
      </c>
      <c r="D17" s="838">
        <f t="shared" si="0"/>
        <v>11641474.516000001</v>
      </c>
      <c r="E17" s="835"/>
      <c r="F17" s="836"/>
      <c r="G17" s="1373"/>
      <c r="H17" s="1380"/>
      <c r="I17" s="1380"/>
      <c r="J17" s="1380"/>
      <c r="K17" s="1380"/>
      <c r="L17" s="1380"/>
      <c r="M17" s="1373"/>
      <c r="N17" s="1373"/>
      <c r="O17" s="776"/>
      <c r="P17" s="776"/>
      <c r="Q17" s="777"/>
      <c r="R17" s="657"/>
      <c r="S17" s="657"/>
    </row>
    <row r="18" spans="1:25" x14ac:dyDescent="0.25">
      <c r="A18" s="834"/>
      <c r="B18" s="828" t="str">
        <f t="shared" si="0"/>
        <v>2000/01</v>
      </c>
      <c r="C18" s="838">
        <f t="shared" si="0"/>
        <v>5303119.1030000001</v>
      </c>
      <c r="D18" s="838">
        <f t="shared" si="0"/>
        <v>11757118.103</v>
      </c>
      <c r="E18" s="835"/>
      <c r="F18" s="836"/>
      <c r="G18" s="1374"/>
      <c r="H18" s="829"/>
      <c r="I18" s="829"/>
      <c r="J18" s="829"/>
      <c r="K18" s="829"/>
      <c r="L18" s="829"/>
      <c r="M18" s="1374"/>
      <c r="N18" s="1373"/>
      <c r="O18" s="776"/>
      <c r="P18" s="776"/>
      <c r="Q18" s="777"/>
      <c r="R18" s="657"/>
      <c r="S18" s="657"/>
      <c r="T18" s="657"/>
      <c r="U18" s="657"/>
      <c r="V18" s="657"/>
      <c r="W18" s="657"/>
      <c r="X18" s="768"/>
      <c r="Y18" s="768"/>
    </row>
    <row r="19" spans="1:25" x14ac:dyDescent="0.25">
      <c r="A19" s="532"/>
      <c r="B19" s="828" t="str">
        <f t="shared" si="0"/>
        <v>2001/2</v>
      </c>
      <c r="C19" s="838">
        <f t="shared" si="0"/>
        <v>5666475.1449999996</v>
      </c>
      <c r="D19" s="838">
        <f t="shared" si="0"/>
        <v>13321063.145</v>
      </c>
      <c r="E19" s="835"/>
      <c r="F19" s="836"/>
      <c r="G19" s="1374"/>
      <c r="H19" s="829"/>
      <c r="I19" s="829"/>
      <c r="J19" s="829"/>
      <c r="K19" s="829"/>
      <c r="L19" s="829"/>
      <c r="M19" s="1374"/>
      <c r="N19" s="1373"/>
      <c r="O19" s="776"/>
      <c r="P19" s="776"/>
      <c r="Q19" s="778"/>
      <c r="R19" s="657"/>
      <c r="S19" s="657"/>
      <c r="T19" s="657"/>
      <c r="U19" s="657"/>
      <c r="V19" s="657"/>
      <c r="W19" s="657"/>
      <c r="X19" s="768"/>
      <c r="Y19" s="768"/>
    </row>
    <row r="20" spans="1:25" x14ac:dyDescent="0.25">
      <c r="A20" s="532"/>
      <c r="B20" s="828" t="str">
        <f t="shared" si="0"/>
        <v>2002/3</v>
      </c>
      <c r="C20" s="838">
        <f t="shared" si="0"/>
        <v>6153081.7249999996</v>
      </c>
      <c r="D20" s="838">
        <f t="shared" si="0"/>
        <v>14985078.725</v>
      </c>
      <c r="E20" s="775"/>
      <c r="F20" s="700"/>
      <c r="G20" s="378"/>
      <c r="H20" s="396"/>
      <c r="I20" s="396"/>
      <c r="J20" s="396"/>
      <c r="K20" s="396"/>
      <c r="L20" s="396"/>
      <c r="M20" s="378"/>
      <c r="N20" s="376"/>
      <c r="T20" s="657"/>
      <c r="U20" s="657"/>
      <c r="V20" s="657"/>
      <c r="W20" s="657"/>
      <c r="X20" s="768"/>
      <c r="Y20" s="768"/>
    </row>
    <row r="21" spans="1:25" x14ac:dyDescent="0.25">
      <c r="A21" s="532"/>
      <c r="B21" s="828" t="str">
        <f t="shared" si="0"/>
        <v>2003/4</v>
      </c>
      <c r="C21" s="838">
        <f t="shared" si="0"/>
        <v>6605831.9550000001</v>
      </c>
      <c r="D21" s="838">
        <f t="shared" si="0"/>
        <v>17301167.954999998</v>
      </c>
      <c r="E21" s="775"/>
      <c r="F21" s="700"/>
      <c r="G21" s="378"/>
      <c r="H21" s="396"/>
      <c r="I21" s="396"/>
      <c r="J21" s="830" t="s">
        <v>266</v>
      </c>
      <c r="K21" s="830" t="s">
        <v>48</v>
      </c>
      <c r="L21" s="396"/>
      <c r="M21" s="378"/>
      <c r="N21" s="376"/>
    </row>
    <row r="22" spans="1:25" x14ac:dyDescent="0.25">
      <c r="A22" s="532"/>
      <c r="B22" s="828" t="str">
        <f t="shared" si="0"/>
        <v>2004/5</v>
      </c>
      <c r="C22" s="838">
        <f t="shared" si="0"/>
        <v>6991023</v>
      </c>
      <c r="D22" s="838">
        <f t="shared" si="0"/>
        <v>11981995</v>
      </c>
      <c r="E22" s="775"/>
      <c r="F22" s="700"/>
      <c r="G22" s="378"/>
      <c r="H22" s="396"/>
      <c r="I22" s="396" t="s">
        <v>68</v>
      </c>
      <c r="J22" s="396">
        <v>5077117.7869999995</v>
      </c>
      <c r="K22" s="396">
        <v>10445008.787</v>
      </c>
      <c r="L22" s="396"/>
      <c r="M22" s="1375"/>
      <c r="N22" s="376"/>
    </row>
    <row r="23" spans="1:25" x14ac:dyDescent="0.25">
      <c r="A23" s="385"/>
      <c r="B23" s="828" t="str">
        <f t="shared" si="0"/>
        <v>2005/6</v>
      </c>
      <c r="C23" s="838">
        <f t="shared" si="0"/>
        <v>8214109</v>
      </c>
      <c r="D23" s="838">
        <f t="shared" si="0"/>
        <v>14214691</v>
      </c>
      <c r="E23" s="700"/>
      <c r="F23" s="700"/>
      <c r="G23" s="378"/>
      <c r="H23" s="396"/>
      <c r="I23" s="396" t="s">
        <v>69</v>
      </c>
      <c r="J23" s="396">
        <v>5620251.5159999998</v>
      </c>
      <c r="K23" s="396">
        <v>11641474.516000001</v>
      </c>
      <c r="L23" s="396"/>
      <c r="M23" s="1375"/>
      <c r="N23" s="376"/>
    </row>
    <row r="24" spans="1:25" x14ac:dyDescent="0.25">
      <c r="A24" s="385"/>
      <c r="B24" s="828" t="str">
        <f t="shared" si="0"/>
        <v>2006/7</v>
      </c>
      <c r="C24" s="838">
        <f t="shared" si="0"/>
        <v>8969197</v>
      </c>
      <c r="D24" s="838">
        <f t="shared" si="0"/>
        <v>15833718</v>
      </c>
      <c r="E24" s="700"/>
      <c r="F24" s="700"/>
      <c r="G24" s="378"/>
      <c r="H24" s="396"/>
      <c r="I24" s="396" t="s">
        <v>70</v>
      </c>
      <c r="J24" s="396">
        <v>5303119.1030000001</v>
      </c>
      <c r="K24" s="396">
        <v>11757118.103</v>
      </c>
      <c r="L24" s="396"/>
      <c r="M24" s="1375"/>
      <c r="N24" s="376"/>
    </row>
    <row r="25" spans="1:25" x14ac:dyDescent="0.25">
      <c r="A25" s="385"/>
      <c r="B25" s="828" t="str">
        <f t="shared" si="0"/>
        <v>2007/8</v>
      </c>
      <c r="C25" s="838">
        <f t="shared" si="0"/>
        <v>10132245</v>
      </c>
      <c r="D25" s="838">
        <f t="shared" si="0"/>
        <v>18554701</v>
      </c>
      <c r="E25" s="837"/>
      <c r="F25" s="837"/>
      <c r="G25" s="1376"/>
      <c r="H25" s="815"/>
      <c r="I25" s="816" t="s">
        <v>494</v>
      </c>
      <c r="J25" s="396">
        <v>5666475.1449999996</v>
      </c>
      <c r="K25" s="396">
        <v>13321063.145</v>
      </c>
      <c r="L25" s="396"/>
      <c r="M25" s="1375"/>
      <c r="N25" s="376"/>
    </row>
    <row r="26" spans="1:25" x14ac:dyDescent="0.25">
      <c r="A26" s="385"/>
      <c r="B26" s="828" t="str">
        <f t="shared" si="0"/>
        <v>2008/9</v>
      </c>
      <c r="C26" s="838">
        <f t="shared" si="0"/>
        <v>11126240</v>
      </c>
      <c r="D26" s="838">
        <f t="shared" si="0"/>
        <v>20184853</v>
      </c>
      <c r="E26" s="819"/>
      <c r="F26" s="819"/>
      <c r="G26" s="1377"/>
      <c r="H26" s="396"/>
      <c r="I26" s="820" t="s">
        <v>493</v>
      </c>
      <c r="J26" s="396">
        <v>6153081.7249999996</v>
      </c>
      <c r="K26" s="396">
        <v>14985078.725</v>
      </c>
      <c r="L26" s="396"/>
      <c r="M26" s="1375"/>
      <c r="N26" s="376"/>
    </row>
    <row r="27" spans="1:25" x14ac:dyDescent="0.25">
      <c r="A27" s="385"/>
      <c r="B27" s="828" t="str">
        <f>IF($A$13=TRUE, I33, "")</f>
        <v>2009/10</v>
      </c>
      <c r="C27" s="838">
        <f>IF($A$13=TRUE, J33, "")</f>
        <v>11841634</v>
      </c>
      <c r="D27" s="838">
        <f>IF($A$13=TRUE, K33, "")</f>
        <v>22017444</v>
      </c>
      <c r="E27" s="819"/>
      <c r="F27" s="819"/>
      <c r="G27" s="1377"/>
      <c r="H27" s="396"/>
      <c r="I27" s="820" t="s">
        <v>492</v>
      </c>
      <c r="J27" s="396">
        <v>6605831.9550000001</v>
      </c>
      <c r="K27" s="396">
        <v>17301167.954999998</v>
      </c>
      <c r="L27" s="396"/>
      <c r="M27" s="1375"/>
      <c r="N27" s="376"/>
    </row>
    <row r="28" spans="1:25" x14ac:dyDescent="0.25">
      <c r="A28" s="385"/>
      <c r="B28" s="828" t="str">
        <f t="shared" si="0"/>
        <v>2010/11</v>
      </c>
      <c r="C28" s="838">
        <f t="shared" si="0"/>
        <v>12961219</v>
      </c>
      <c r="D28" s="838">
        <f t="shared" si="0"/>
        <v>23931314</v>
      </c>
      <c r="E28" s="819"/>
      <c r="F28" s="819"/>
      <c r="G28" s="1377"/>
      <c r="H28" s="396"/>
      <c r="I28" s="820" t="s">
        <v>192</v>
      </c>
      <c r="J28" s="396">
        <v>6991023</v>
      </c>
      <c r="K28" s="396">
        <v>11981995</v>
      </c>
      <c r="L28" s="396"/>
      <c r="M28" s="378"/>
      <c r="N28" s="376"/>
    </row>
    <row r="29" spans="1:25" x14ac:dyDescent="0.25">
      <c r="A29" s="385"/>
      <c r="B29" s="828" t="str">
        <f t="shared" si="0"/>
        <v>2011/12</v>
      </c>
      <c r="C29" s="838">
        <f t="shared" si="0"/>
        <v>14941588</v>
      </c>
      <c r="D29" s="838">
        <f t="shared" si="0"/>
        <v>25522535.52482</v>
      </c>
      <c r="E29" s="819"/>
      <c r="F29" s="819"/>
      <c r="G29" s="1377"/>
      <c r="H29" s="396"/>
      <c r="I29" s="820" t="s">
        <v>193</v>
      </c>
      <c r="J29" s="396">
        <v>8214109</v>
      </c>
      <c r="K29" s="396">
        <v>14214691</v>
      </c>
      <c r="L29" s="396"/>
      <c r="M29" s="378"/>
      <c r="N29" s="376"/>
    </row>
    <row r="30" spans="1:25" x14ac:dyDescent="0.25">
      <c r="B30" s="817"/>
      <c r="C30" s="741"/>
      <c r="D30" s="818"/>
      <c r="E30" s="819"/>
      <c r="F30" s="819"/>
      <c r="G30" s="1377"/>
      <c r="H30" s="396"/>
      <c r="I30" s="820" t="s">
        <v>194</v>
      </c>
      <c r="J30" s="396">
        <v>8969197</v>
      </c>
      <c r="K30" s="396">
        <v>15833718</v>
      </c>
      <c r="L30" s="396"/>
      <c r="M30" s="378"/>
      <c r="N30" s="376"/>
    </row>
    <row r="31" spans="1:25" x14ac:dyDescent="0.25">
      <c r="B31" s="817"/>
      <c r="C31" s="741"/>
      <c r="D31" s="818"/>
      <c r="E31" s="819"/>
      <c r="F31" s="819"/>
      <c r="G31" s="1377"/>
      <c r="H31" s="396"/>
      <c r="I31" s="820" t="s">
        <v>195</v>
      </c>
      <c r="J31" s="396">
        <v>10132245</v>
      </c>
      <c r="K31" s="396">
        <v>18554701</v>
      </c>
      <c r="L31" s="396"/>
      <c r="M31" s="378"/>
      <c r="N31" s="376"/>
    </row>
    <row r="32" spans="1:25" x14ac:dyDescent="0.25">
      <c r="B32" s="821"/>
      <c r="C32" s="741"/>
      <c r="D32" s="818"/>
      <c r="E32" s="819"/>
      <c r="F32" s="819"/>
      <c r="G32" s="1377"/>
      <c r="H32" s="396"/>
      <c r="I32" s="820" t="s">
        <v>196</v>
      </c>
      <c r="J32" s="396">
        <v>11126240</v>
      </c>
      <c r="K32" s="396">
        <v>20184853</v>
      </c>
      <c r="L32" s="396"/>
      <c r="M32" s="378"/>
      <c r="N32" s="376"/>
    </row>
    <row r="33" spans="1:23" x14ac:dyDescent="0.25">
      <c r="B33" s="782"/>
      <c r="C33" s="741"/>
      <c r="D33" s="818"/>
      <c r="E33" s="819"/>
      <c r="F33" s="819"/>
      <c r="G33" s="1377"/>
      <c r="H33" s="396"/>
      <c r="I33" s="820" t="s">
        <v>6</v>
      </c>
      <c r="J33" s="396">
        <v>11841634</v>
      </c>
      <c r="K33" s="396">
        <v>22017444</v>
      </c>
      <c r="L33" s="396"/>
      <c r="M33" s="378"/>
      <c r="N33" s="376"/>
    </row>
    <row r="34" spans="1:23" x14ac:dyDescent="0.25">
      <c r="A34" s="396"/>
      <c r="B34" s="797"/>
      <c r="C34" s="783"/>
      <c r="D34" s="784"/>
      <c r="E34" s="671"/>
      <c r="F34" s="671"/>
      <c r="G34" s="1377"/>
      <c r="H34" s="396"/>
      <c r="I34" s="820" t="s">
        <v>7</v>
      </c>
      <c r="J34" s="396">
        <v>12961219</v>
      </c>
      <c r="K34" s="396">
        <v>23931314</v>
      </c>
      <c r="L34" s="396"/>
      <c r="M34" s="396"/>
    </row>
    <row r="35" spans="1:23" x14ac:dyDescent="0.25">
      <c r="A35" s="396" t="b">
        <v>1</v>
      </c>
      <c r="B35" s="797"/>
      <c r="C35" s="798"/>
      <c r="D35" s="799"/>
      <c r="E35" s="800"/>
      <c r="F35" s="800"/>
      <c r="G35" s="1377"/>
      <c r="H35" s="396"/>
      <c r="I35" s="820" t="s">
        <v>489</v>
      </c>
      <c r="J35" s="548">
        <v>14941588</v>
      </c>
      <c r="K35" s="1381">
        <v>25522535.52482</v>
      </c>
      <c r="L35" s="396"/>
      <c r="M35" s="396"/>
      <c r="N35" s="658"/>
      <c r="O35" s="658"/>
      <c r="P35" s="658"/>
    </row>
    <row r="36" spans="1:23" x14ac:dyDescent="0.25">
      <c r="A36" s="396"/>
      <c r="B36" s="803"/>
      <c r="C36" s="798"/>
      <c r="D36" s="799"/>
      <c r="E36" s="800"/>
      <c r="F36" s="800"/>
      <c r="G36" s="1377"/>
      <c r="H36" s="396"/>
      <c r="I36" s="820"/>
      <c r="J36" s="396"/>
      <c r="K36" s="396"/>
      <c r="L36" s="396"/>
      <c r="M36" s="396"/>
      <c r="N36" s="658"/>
      <c r="O36" s="658"/>
      <c r="P36" s="658"/>
    </row>
    <row r="37" spans="1:23" x14ac:dyDescent="0.25">
      <c r="A37" s="658"/>
      <c r="B37" s="797"/>
      <c r="C37" s="758"/>
      <c r="D37" s="758"/>
      <c r="E37" s="758"/>
      <c r="F37" s="758"/>
      <c r="G37" s="1378"/>
      <c r="H37" s="831"/>
      <c r="I37" s="831"/>
      <c r="J37" s="831"/>
      <c r="K37" s="831"/>
      <c r="L37" s="831"/>
      <c r="M37" s="831"/>
      <c r="N37" s="758"/>
      <c r="O37" s="758"/>
      <c r="P37" s="758"/>
    </row>
    <row r="38" spans="1:23" x14ac:dyDescent="0.25">
      <c r="A38" s="658"/>
      <c r="B38" s="797"/>
      <c r="C38" s="804"/>
      <c r="D38" s="804"/>
      <c r="E38" s="804"/>
      <c r="F38" s="804"/>
      <c r="G38" s="1379"/>
      <c r="H38" s="832"/>
      <c r="I38" s="832"/>
      <c r="J38" s="832"/>
      <c r="K38" s="832"/>
      <c r="L38" s="832"/>
      <c r="M38" s="832"/>
      <c r="N38" s="804"/>
      <c r="O38" s="804"/>
      <c r="P38" s="804"/>
    </row>
    <row r="39" spans="1:23" x14ac:dyDescent="0.25">
      <c r="A39" s="658"/>
      <c r="B39" s="797"/>
      <c r="C39" s="804"/>
      <c r="D39" s="804"/>
      <c r="E39" s="804"/>
      <c r="F39" s="804"/>
      <c r="G39" s="1379"/>
      <c r="H39" s="832"/>
      <c r="I39" s="832"/>
      <c r="J39" s="832"/>
      <c r="K39" s="832"/>
      <c r="L39" s="832"/>
      <c r="M39" s="832"/>
      <c r="N39" s="804"/>
      <c r="O39" s="804"/>
      <c r="P39" s="804"/>
    </row>
    <row r="40" spans="1:23" x14ac:dyDescent="0.25">
      <c r="A40" s="658"/>
      <c r="B40" s="797"/>
      <c r="C40" s="804"/>
      <c r="D40" s="804"/>
      <c r="E40" s="804"/>
      <c r="F40" s="804"/>
      <c r="G40" s="1379"/>
      <c r="H40" s="832"/>
      <c r="I40" s="832"/>
      <c r="J40" s="832"/>
      <c r="K40" s="832"/>
      <c r="L40" s="832"/>
      <c r="M40" s="832"/>
      <c r="N40" s="804"/>
      <c r="O40" s="804"/>
      <c r="P40" s="804"/>
    </row>
    <row r="41" spans="1:23" x14ac:dyDescent="0.25">
      <c r="A41" s="658"/>
      <c r="B41" s="797"/>
      <c r="C41" s="804"/>
      <c r="D41" s="804"/>
      <c r="E41" s="804"/>
      <c r="F41" s="804"/>
      <c r="G41" s="1379"/>
      <c r="H41" s="832"/>
      <c r="I41" s="832"/>
      <c r="J41" s="832"/>
      <c r="K41" s="832"/>
      <c r="L41" s="832"/>
      <c r="M41" s="832"/>
      <c r="N41" s="804"/>
      <c r="O41" s="804"/>
      <c r="P41" s="804"/>
    </row>
    <row r="42" spans="1:23" x14ac:dyDescent="0.25">
      <c r="A42" s="805"/>
      <c r="B42" s="797"/>
      <c r="C42" s="804"/>
      <c r="D42" s="804"/>
      <c r="E42" s="804"/>
      <c r="F42" s="804"/>
      <c r="G42" s="832"/>
      <c r="H42" s="832"/>
      <c r="I42" s="832"/>
      <c r="J42" s="832"/>
      <c r="K42" s="832"/>
      <c r="L42" s="832"/>
      <c r="M42" s="832"/>
      <c r="N42" s="804"/>
      <c r="O42" s="804"/>
      <c r="P42" s="804"/>
      <c r="Q42" s="657"/>
    </row>
    <row r="43" spans="1:23" x14ac:dyDescent="0.25">
      <c r="A43" s="658"/>
      <c r="B43" s="797"/>
      <c r="C43" s="804"/>
      <c r="D43" s="804"/>
      <c r="E43" s="804"/>
      <c r="F43" s="804"/>
      <c r="G43" s="804"/>
      <c r="H43" s="832"/>
      <c r="I43" s="832"/>
      <c r="J43" s="832"/>
      <c r="K43" s="832"/>
      <c r="L43" s="832"/>
      <c r="M43" s="804"/>
      <c r="N43" s="804"/>
      <c r="O43" s="804"/>
      <c r="P43" s="804"/>
      <c r="R43" s="657"/>
      <c r="S43" s="657"/>
    </row>
    <row r="44" spans="1:23" x14ac:dyDescent="0.25">
      <c r="A44" s="805"/>
      <c r="B44" s="797"/>
      <c r="C44" s="804"/>
      <c r="D44" s="804"/>
      <c r="E44" s="804"/>
      <c r="F44" s="804"/>
      <c r="G44" s="804"/>
      <c r="H44" s="832"/>
      <c r="I44" s="832"/>
      <c r="J44" s="832"/>
      <c r="K44" s="832"/>
      <c r="L44" s="832"/>
      <c r="M44" s="804"/>
      <c r="N44" s="804"/>
      <c r="O44" s="804"/>
      <c r="P44" s="804"/>
      <c r="Q44" s="657"/>
      <c r="T44" s="657"/>
      <c r="U44" s="657"/>
      <c r="W44" s="768"/>
    </row>
    <row r="45" spans="1:23" x14ac:dyDescent="0.25">
      <c r="A45" s="805"/>
      <c r="B45" s="806"/>
      <c r="C45" s="804"/>
      <c r="D45" s="804"/>
      <c r="E45" s="804"/>
      <c r="F45" s="804"/>
      <c r="G45" s="804"/>
      <c r="H45" s="832"/>
      <c r="I45" s="832"/>
      <c r="J45" s="832"/>
      <c r="K45" s="832"/>
      <c r="L45" s="832"/>
      <c r="M45" s="804"/>
      <c r="N45" s="804"/>
      <c r="O45" s="804"/>
      <c r="P45" s="804"/>
      <c r="Q45" s="657"/>
      <c r="R45" s="657"/>
      <c r="S45" s="657"/>
      <c r="W45" s="768"/>
    </row>
    <row r="46" spans="1:23" x14ac:dyDescent="0.25">
      <c r="A46" s="805"/>
      <c r="B46" s="808"/>
      <c r="C46" s="807"/>
      <c r="D46" s="807"/>
      <c r="E46" s="807"/>
      <c r="F46" s="807"/>
      <c r="G46" s="807"/>
      <c r="H46" s="788"/>
      <c r="I46" s="788"/>
      <c r="J46" s="788"/>
      <c r="K46" s="788"/>
      <c r="L46" s="788"/>
      <c r="M46" s="807"/>
      <c r="N46" s="807"/>
      <c r="O46" s="807"/>
      <c r="P46" s="807"/>
      <c r="Q46" s="657"/>
      <c r="R46" s="657"/>
      <c r="S46" s="657"/>
      <c r="T46" s="657"/>
      <c r="U46" s="657"/>
      <c r="W46" s="768"/>
    </row>
    <row r="47" spans="1:23" x14ac:dyDescent="0.25">
      <c r="A47" s="658"/>
      <c r="B47" s="810" t="s">
        <v>426</v>
      </c>
      <c r="C47" s="809"/>
      <c r="D47" s="809"/>
      <c r="E47" s="809"/>
      <c r="F47" s="809"/>
      <c r="G47" s="809"/>
      <c r="H47" s="809"/>
      <c r="I47" s="809"/>
      <c r="J47" s="547"/>
      <c r="K47" s="547"/>
      <c r="L47" s="547"/>
      <c r="M47" s="547"/>
      <c r="N47" s="547"/>
      <c r="O47" s="547"/>
      <c r="P47" s="547"/>
      <c r="Q47" s="547"/>
      <c r="R47" s="657"/>
      <c r="S47" s="657"/>
      <c r="T47" s="657"/>
      <c r="U47" s="657"/>
    </row>
    <row r="48" spans="1:23" x14ac:dyDescent="0.25">
      <c r="A48" s="658"/>
      <c r="B48" s="810" t="s">
        <v>266</v>
      </c>
      <c r="C48" s="787" t="s">
        <v>68</v>
      </c>
      <c r="D48" s="787" t="s">
        <v>69</v>
      </c>
      <c r="E48" s="787" t="s">
        <v>70</v>
      </c>
      <c r="F48" s="787" t="s">
        <v>494</v>
      </c>
      <c r="G48" s="787" t="s">
        <v>493</v>
      </c>
      <c r="H48" s="1332" t="s">
        <v>492</v>
      </c>
      <c r="I48" s="1332" t="s">
        <v>192</v>
      </c>
      <c r="J48" s="1332" t="s">
        <v>193</v>
      </c>
      <c r="K48" s="1332" t="s">
        <v>194</v>
      </c>
      <c r="L48" s="1332" t="s">
        <v>195</v>
      </c>
      <c r="M48" s="787" t="s">
        <v>196</v>
      </c>
      <c r="N48" s="787" t="s">
        <v>6</v>
      </c>
      <c r="O48" s="787" t="s">
        <v>7</v>
      </c>
      <c r="P48" s="787" t="s">
        <v>489</v>
      </c>
      <c r="Q48" s="547"/>
      <c r="T48" s="657"/>
      <c r="U48" s="657"/>
    </row>
    <row r="49" spans="1:17" x14ac:dyDescent="0.25">
      <c r="A49" s="658"/>
      <c r="B49" s="810" t="s">
        <v>56</v>
      </c>
      <c r="C49" s="788">
        <v>5077117.7869999995</v>
      </c>
      <c r="D49" s="788">
        <v>5620251.5159999998</v>
      </c>
      <c r="E49" s="788">
        <v>5303119.1030000001</v>
      </c>
      <c r="F49" s="788">
        <v>5666475.1449999996</v>
      </c>
      <c r="G49" s="788">
        <v>6153081.7249999996</v>
      </c>
      <c r="H49" s="788">
        <v>6605831.9550000001</v>
      </c>
      <c r="I49" s="788">
        <v>6991023</v>
      </c>
      <c r="J49" s="788">
        <v>8214109</v>
      </c>
      <c r="K49" s="788">
        <v>8969197</v>
      </c>
      <c r="L49" s="788">
        <v>10132245</v>
      </c>
      <c r="M49" s="788">
        <v>11126240</v>
      </c>
      <c r="N49" s="788">
        <v>11841634</v>
      </c>
      <c r="O49" s="811">
        <v>12961219</v>
      </c>
      <c r="P49" s="548">
        <v>14194667.888351999</v>
      </c>
      <c r="Q49" s="547"/>
    </row>
    <row r="50" spans="1:17" x14ac:dyDescent="0.25">
      <c r="A50" s="658"/>
      <c r="B50" s="810" t="s">
        <v>265</v>
      </c>
      <c r="C50" s="788"/>
      <c r="D50" s="788"/>
      <c r="E50" s="788"/>
      <c r="F50" s="788"/>
      <c r="G50" s="788"/>
      <c r="H50" s="788">
        <v>10063998</v>
      </c>
      <c r="I50" s="788">
        <v>4932251</v>
      </c>
      <c r="J50" s="788">
        <v>5933214</v>
      </c>
      <c r="K50" s="788">
        <v>6792028</v>
      </c>
      <c r="L50" s="788">
        <v>8327705</v>
      </c>
      <c r="M50" s="788">
        <v>8949262</v>
      </c>
      <c r="N50" s="788">
        <v>10063998</v>
      </c>
      <c r="O50" s="811">
        <v>10873841</v>
      </c>
      <c r="P50" s="548">
        <v>10505817.52482</v>
      </c>
      <c r="Q50" s="547"/>
    </row>
    <row r="51" spans="1:17" x14ac:dyDescent="0.25">
      <c r="A51" s="658"/>
      <c r="B51" s="812" t="s">
        <v>158</v>
      </c>
      <c r="C51" s="788"/>
      <c r="D51" s="788"/>
      <c r="E51" s="788"/>
      <c r="F51" s="788"/>
      <c r="G51" s="788"/>
      <c r="H51" s="788">
        <v>111812</v>
      </c>
      <c r="I51" s="788">
        <v>58721</v>
      </c>
      <c r="J51" s="788">
        <v>67368</v>
      </c>
      <c r="K51" s="788">
        <v>72493</v>
      </c>
      <c r="L51" s="788">
        <v>94749</v>
      </c>
      <c r="M51" s="788">
        <v>109351</v>
      </c>
      <c r="N51" s="788">
        <v>111812</v>
      </c>
      <c r="O51" s="811">
        <v>96254</v>
      </c>
      <c r="P51" s="548">
        <v>251607</v>
      </c>
      <c r="Q51" s="547"/>
    </row>
    <row r="52" spans="1:17" x14ac:dyDescent="0.25">
      <c r="A52" s="658"/>
      <c r="B52" s="809"/>
      <c r="C52" s="788">
        <v>10445008.787</v>
      </c>
      <c r="D52" s="788">
        <v>11641474.516000001</v>
      </c>
      <c r="E52" s="788">
        <v>11757118.103</v>
      </c>
      <c r="F52" s="788">
        <v>13321063.145</v>
      </c>
      <c r="G52" s="788">
        <v>14985078.725</v>
      </c>
      <c r="H52" s="788">
        <v>17301167.954999998</v>
      </c>
      <c r="I52" s="788">
        <f>SUM(I49:I51)</f>
        <v>11981995</v>
      </c>
      <c r="J52" s="788">
        <f t="shared" ref="J52:P52" si="1">SUM(J49:J51)</f>
        <v>14214691</v>
      </c>
      <c r="K52" s="788">
        <f t="shared" si="1"/>
        <v>15833718</v>
      </c>
      <c r="L52" s="788">
        <f t="shared" si="1"/>
        <v>18554699</v>
      </c>
      <c r="M52" s="788">
        <f t="shared" si="1"/>
        <v>20184853</v>
      </c>
      <c r="N52" s="788">
        <f t="shared" si="1"/>
        <v>22017444</v>
      </c>
      <c r="O52" s="788">
        <f t="shared" si="1"/>
        <v>23931314</v>
      </c>
      <c r="P52" s="788">
        <f t="shared" si="1"/>
        <v>24952092.413171999</v>
      </c>
      <c r="Q52" s="547"/>
    </row>
    <row r="53" spans="1:17" x14ac:dyDescent="0.25">
      <c r="A53" s="805"/>
      <c r="B53" s="809"/>
      <c r="C53" s="809"/>
      <c r="D53" s="809"/>
      <c r="E53" s="809"/>
      <c r="F53" s="809"/>
      <c r="G53" s="809"/>
      <c r="H53" s="809"/>
      <c r="I53" s="809"/>
      <c r="J53" s="547"/>
      <c r="K53" s="547"/>
      <c r="L53" s="547"/>
      <c r="M53" s="547"/>
      <c r="N53" s="547"/>
      <c r="O53" s="547"/>
      <c r="P53" s="547"/>
      <c r="Q53" s="547"/>
    </row>
    <row r="54" spans="1:17" x14ac:dyDescent="0.25">
      <c r="A54" s="805"/>
      <c r="B54" s="812" t="s">
        <v>469</v>
      </c>
      <c r="C54" s="809"/>
      <c r="D54" s="809"/>
      <c r="E54" s="809"/>
      <c r="F54" s="809"/>
      <c r="G54" s="809"/>
      <c r="H54" s="809"/>
      <c r="I54" s="809"/>
      <c r="J54" s="547"/>
      <c r="K54" s="547"/>
      <c r="L54" s="547"/>
      <c r="M54" s="547"/>
      <c r="N54" s="547"/>
      <c r="O54" s="547"/>
      <c r="P54" s="547"/>
      <c r="Q54" s="547"/>
    </row>
    <row r="55" spans="1:17" x14ac:dyDescent="0.25">
      <c r="A55" s="805"/>
      <c r="B55" s="810" t="s">
        <v>427</v>
      </c>
      <c r="C55" s="809"/>
      <c r="D55" s="809"/>
      <c r="E55" s="809"/>
      <c r="F55" s="809"/>
      <c r="G55" s="809"/>
      <c r="H55" s="809"/>
      <c r="I55" s="809"/>
      <c r="J55" s="547"/>
      <c r="K55" s="547"/>
      <c r="L55" s="547"/>
      <c r="M55" s="547"/>
      <c r="N55" s="547"/>
      <c r="O55" s="547"/>
      <c r="P55" s="547"/>
      <c r="Q55" s="547"/>
    </row>
    <row r="56" spans="1:17" x14ac:dyDescent="0.25">
      <c r="A56" s="658"/>
      <c r="B56" s="809" t="s">
        <v>56</v>
      </c>
      <c r="C56" s="809"/>
      <c r="D56" s="809"/>
      <c r="E56" s="809"/>
      <c r="F56" s="809"/>
      <c r="G56" s="809"/>
      <c r="H56" s="809"/>
      <c r="I56" s="809"/>
      <c r="J56" s="547"/>
      <c r="K56" s="547"/>
      <c r="L56" s="547"/>
      <c r="M56" s="547"/>
      <c r="N56" s="547"/>
      <c r="O56" s="547"/>
      <c r="P56" s="547"/>
      <c r="Q56" s="547"/>
    </row>
    <row r="57" spans="1:17" x14ac:dyDescent="0.25">
      <c r="A57" s="658"/>
      <c r="B57" s="809"/>
      <c r="C57" s="809"/>
      <c r="D57" s="809"/>
      <c r="E57" s="809"/>
      <c r="F57" s="809"/>
      <c r="G57" s="809"/>
      <c r="H57" s="809"/>
      <c r="I57" s="809"/>
      <c r="J57" s="547"/>
      <c r="K57" s="547"/>
      <c r="L57" s="547"/>
      <c r="M57" s="547"/>
      <c r="N57" s="547"/>
      <c r="O57" s="547"/>
      <c r="P57" s="547"/>
      <c r="Q57" s="547"/>
    </row>
    <row r="58" spans="1:17" x14ac:dyDescent="0.25">
      <c r="A58" s="658"/>
      <c r="B58" s="809"/>
      <c r="C58" s="809"/>
      <c r="D58" s="809"/>
      <c r="E58" s="809"/>
      <c r="F58" s="809"/>
      <c r="G58" s="809"/>
      <c r="H58" s="809"/>
      <c r="I58" s="809"/>
      <c r="J58" s="547"/>
      <c r="K58" s="547"/>
      <c r="L58" s="547"/>
      <c r="M58" s="547"/>
      <c r="N58" s="547"/>
      <c r="O58" s="547"/>
      <c r="P58" s="547"/>
      <c r="Q58" s="547"/>
    </row>
    <row r="59" spans="1:17" x14ac:dyDescent="0.25">
      <c r="A59" s="805"/>
      <c r="B59" s="813" t="str">
        <f>IF($B$56="All trusts", Ind_inter_backfile!A4,Ind_inter_backfile!A14)</f>
        <v>Drugs &amp; gases</v>
      </c>
      <c r="C59" s="787" t="s">
        <v>68</v>
      </c>
      <c r="D59" s="787" t="s">
        <v>69</v>
      </c>
      <c r="E59" s="787" t="s">
        <v>70</v>
      </c>
      <c r="F59" s="787" t="s">
        <v>494</v>
      </c>
      <c r="G59" s="787" t="s">
        <v>493</v>
      </c>
      <c r="H59" s="787" t="s">
        <v>492</v>
      </c>
      <c r="I59" s="787" t="s">
        <v>192</v>
      </c>
      <c r="J59" s="787" t="s">
        <v>193</v>
      </c>
      <c r="K59" s="787" t="s">
        <v>194</v>
      </c>
      <c r="L59" s="787" t="s">
        <v>195</v>
      </c>
      <c r="M59" s="787" t="s">
        <v>196</v>
      </c>
      <c r="N59" s="787" t="s">
        <v>6</v>
      </c>
      <c r="O59" s="787" t="s">
        <v>7</v>
      </c>
      <c r="P59" s="787" t="s">
        <v>489</v>
      </c>
      <c r="Q59" s="547"/>
    </row>
    <row r="60" spans="1:17" ht="25.5" x14ac:dyDescent="0.25">
      <c r="A60" s="805"/>
      <c r="B60" s="813" t="str">
        <f>IF($B$56="All trusts", Ind_inter_backfile!A5,Ind_inter_backfile!A15)</f>
        <v>Clinical supplies &amp; services</v>
      </c>
      <c r="C60" s="789" t="s">
        <v>413</v>
      </c>
      <c r="D60" s="789" t="s">
        <v>413</v>
      </c>
      <c r="E60" s="789" t="s">
        <v>413</v>
      </c>
      <c r="F60" s="789" t="s">
        <v>413</v>
      </c>
      <c r="G60" s="789" t="s">
        <v>413</v>
      </c>
      <c r="H60" s="789" t="s">
        <v>413</v>
      </c>
      <c r="I60" s="789" t="e">
        <f>IF(#REF!="All trusts", Ind_inter_backfile!H4,Ind_inter_backfile!H14)</f>
        <v>#REF!</v>
      </c>
      <c r="J60" s="789" t="e">
        <f>IF(#REF!="All trusts", Ind_inter_backfile!I4,Ind_inter_backfile!I14)</f>
        <v>#REF!</v>
      </c>
      <c r="K60" s="789" t="e">
        <f>IF(#REF!="All trusts", Ind_inter_backfile!J4,Ind_inter_backfile!J14)</f>
        <v>#REF!</v>
      </c>
      <c r="L60" s="789" t="e">
        <f>IF(#REF!="All trusts", Ind_inter_backfile!K4,Ind_inter_backfile!K14)</f>
        <v>#REF!</v>
      </c>
      <c r="M60" s="789" t="e">
        <f>IF(#REF!="All trusts", Ind_inter_backfile!L4,Ind_inter_backfile!L14)</f>
        <v>#REF!</v>
      </c>
      <c r="N60" s="789" t="e">
        <f>IF(#REF!="All trusts", Ind_inter_backfile!M4,Ind_inter_backfile!M14)</f>
        <v>#REF!</v>
      </c>
      <c r="O60" s="789" t="e">
        <f>IF(#REF!="All trusts", Ind_inter_backfile!N4,Ind_inter_backfile!N14)</f>
        <v>#REF!</v>
      </c>
      <c r="P60" s="789" t="e">
        <f>IF(#REF!="All trusts", Ind_inter_backfile!O4,Ind_inter_backfile!O14)</f>
        <v>#REF!</v>
      </c>
      <c r="Q60" s="547"/>
    </row>
    <row r="61" spans="1:17" ht="25.5" x14ac:dyDescent="0.25">
      <c r="A61" s="805"/>
      <c r="B61" s="813" t="str">
        <f>IF($B$56="All trusts", Ind_inter_backfile!A6,Ind_inter_backfile!A16)</f>
        <v>General supplies &amp; services</v>
      </c>
      <c r="C61" s="789" t="s">
        <v>413</v>
      </c>
      <c r="D61" s="789" t="s">
        <v>413</v>
      </c>
      <c r="E61" s="789" t="s">
        <v>413</v>
      </c>
      <c r="F61" s="789" t="s">
        <v>413</v>
      </c>
      <c r="G61" s="789" t="s">
        <v>413</v>
      </c>
      <c r="H61" s="789" t="s">
        <v>413</v>
      </c>
      <c r="I61" s="789" t="e">
        <f>IF(#REF!="All trusts", Ind_inter_backfile!H5,Ind_inter_backfile!H15)</f>
        <v>#REF!</v>
      </c>
      <c r="J61" s="789" t="e">
        <f>IF(#REF!="All trusts", Ind_inter_backfile!I5,Ind_inter_backfile!I15)</f>
        <v>#REF!</v>
      </c>
      <c r="K61" s="789" t="e">
        <f>IF(#REF!="All trusts", Ind_inter_backfile!J5,Ind_inter_backfile!J15)</f>
        <v>#REF!</v>
      </c>
      <c r="L61" s="789" t="e">
        <f>IF(#REF!="All trusts", Ind_inter_backfile!K5,Ind_inter_backfile!K15)</f>
        <v>#REF!</v>
      </c>
      <c r="M61" s="789" t="e">
        <f>IF(#REF!="All trusts", Ind_inter_backfile!L5,Ind_inter_backfile!L15)</f>
        <v>#REF!</v>
      </c>
      <c r="N61" s="789" t="e">
        <f>IF(#REF!="All trusts", Ind_inter_backfile!M5,Ind_inter_backfile!M15)</f>
        <v>#REF!</v>
      </c>
      <c r="O61" s="789" t="e">
        <f>IF(#REF!="All trusts", Ind_inter_backfile!N5,Ind_inter_backfile!N15)</f>
        <v>#REF!</v>
      </c>
      <c r="P61" s="789" t="e">
        <f>IF(#REF!="All trusts", Ind_inter_backfile!O5,Ind_inter_backfile!O15)</f>
        <v>#REF!</v>
      </c>
      <c r="Q61" s="547"/>
    </row>
    <row r="62" spans="1:17" x14ac:dyDescent="0.25">
      <c r="A62" s="805"/>
      <c r="B62" s="813" t="str">
        <f>IF($B$56="All trusts", Ind_inter_backfile!A7,Ind_inter_backfile!A17)</f>
        <v>Establishment</v>
      </c>
      <c r="C62" s="789" t="s">
        <v>413</v>
      </c>
      <c r="D62" s="789" t="s">
        <v>413</v>
      </c>
      <c r="E62" s="789" t="s">
        <v>413</v>
      </c>
      <c r="F62" s="789" t="s">
        <v>413</v>
      </c>
      <c r="G62" s="789" t="s">
        <v>413</v>
      </c>
      <c r="H62" s="789" t="s">
        <v>413</v>
      </c>
      <c r="I62" s="789" t="e">
        <f>IF(#REF!="All trusts", Ind_inter_backfile!H6,Ind_inter_backfile!H16)</f>
        <v>#REF!</v>
      </c>
      <c r="J62" s="789" t="e">
        <f>IF(#REF!="All trusts", Ind_inter_backfile!I6,Ind_inter_backfile!I16)</f>
        <v>#REF!</v>
      </c>
      <c r="K62" s="789" t="e">
        <f>IF(#REF!="All trusts", Ind_inter_backfile!J6,Ind_inter_backfile!J16)</f>
        <v>#REF!</v>
      </c>
      <c r="L62" s="789" t="e">
        <f>IF(#REF!="All trusts", Ind_inter_backfile!K6,Ind_inter_backfile!K16)</f>
        <v>#REF!</v>
      </c>
      <c r="M62" s="789" t="e">
        <f>IF(#REF!="All trusts", Ind_inter_backfile!L6,Ind_inter_backfile!L16)</f>
        <v>#REF!</v>
      </c>
      <c r="N62" s="789" t="e">
        <f>IF(#REF!="All trusts", Ind_inter_backfile!M6,Ind_inter_backfile!M16)</f>
        <v>#REF!</v>
      </c>
      <c r="O62" s="789" t="e">
        <f>IF(#REF!="All trusts", Ind_inter_backfile!N6,Ind_inter_backfile!N16)</f>
        <v>#REF!</v>
      </c>
      <c r="P62" s="789" t="e">
        <f>IF(#REF!="All trusts", Ind_inter_backfile!O6,Ind_inter_backfile!O16)</f>
        <v>#REF!</v>
      </c>
      <c r="Q62" s="547"/>
    </row>
    <row r="63" spans="1:17" x14ac:dyDescent="0.25">
      <c r="A63" s="805"/>
      <c r="B63" s="813" t="str">
        <f>IF($B$56="All trusts", Ind_inter_backfile!A8,Ind_inter_backfile!A18)</f>
        <v>Energy &amp; premises</v>
      </c>
      <c r="C63" s="789" t="s">
        <v>413</v>
      </c>
      <c r="D63" s="789" t="s">
        <v>413</v>
      </c>
      <c r="E63" s="789" t="s">
        <v>413</v>
      </c>
      <c r="F63" s="789" t="s">
        <v>413</v>
      </c>
      <c r="G63" s="789" t="s">
        <v>413</v>
      </c>
      <c r="H63" s="789" t="s">
        <v>413</v>
      </c>
      <c r="I63" s="789" t="e">
        <f>IF(#REF!="All trusts", Ind_inter_backfile!H7,Ind_inter_backfile!H17)</f>
        <v>#REF!</v>
      </c>
      <c r="J63" s="789" t="e">
        <f>IF(#REF!="All trusts", Ind_inter_backfile!I7,Ind_inter_backfile!I17)</f>
        <v>#REF!</v>
      </c>
      <c r="K63" s="789" t="e">
        <f>IF(#REF!="All trusts", Ind_inter_backfile!J7,Ind_inter_backfile!J17)</f>
        <v>#REF!</v>
      </c>
      <c r="L63" s="789" t="e">
        <f>IF(#REF!="All trusts", Ind_inter_backfile!K7,Ind_inter_backfile!K17)</f>
        <v>#REF!</v>
      </c>
      <c r="M63" s="789" t="e">
        <f>IF(#REF!="All trusts", Ind_inter_backfile!L7,Ind_inter_backfile!L17)</f>
        <v>#REF!</v>
      </c>
      <c r="N63" s="789" t="e">
        <f>IF(#REF!="All trusts", Ind_inter_backfile!M7,Ind_inter_backfile!M17)</f>
        <v>#REF!</v>
      </c>
      <c r="O63" s="789" t="e">
        <f>IF(#REF!="All trusts", Ind_inter_backfile!N7,Ind_inter_backfile!N17)</f>
        <v>#REF!</v>
      </c>
      <c r="P63" s="789" t="e">
        <f>IF(#REF!="All trusts", Ind_inter_backfile!O7,Ind_inter_backfile!O17)</f>
        <v>#REF!</v>
      </c>
      <c r="Q63" s="547"/>
    </row>
    <row r="64" spans="1:17" ht="25.5" x14ac:dyDescent="0.25">
      <c r="A64" s="805"/>
      <c r="B64" s="813" t="str">
        <f>IF($B$56="All trusts", Ind_inter_backfile!A9,Ind_inter_backfile!A19)</f>
        <v>External purchasing</v>
      </c>
      <c r="C64" s="789" t="s">
        <v>413</v>
      </c>
      <c r="D64" s="789" t="s">
        <v>413</v>
      </c>
      <c r="E64" s="789" t="s">
        <v>413</v>
      </c>
      <c r="F64" s="789" t="s">
        <v>413</v>
      </c>
      <c r="G64" s="789" t="s">
        <v>413</v>
      </c>
      <c r="H64" s="789" t="s">
        <v>413</v>
      </c>
      <c r="I64" s="789" t="e">
        <f>IF(#REF!="All trusts", Ind_inter_backfile!H8,Ind_inter_backfile!H18)</f>
        <v>#REF!</v>
      </c>
      <c r="J64" s="789" t="e">
        <f>IF(#REF!="All trusts", Ind_inter_backfile!I8,Ind_inter_backfile!I18)</f>
        <v>#REF!</v>
      </c>
      <c r="K64" s="789" t="e">
        <f>IF(#REF!="All trusts", Ind_inter_backfile!J8,Ind_inter_backfile!J18)</f>
        <v>#REF!</v>
      </c>
      <c r="L64" s="789" t="e">
        <f>IF(#REF!="All trusts", Ind_inter_backfile!K8,Ind_inter_backfile!K18)</f>
        <v>#REF!</v>
      </c>
      <c r="M64" s="789" t="e">
        <f>IF(#REF!="All trusts", Ind_inter_backfile!L8,Ind_inter_backfile!L18)</f>
        <v>#REF!</v>
      </c>
      <c r="N64" s="789" t="e">
        <f>IF(#REF!="All trusts", Ind_inter_backfile!M8,Ind_inter_backfile!M18)</f>
        <v>#REF!</v>
      </c>
      <c r="O64" s="789" t="e">
        <f>IF(#REF!="All trusts", Ind_inter_backfile!N8,Ind_inter_backfile!N18)</f>
        <v>#REF!</v>
      </c>
      <c r="P64" s="789" t="e">
        <f>IF(#REF!="All trusts", Ind_inter_backfile!O8,Ind_inter_backfile!O18)</f>
        <v>#REF!</v>
      </c>
      <c r="Q64" s="547"/>
    </row>
    <row r="65" spans="1:17" x14ac:dyDescent="0.25">
      <c r="A65" s="658"/>
      <c r="B65" s="813" t="str">
        <f>IF($B$56="All trusts", Ind_inter_backfile!A10,Ind_inter_backfile!A20)</f>
        <v>Miscellaneous</v>
      </c>
      <c r="C65" s="789" t="s">
        <v>413</v>
      </c>
      <c r="D65" s="789" t="s">
        <v>413</v>
      </c>
      <c r="E65" s="789" t="s">
        <v>413</v>
      </c>
      <c r="F65" s="789" t="s">
        <v>413</v>
      </c>
      <c r="G65" s="789" t="s">
        <v>413</v>
      </c>
      <c r="H65" s="789" t="s">
        <v>413</v>
      </c>
      <c r="I65" s="789" t="e">
        <f>IF(#REF!="All trusts", Ind_inter_backfile!H9,Ind_inter_backfile!H19)</f>
        <v>#REF!</v>
      </c>
      <c r="J65" s="789" t="e">
        <f>IF(#REF!="All trusts", Ind_inter_backfile!I9,Ind_inter_backfile!I19)</f>
        <v>#REF!</v>
      </c>
      <c r="K65" s="789" t="e">
        <f>IF(#REF!="All trusts", Ind_inter_backfile!J9,Ind_inter_backfile!J19)</f>
        <v>#REF!</v>
      </c>
      <c r="L65" s="789" t="e">
        <f>IF(#REF!="All trusts", Ind_inter_backfile!K9,Ind_inter_backfile!K19)</f>
        <v>#REF!</v>
      </c>
      <c r="M65" s="789" t="e">
        <f>IF(#REF!="All trusts", Ind_inter_backfile!L9,Ind_inter_backfile!L19)</f>
        <v>#REF!</v>
      </c>
      <c r="N65" s="789" t="e">
        <f>IF(#REF!="All trusts", Ind_inter_backfile!M9,Ind_inter_backfile!M19)</f>
        <v>#REF!</v>
      </c>
      <c r="O65" s="789" t="e">
        <f>IF(#REF!="All trusts", Ind_inter_backfile!N9,Ind_inter_backfile!N19)</f>
        <v>#REF!</v>
      </c>
      <c r="P65" s="789" t="e">
        <f>IF(#REF!="All trusts", Ind_inter_backfile!O9,Ind_inter_backfile!O19)</f>
        <v>#REF!</v>
      </c>
      <c r="Q65" s="547"/>
    </row>
    <row r="66" spans="1:17" x14ac:dyDescent="0.25">
      <c r="A66" s="658"/>
      <c r="B66" s="814" t="str">
        <f>IF($B$56="All trusts", Ind_inter_backfile!A11,Ind_inter_backfile!A21)</f>
        <v>Total intermediates</v>
      </c>
      <c r="C66" s="789" t="s">
        <v>413</v>
      </c>
      <c r="D66" s="789" t="s">
        <v>413</v>
      </c>
      <c r="E66" s="789" t="s">
        <v>413</v>
      </c>
      <c r="F66" s="789" t="s">
        <v>413</v>
      </c>
      <c r="G66" s="789" t="s">
        <v>413</v>
      </c>
      <c r="H66" s="789" t="s">
        <v>413</v>
      </c>
      <c r="I66" s="789" t="e">
        <f>IF(#REF!="All trusts", Ind_inter_backfile!H10,Ind_inter_backfile!H20)</f>
        <v>#REF!</v>
      </c>
      <c r="J66" s="789" t="e">
        <f>IF(#REF!="All trusts", Ind_inter_backfile!I10,Ind_inter_backfile!I20)</f>
        <v>#REF!</v>
      </c>
      <c r="K66" s="789" t="e">
        <f>IF(#REF!="All trusts", Ind_inter_backfile!J10,Ind_inter_backfile!J20)</f>
        <v>#REF!</v>
      </c>
      <c r="L66" s="789" t="e">
        <f>IF(#REF!="All trusts", Ind_inter_backfile!K10,Ind_inter_backfile!K20)</f>
        <v>#REF!</v>
      </c>
      <c r="M66" s="789" t="e">
        <f>IF(#REF!="All trusts", Ind_inter_backfile!L10,Ind_inter_backfile!L20)</f>
        <v>#REF!</v>
      </c>
      <c r="N66" s="789" t="e">
        <f>IF(#REF!="All trusts", Ind_inter_backfile!M10,Ind_inter_backfile!M20)</f>
        <v>#REF!</v>
      </c>
      <c r="O66" s="789" t="e">
        <f>IF(#REF!="All trusts", Ind_inter_backfile!N10,Ind_inter_backfile!N20)</f>
        <v>#REF!</v>
      </c>
      <c r="P66" s="789" t="e">
        <f>IF(#REF!="All trusts", Ind_inter_backfile!O10,Ind_inter_backfile!O20)</f>
        <v>#REF!</v>
      </c>
      <c r="Q66" s="547"/>
    </row>
    <row r="67" spans="1:17" x14ac:dyDescent="0.25">
      <c r="A67" s="658"/>
      <c r="B67" s="547"/>
      <c r="C67" s="789" t="s">
        <v>413</v>
      </c>
      <c r="D67" s="789" t="s">
        <v>413</v>
      </c>
      <c r="E67" s="789" t="s">
        <v>413</v>
      </c>
      <c r="F67" s="789" t="s">
        <v>413</v>
      </c>
      <c r="G67" s="789" t="s">
        <v>413</v>
      </c>
      <c r="H67" s="789" t="s">
        <v>413</v>
      </c>
      <c r="I67" s="789" t="e">
        <f>IF(#REF!="All trusts", Ind_inter_backfile!H11,Ind_inter_backfile!H21)</f>
        <v>#REF!</v>
      </c>
      <c r="J67" s="789" t="e">
        <f>IF(#REF!="All trusts", Ind_inter_backfile!I11,Ind_inter_backfile!I21)</f>
        <v>#REF!</v>
      </c>
      <c r="K67" s="789" t="e">
        <f>IF(#REF!="All trusts", Ind_inter_backfile!J11,Ind_inter_backfile!J21)</f>
        <v>#REF!</v>
      </c>
      <c r="L67" s="789" t="e">
        <f>IF(#REF!="All trusts", Ind_inter_backfile!K11,Ind_inter_backfile!K21)</f>
        <v>#REF!</v>
      </c>
      <c r="M67" s="789" t="e">
        <f>IF(#REF!="All trusts", Ind_inter_backfile!L11,Ind_inter_backfile!L21)</f>
        <v>#REF!</v>
      </c>
      <c r="N67" s="789" t="e">
        <f>IF(#REF!="All trusts", Ind_inter_backfile!M11,Ind_inter_backfile!M21)</f>
        <v>#REF!</v>
      </c>
      <c r="O67" s="789" t="e">
        <f>IF(#REF!="All trusts", Ind_inter_backfile!N11,Ind_inter_backfile!N21)</f>
        <v>#REF!</v>
      </c>
      <c r="P67" s="789" t="e">
        <f>IF(#REF!="All trusts", Ind_inter_backfile!O11,Ind_inter_backfile!O21)</f>
        <v>#REF!</v>
      </c>
      <c r="Q67" s="547"/>
    </row>
    <row r="68" spans="1:17" x14ac:dyDescent="0.25">
      <c r="A68" s="658"/>
      <c r="B68" s="658"/>
      <c r="C68" s="547"/>
      <c r="D68" s="547"/>
      <c r="E68" s="547"/>
      <c r="F68" s="547"/>
      <c r="G68" s="547"/>
      <c r="H68" s="547"/>
      <c r="I68" s="547"/>
      <c r="J68" s="547"/>
      <c r="K68" s="547"/>
      <c r="L68" s="547"/>
      <c r="M68" s="547"/>
      <c r="N68" s="547"/>
      <c r="O68" s="547"/>
      <c r="P68" s="547"/>
      <c r="Q68" s="547"/>
    </row>
    <row r="69" spans="1:17" x14ac:dyDescent="0.25">
      <c r="A69" s="658"/>
      <c r="B69" s="658"/>
      <c r="C69" s="658"/>
      <c r="D69" s="658"/>
      <c r="E69" s="658"/>
      <c r="F69" s="658"/>
      <c r="G69" s="658"/>
      <c r="H69" s="658"/>
      <c r="I69" s="658"/>
      <c r="J69" s="658"/>
      <c r="K69" s="658"/>
      <c r="L69" s="658"/>
      <c r="M69" s="658"/>
      <c r="N69" s="658"/>
      <c r="O69" s="658"/>
      <c r="P69" s="658"/>
    </row>
    <row r="70" spans="1:17" x14ac:dyDescent="0.25">
      <c r="A70" s="658"/>
      <c r="B70" s="658"/>
      <c r="C70" s="658"/>
      <c r="D70" s="658"/>
      <c r="E70" s="658"/>
      <c r="F70" s="658"/>
      <c r="G70" s="658"/>
      <c r="H70" s="658"/>
      <c r="I70" s="658"/>
      <c r="J70" s="658"/>
      <c r="K70" s="658"/>
      <c r="L70" s="658"/>
      <c r="M70" s="658"/>
      <c r="N70" s="658"/>
      <c r="O70" s="658"/>
      <c r="P70" s="658"/>
    </row>
    <row r="71" spans="1:17" x14ac:dyDescent="0.25">
      <c r="A71" s="658"/>
      <c r="C71" s="658"/>
      <c r="D71" s="658"/>
      <c r="E71" s="658"/>
      <c r="F71" s="658"/>
      <c r="G71" s="658"/>
      <c r="H71" s="658"/>
      <c r="I71" s="658"/>
      <c r="J71" s="658"/>
      <c r="K71" s="658"/>
      <c r="L71" s="658"/>
      <c r="M71" s="658"/>
      <c r="N71" s="658"/>
      <c r="O71" s="658"/>
      <c r="P71" s="658"/>
    </row>
  </sheetData>
  <mergeCells count="7">
    <mergeCell ref="I9:J9"/>
    <mergeCell ref="I10:J10"/>
    <mergeCell ref="I11:J11"/>
    <mergeCell ref="I12:J12"/>
    <mergeCell ref="K10:L10"/>
    <mergeCell ref="K11:L11"/>
    <mergeCell ref="K12:L12"/>
  </mergeCells>
  <conditionalFormatting sqref="I38:P44">
    <cfRule type="dataBar" priority="6">
      <dataBar>
        <cfvo type="min"/>
        <cfvo type="max"/>
        <color theme="4" tint="0.59999389629810485"/>
      </dataBar>
    </cfRule>
  </conditionalFormatting>
  <conditionalFormatting sqref="I45:P45">
    <cfRule type="colorScale" priority="5">
      <colorScale>
        <cfvo type="min"/>
        <cfvo type="max"/>
        <color rgb="FFFFEF9C"/>
        <color rgb="FF63BE7B"/>
      </colorScale>
    </cfRule>
  </conditionalFormatting>
  <conditionalFormatting sqref="E10:E12">
    <cfRule type="iconSet" priority="18">
      <iconSet iconSet="3Arrows" showValue="0">
        <cfvo type="percent" val="0"/>
        <cfvo type="num" val="0"/>
        <cfvo type="num" val="0"/>
      </iconSet>
    </cfRule>
  </conditionalFormatting>
  <conditionalFormatting sqref="E10:E12">
    <cfRule type="iconSet" priority="20">
      <iconSet iconSet="3Arrows" showValue="0">
        <cfvo type="percent" val="0"/>
        <cfvo type="percent" val="33"/>
        <cfvo type="percent" val="67"/>
      </iconSet>
    </cfRule>
  </conditionalFormatting>
  <dataValidations count="2">
    <dataValidation allowBlank="1" showInputMessage="1" showErrorMessage="1" prompt="This includes data on purchases from non-NHS bodies as reported in the financial return" sqref="B64"/>
    <dataValidation type="list" allowBlank="1" showInputMessage="1" showErrorMessage="1" sqref="B56">
      <formula1>inter_prov</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6801" r:id="rId4" name="Check Box 1">
              <controlPr defaultSize="0" autoFill="0" autoLine="0" autoPict="0">
                <anchor moveWithCells="1">
                  <from>
                    <xdr:col>0</xdr:col>
                    <xdr:colOff>571500</xdr:colOff>
                    <xdr:row>12</xdr:row>
                    <xdr:rowOff>180975</xdr:rowOff>
                  </from>
                  <to>
                    <xdr:col>1</xdr:col>
                    <xdr:colOff>1009650</xdr:colOff>
                    <xdr:row>13</xdr:row>
                    <xdr:rowOff>114300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4" tint="0.39997558519241921"/>
  </sheetPr>
  <dimension ref="A1:AE90"/>
  <sheetViews>
    <sheetView showGridLines="0" showRowColHeaders="0" zoomScaleNormal="100" workbookViewId="0">
      <selection activeCell="E28" sqref="E28"/>
    </sheetView>
  </sheetViews>
  <sheetFormatPr defaultRowHeight="15" x14ac:dyDescent="0.25"/>
  <cols>
    <col min="1" max="1" width="9.140625" style="233"/>
    <col min="2" max="2" width="18.85546875" style="233" customWidth="1"/>
    <col min="3" max="3" width="10.85546875" style="233" customWidth="1"/>
    <col min="4" max="4" width="11.7109375" style="233" customWidth="1"/>
    <col min="5" max="5" width="7.85546875" style="233" customWidth="1"/>
    <col min="6" max="6" width="15.7109375" style="233" customWidth="1"/>
    <col min="7" max="7" width="10.85546875" style="233" customWidth="1"/>
    <col min="8" max="8" width="8.7109375" style="233" customWidth="1"/>
    <col min="9" max="9" width="30.7109375" style="233" customWidth="1"/>
    <col min="10" max="10" width="8.7109375" style="233" customWidth="1"/>
    <col min="11" max="11" width="30.7109375" style="233" customWidth="1"/>
    <col min="12" max="16" width="8.7109375" style="233" customWidth="1"/>
    <col min="17" max="16384" width="9.140625" style="233"/>
  </cols>
  <sheetData>
    <row r="1" spans="1:31" x14ac:dyDescent="0.25">
      <c r="B1" s="658"/>
      <c r="C1" s="658"/>
      <c r="D1" s="658"/>
      <c r="E1" s="658"/>
      <c r="F1" s="658"/>
    </row>
    <row r="4" spans="1:31" ht="31.5" x14ac:dyDescent="0.5">
      <c r="B4" s="626" t="s">
        <v>57</v>
      </c>
    </row>
    <row r="5" spans="1:31" ht="18" customHeight="1" x14ac:dyDescent="0.9">
      <c r="B5" s="762"/>
    </row>
    <row r="6" spans="1:31" ht="18" customHeight="1" x14ac:dyDescent="0.25">
      <c r="B6" s="627" t="s">
        <v>393</v>
      </c>
      <c r="C6" s="276"/>
      <c r="D6" s="276"/>
      <c r="E6" s="276"/>
      <c r="F6" s="276"/>
      <c r="G6" s="276"/>
      <c r="H6" s="276"/>
      <c r="I6" s="276"/>
    </row>
    <row r="7" spans="1:31" ht="18" customHeight="1" x14ac:dyDescent="0.25">
      <c r="A7" s="259">
        <v>1</v>
      </c>
      <c r="B7" s="723" t="s">
        <v>429</v>
      </c>
      <c r="C7" s="279"/>
      <c r="D7" s="279"/>
      <c r="E7" s="279"/>
      <c r="F7" s="279"/>
      <c r="G7" s="276"/>
      <c r="H7" s="276"/>
      <c r="I7" s="276"/>
    </row>
    <row r="8" spans="1:31" ht="18" customHeight="1" x14ac:dyDescent="0.25">
      <c r="B8" s="627"/>
      <c r="C8" s="276"/>
      <c r="D8" s="276"/>
      <c r="E8" s="276"/>
      <c r="F8" s="276"/>
      <c r="G8" s="276"/>
      <c r="H8" s="276"/>
      <c r="I8" s="276"/>
    </row>
    <row r="9" spans="1:31" ht="26.1" customHeight="1" x14ac:dyDescent="0.25">
      <c r="A9" s="840"/>
      <c r="B9" s="770" t="s">
        <v>428</v>
      </c>
      <c r="C9" s="1624" t="s">
        <v>508</v>
      </c>
      <c r="D9" s="790" t="s">
        <v>655</v>
      </c>
      <c r="E9" s="764"/>
      <c r="F9" s="764" t="s">
        <v>526</v>
      </c>
      <c r="G9" s="764" t="s">
        <v>507</v>
      </c>
      <c r="H9" s="920" t="s">
        <v>556</v>
      </c>
      <c r="I9" s="790" t="s">
        <v>503</v>
      </c>
      <c r="J9" s="914" t="s">
        <v>536</v>
      </c>
      <c r="K9" s="839"/>
      <c r="L9" s="694"/>
      <c r="M9" s="694"/>
      <c r="N9" s="694"/>
      <c r="O9" s="694"/>
      <c r="P9" s="694"/>
      <c r="Q9" s="694"/>
      <c r="R9" s="657"/>
      <c r="S9" s="657"/>
      <c r="T9" s="657"/>
      <c r="U9" s="657"/>
      <c r="V9" s="657"/>
      <c r="W9" s="657"/>
      <c r="X9" s="765"/>
      <c r="Y9" s="765"/>
      <c r="Z9" s="765"/>
    </row>
    <row r="10" spans="1:31" ht="24.95" customHeight="1" x14ac:dyDescent="0.25">
      <c r="A10" s="840"/>
      <c r="B10" s="795" t="s">
        <v>266</v>
      </c>
      <c r="C10" s="1382">
        <v>14941588</v>
      </c>
      <c r="D10" s="791">
        <f>P50/O50-1</f>
        <v>9.5164574285180992E-2</v>
      </c>
      <c r="E10" s="792">
        <f>D10</f>
        <v>9.5164574285180992E-2</v>
      </c>
      <c r="F10" s="915">
        <f>MIN(C50:P50)</f>
        <v>8969197</v>
      </c>
      <c r="G10" s="915">
        <f>MAX(C50:P50)</f>
        <v>14194667.888351999</v>
      </c>
      <c r="H10" s="921">
        <f>C44/1000000</f>
        <v>5.0771177869999997</v>
      </c>
      <c r="I10" s="922"/>
      <c r="J10" s="923">
        <v>14.9</v>
      </c>
      <c r="K10" s="841"/>
      <c r="L10" s="766"/>
      <c r="M10" s="766"/>
      <c r="N10" s="766"/>
      <c r="O10" s="766"/>
      <c r="P10" s="766"/>
      <c r="Q10" s="767"/>
      <c r="R10" s="767"/>
      <c r="S10" s="657"/>
      <c r="T10" s="657"/>
      <c r="U10" s="657"/>
      <c r="V10" s="657"/>
      <c r="W10" s="657"/>
      <c r="X10" s="657"/>
      <c r="Y10" s="765"/>
      <c r="Z10" s="765"/>
      <c r="AA10" s="765"/>
      <c r="AB10" s="768"/>
      <c r="AC10" s="768"/>
      <c r="AD10" s="768"/>
      <c r="AE10" s="769"/>
    </row>
    <row r="11" spans="1:31" ht="24.95" customHeight="1" x14ac:dyDescent="0.25">
      <c r="A11" s="840"/>
      <c r="B11" s="795" t="s">
        <v>56</v>
      </c>
      <c r="C11" s="1382">
        <f xml:space="preserve"> P51</f>
        <v>10505817.52482</v>
      </c>
      <c r="D11" s="791">
        <f>P51/O51-1</f>
        <v>-3.3844846101759307E-2</v>
      </c>
      <c r="E11" s="792">
        <f>D11</f>
        <v>-3.3844846101759307E-2</v>
      </c>
      <c r="F11" s="915">
        <f>MIN(C51:P51)</f>
        <v>6792028</v>
      </c>
      <c r="G11" s="915">
        <f>MAX(C51:P51)</f>
        <v>10873841</v>
      </c>
      <c r="H11" s="921">
        <f>I45/1000000</f>
        <v>4.9322509999999999</v>
      </c>
      <c r="I11" s="922"/>
      <c r="J11" s="923">
        <f>P51/1000000</f>
        <v>10.505817524819999</v>
      </c>
      <c r="K11" s="841"/>
      <c r="L11" s="766"/>
      <c r="M11" s="766"/>
      <c r="N11" s="766"/>
      <c r="O11" s="766"/>
      <c r="P11" s="766"/>
      <c r="Q11" s="767"/>
      <c r="R11" s="767"/>
      <c r="S11" s="657"/>
      <c r="T11" s="657"/>
      <c r="U11" s="657"/>
      <c r="V11" s="657"/>
      <c r="W11" s="657"/>
      <c r="X11" s="657"/>
      <c r="Y11" s="765"/>
      <c r="Z11" s="765"/>
      <c r="AA11" s="765"/>
      <c r="AB11" s="768"/>
      <c r="AC11" s="768"/>
      <c r="AD11" s="768"/>
      <c r="AE11" s="769"/>
    </row>
    <row r="12" spans="1:31" ht="24.95" customHeight="1" x14ac:dyDescent="0.25">
      <c r="A12" s="840"/>
      <c r="B12" s="795" t="s">
        <v>265</v>
      </c>
      <c r="C12" s="1382">
        <f xml:space="preserve"> P52</f>
        <v>75130</v>
      </c>
      <c r="D12" s="791">
        <f>P52/O52-1</f>
        <v>-0.21946100941259583</v>
      </c>
      <c r="E12" s="792">
        <f>D12</f>
        <v>-0.21946100941259583</v>
      </c>
      <c r="F12" s="915">
        <f>MIN(C52:P52)</f>
        <v>72493</v>
      </c>
      <c r="G12" s="915">
        <f>MAX(C52:P52)</f>
        <v>111812</v>
      </c>
      <c r="H12" s="921">
        <f>I46/1000000</f>
        <v>5.8721000000000002E-2</v>
      </c>
      <c r="I12" s="922"/>
      <c r="J12" s="923">
        <f>P52/1000000</f>
        <v>7.5130000000000002E-2</v>
      </c>
      <c r="K12" s="841"/>
      <c r="L12" s="766"/>
      <c r="M12" s="766"/>
      <c r="N12" s="766"/>
      <c r="O12" s="766"/>
      <c r="P12" s="766"/>
      <c r="Q12" s="767"/>
      <c r="R12" s="767"/>
      <c r="S12" s="657"/>
      <c r="T12" s="657"/>
      <c r="U12" s="657"/>
      <c r="V12" s="657"/>
      <c r="W12" s="657"/>
      <c r="X12" s="657"/>
      <c r="Y12" s="657"/>
      <c r="Z12" s="657"/>
      <c r="AA12" s="657"/>
      <c r="AB12" s="768"/>
      <c r="AC12" s="768"/>
      <c r="AD12" s="768"/>
      <c r="AE12" s="769"/>
    </row>
    <row r="13" spans="1:31" ht="24.95" customHeight="1" x14ac:dyDescent="0.25">
      <c r="A13" s="842"/>
      <c r="B13" s="770" t="s">
        <v>229</v>
      </c>
      <c r="C13" s="1382">
        <f>SUM(C10:C12)</f>
        <v>25522535.52482</v>
      </c>
      <c r="D13" s="791">
        <f>P53/O53-1</f>
        <v>3.5280194525549202E-2</v>
      </c>
      <c r="E13" s="825">
        <f>D13</f>
        <v>3.5280194525549202E-2</v>
      </c>
      <c r="F13" s="915">
        <f>MIN(C53:P53)</f>
        <v>15833718</v>
      </c>
      <c r="G13" s="915">
        <f>C13</f>
        <v>25522535.52482</v>
      </c>
      <c r="H13" s="921">
        <f>C47/1000000</f>
        <v>10.445008787000001</v>
      </c>
      <c r="I13" s="922"/>
      <c r="J13" s="923">
        <v>25.5</v>
      </c>
      <c r="K13" s="841"/>
      <c r="L13" s="766"/>
      <c r="M13" s="766"/>
      <c r="N13" s="766"/>
      <c r="O13" s="766"/>
      <c r="P13" s="766"/>
      <c r="Q13" s="766"/>
      <c r="R13" s="766"/>
      <c r="S13" s="657"/>
      <c r="T13" s="657"/>
      <c r="U13" s="657"/>
      <c r="V13" s="657"/>
      <c r="W13" s="657"/>
      <c r="X13" s="657"/>
      <c r="Y13" s="657"/>
      <c r="Z13" s="657"/>
      <c r="AA13" s="657"/>
    </row>
    <row r="14" spans="1:31" ht="18" customHeight="1" x14ac:dyDescent="0.25">
      <c r="A14" s="842" t="b">
        <v>0</v>
      </c>
      <c r="B14" s="770"/>
      <c r="C14" s="1382"/>
      <c r="D14" s="771"/>
      <c r="E14" s="771"/>
      <c r="F14" s="915"/>
      <c r="G14" s="915"/>
      <c r="H14" s="924"/>
      <c r="I14" s="924"/>
      <c r="J14" s="924"/>
      <c r="K14" s="766"/>
      <c r="L14" s="766"/>
      <c r="M14" s="766"/>
      <c r="N14" s="766"/>
      <c r="O14" s="766"/>
      <c r="P14" s="766"/>
      <c r="Q14" s="657"/>
      <c r="R14" s="657"/>
      <c r="S14" s="657"/>
      <c r="T14" s="657"/>
      <c r="U14" s="657"/>
      <c r="V14" s="657"/>
      <c r="W14" s="657"/>
      <c r="X14" s="657"/>
      <c r="Y14" s="657"/>
    </row>
    <row r="15" spans="1:31" ht="18" customHeight="1" x14ac:dyDescent="0.25">
      <c r="A15" s="530"/>
      <c r="B15" s="779"/>
      <c r="C15" s="701"/>
      <c r="D15" s="701"/>
      <c r="E15" s="700"/>
      <c r="F15" s="318"/>
      <c r="G15" s="660"/>
      <c r="H15" s="925"/>
      <c r="I15" s="925"/>
      <c r="J15" s="924"/>
      <c r="K15" s="766"/>
      <c r="L15" s="766"/>
      <c r="M15" s="766"/>
      <c r="N15" s="766"/>
      <c r="O15" s="766"/>
      <c r="P15" s="766"/>
      <c r="Q15" s="657"/>
      <c r="R15" s="657"/>
      <c r="S15" s="657"/>
      <c r="T15" s="657"/>
      <c r="U15" s="657"/>
      <c r="V15" s="657"/>
      <c r="W15" s="657"/>
      <c r="X15" s="657"/>
      <c r="Y15" s="657"/>
    </row>
    <row r="16" spans="1:31" ht="18" customHeight="1" x14ac:dyDescent="0.25">
      <c r="B16" s="927" t="s">
        <v>469</v>
      </c>
      <c r="C16" s="382"/>
      <c r="D16" s="276"/>
      <c r="E16" s="707"/>
      <c r="F16" s="318"/>
      <c r="G16" s="660"/>
      <c r="H16" s="925"/>
      <c r="I16" s="925"/>
      <c r="J16" s="926"/>
      <c r="K16" s="833"/>
      <c r="L16" s="377"/>
      <c r="M16" s="657"/>
      <c r="N16" s="657"/>
      <c r="O16" s="657"/>
      <c r="P16" s="657"/>
      <c r="Q16" s="657"/>
      <c r="R16" s="657"/>
      <c r="S16" s="657"/>
      <c r="T16" s="657"/>
    </row>
    <row r="17" spans="1:21" x14ac:dyDescent="0.25">
      <c r="A17" s="774"/>
      <c r="B17" s="670" t="s">
        <v>427</v>
      </c>
      <c r="C17" s="276"/>
      <c r="D17" s="276"/>
      <c r="E17" s="707"/>
      <c r="F17" s="318"/>
      <c r="G17" s="660"/>
      <c r="H17" s="925"/>
      <c r="I17" s="925"/>
      <c r="J17" s="786"/>
      <c r="K17" s="781"/>
      <c r="L17" s="777"/>
    </row>
    <row r="18" spans="1:21" x14ac:dyDescent="0.25">
      <c r="A18" s="774"/>
      <c r="B18" s="397" t="s">
        <v>266</v>
      </c>
      <c r="C18" s="276"/>
      <c r="D18" s="276"/>
      <c r="E18" s="707"/>
      <c r="F18" s="318"/>
      <c r="G18" s="660"/>
      <c r="H18" s="925"/>
      <c r="I18" s="925"/>
      <c r="J18" s="786"/>
      <c r="K18" s="781"/>
      <c r="L18" s="777"/>
      <c r="M18" s="657"/>
      <c r="N18" s="657"/>
      <c r="O18" s="657"/>
      <c r="P18" s="657"/>
      <c r="Q18" s="657"/>
      <c r="R18" s="657"/>
      <c r="S18" s="768"/>
      <c r="T18" s="768"/>
    </row>
    <row r="19" spans="1:21" x14ac:dyDescent="0.25">
      <c r="A19" s="774"/>
      <c r="B19" s="276"/>
      <c r="C19" s="276"/>
      <c r="D19" s="276"/>
      <c r="E19" s="707"/>
      <c r="F19" s="318"/>
      <c r="G19" s="660"/>
      <c r="H19" s="925"/>
      <c r="I19" s="925"/>
      <c r="J19" s="786"/>
      <c r="K19" s="781"/>
      <c r="L19" s="777"/>
      <c r="M19" s="657"/>
      <c r="N19" s="657"/>
      <c r="O19" s="657"/>
      <c r="P19" s="657"/>
      <c r="Q19" s="657"/>
      <c r="R19" s="657"/>
      <c r="S19" s="768"/>
      <c r="T19" s="768"/>
    </row>
    <row r="20" spans="1:21" ht="25.5" x14ac:dyDescent="0.25">
      <c r="B20" s="276"/>
      <c r="C20" s="1624" t="s">
        <v>508</v>
      </c>
      <c r="D20" s="790" t="s">
        <v>525</v>
      </c>
      <c r="E20" s="914"/>
      <c r="F20" s="764" t="s">
        <v>526</v>
      </c>
      <c r="G20" s="764" t="s">
        <v>507</v>
      </c>
      <c r="H20" s="920" t="s">
        <v>556</v>
      </c>
      <c r="I20" s="790" t="s">
        <v>503</v>
      </c>
      <c r="J20" s="914" t="s">
        <v>536</v>
      </c>
      <c r="K20" s="781"/>
      <c r="L20" s="781"/>
      <c r="M20" s="778"/>
      <c r="N20" s="657"/>
      <c r="O20" s="657"/>
      <c r="P20" s="657"/>
      <c r="Q20" s="657"/>
      <c r="R20" s="657"/>
      <c r="S20" s="657"/>
      <c r="T20" s="768"/>
      <c r="U20" s="768"/>
    </row>
    <row r="21" spans="1:21" ht="24.95" customHeight="1" x14ac:dyDescent="0.25">
      <c r="B21" s="843" t="str">
        <f>B55</f>
        <v>Drugs &amp; gases</v>
      </c>
      <c r="C21" s="1019">
        <f>P61</f>
        <v>4433103.6488100002</v>
      </c>
      <c r="D21" s="713">
        <f>P61/O61-1</f>
        <v>7.8318079322755363E-2</v>
      </c>
      <c r="E21" s="731">
        <f>D21</f>
        <v>7.8318079322755363E-2</v>
      </c>
      <c r="F21" s="631">
        <f t="shared" ref="F21:F28" si="0">MIN(I61:P61)</f>
        <v>888577</v>
      </c>
      <c r="G21" s="631">
        <f t="shared" ref="G21:G28" si="1">MAX(I61:P61)</f>
        <v>4433103.6488100002</v>
      </c>
      <c r="H21" s="919">
        <f>I55/1000000</f>
        <v>2.591885</v>
      </c>
      <c r="I21" s="1945"/>
      <c r="J21" s="1818">
        <f>P61/1000000</f>
        <v>4.4331036488100004</v>
      </c>
    </row>
    <row r="22" spans="1:21" ht="24.95" customHeight="1" x14ac:dyDescent="0.25">
      <c r="B22" s="843" t="str">
        <f t="shared" ref="B22:B28" si="2">B56</f>
        <v>Clinical supplies &amp; services</v>
      </c>
      <c r="C22" s="1019">
        <f t="shared" ref="C22:C28" si="3">P62</f>
        <v>1657692.166894</v>
      </c>
      <c r="D22" s="713">
        <f t="shared" ref="D22:D28" si="4">P62/O62-1</f>
        <v>0.13863432396933772</v>
      </c>
      <c r="E22" s="731">
        <f t="shared" ref="E22:E28" si="5">D22</f>
        <v>0.13863432396933772</v>
      </c>
      <c r="F22" s="631">
        <f t="shared" si="0"/>
        <v>748493</v>
      </c>
      <c r="G22" s="631">
        <f t="shared" si="1"/>
        <v>8214109</v>
      </c>
      <c r="H22" s="919">
        <f t="shared" ref="H22:H28" si="6">I56/1000000</f>
        <v>0.40598499999999998</v>
      </c>
      <c r="I22" s="1945"/>
      <c r="J22" s="1818">
        <f t="shared" ref="J22:J28" si="7">P62/1000000</f>
        <v>1.6576921668940001</v>
      </c>
    </row>
    <row r="23" spans="1:21" ht="24.95" customHeight="1" x14ac:dyDescent="0.25">
      <c r="B23" s="843" t="str">
        <f t="shared" si="2"/>
        <v>General supplies &amp; services</v>
      </c>
      <c r="C23" s="1019">
        <f t="shared" si="3"/>
        <v>1340134.8763599999</v>
      </c>
      <c r="D23" s="713">
        <f t="shared" si="4"/>
        <v>9.2963391336119194E-2</v>
      </c>
      <c r="E23" s="731">
        <f t="shared" si="5"/>
        <v>9.2963391336119194E-2</v>
      </c>
      <c r="F23" s="631">
        <f t="shared" si="0"/>
        <v>911504</v>
      </c>
      <c r="G23" s="631">
        <f t="shared" si="1"/>
        <v>1340134.8763599999</v>
      </c>
      <c r="H23" s="919">
        <f t="shared" si="6"/>
        <v>0.74342600000000003</v>
      </c>
      <c r="I23" s="1945"/>
      <c r="J23" s="1818">
        <f t="shared" si="7"/>
        <v>1.3401348763599998</v>
      </c>
      <c r="N23" s="780"/>
    </row>
    <row r="24" spans="1:21" ht="24.95" customHeight="1" x14ac:dyDescent="0.25">
      <c r="B24" s="843" t="str">
        <f t="shared" si="2"/>
        <v>Establishment</v>
      </c>
      <c r="C24" s="1019">
        <f t="shared" si="3"/>
        <v>1336928.3518899998</v>
      </c>
      <c r="D24" s="713">
        <f t="shared" si="4"/>
        <v>0.14892414880095539</v>
      </c>
      <c r="E24" s="731">
        <f t="shared" si="5"/>
        <v>0.14892414880095539</v>
      </c>
      <c r="F24" s="631">
        <f t="shared" si="0"/>
        <v>982216</v>
      </c>
      <c r="G24" s="631">
        <f t="shared" si="1"/>
        <v>1336928.3518899998</v>
      </c>
      <c r="H24" s="919">
        <f t="shared" si="6"/>
        <v>0.95197100000000001</v>
      </c>
      <c r="I24" s="1945"/>
      <c r="J24" s="1818">
        <f t="shared" si="7"/>
        <v>1.3369283518899999</v>
      </c>
      <c r="N24" s="780"/>
    </row>
    <row r="25" spans="1:21" ht="24.95" customHeight="1" x14ac:dyDescent="0.25">
      <c r="B25" s="843" t="str">
        <f t="shared" si="2"/>
        <v>Energy &amp; premises</v>
      </c>
      <c r="C25" s="1019">
        <f t="shared" si="3"/>
        <v>1807315.6982280002</v>
      </c>
      <c r="D25" s="713">
        <f t="shared" si="4"/>
        <v>0.25829774341615175</v>
      </c>
      <c r="E25" s="731">
        <f t="shared" si="5"/>
        <v>0.25829774341615175</v>
      </c>
      <c r="F25" s="631">
        <f t="shared" si="0"/>
        <v>1161463</v>
      </c>
      <c r="G25" s="631">
        <f t="shared" si="1"/>
        <v>1807315.6982280002</v>
      </c>
      <c r="H25" s="919">
        <f t="shared" si="6"/>
        <v>0.79996199999999995</v>
      </c>
      <c r="I25" s="1945"/>
      <c r="J25" s="918">
        <f t="shared" si="7"/>
        <v>1.8073156982280001</v>
      </c>
      <c r="N25" s="780"/>
    </row>
    <row r="26" spans="1:21" ht="24.95" customHeight="1" x14ac:dyDescent="0.25">
      <c r="B26" s="843" t="str">
        <f t="shared" si="2"/>
        <v>External purchasing</v>
      </c>
      <c r="C26" s="1019">
        <f t="shared" si="3"/>
        <v>1295428.88378</v>
      </c>
      <c r="D26" s="713">
        <f t="shared" si="4"/>
        <v>0.22057814934930331</v>
      </c>
      <c r="E26" s="731">
        <f t="shared" si="5"/>
        <v>0.22057814934930331</v>
      </c>
      <c r="F26" s="631">
        <f t="shared" si="0"/>
        <v>738923</v>
      </c>
      <c r="G26" s="631">
        <f t="shared" si="1"/>
        <v>1295428.88378</v>
      </c>
      <c r="H26" s="919">
        <f t="shared" si="6"/>
        <v>0.60921499999999995</v>
      </c>
      <c r="I26" s="1945"/>
      <c r="J26" s="918">
        <f>P66/1000000</f>
        <v>1.2954288837800001</v>
      </c>
      <c r="N26" s="780"/>
    </row>
    <row r="27" spans="1:21" ht="24.95" customHeight="1" x14ac:dyDescent="0.25">
      <c r="B27" s="843" t="str">
        <f t="shared" si="2"/>
        <v>Miscellaneous</v>
      </c>
      <c r="C27" s="1019">
        <f t="shared" si="3"/>
        <v>3070984</v>
      </c>
      <c r="D27" s="713">
        <f t="shared" si="4"/>
        <v>0.22505850073759204</v>
      </c>
      <c r="E27" s="731">
        <f t="shared" si="5"/>
        <v>0.22505850073759204</v>
      </c>
      <c r="F27" s="631">
        <f t="shared" si="0"/>
        <v>1612571</v>
      </c>
      <c r="G27" s="631">
        <f t="shared" si="1"/>
        <v>3070984</v>
      </c>
      <c r="H27" s="919">
        <f t="shared" si="6"/>
        <v>0.88857699999999995</v>
      </c>
      <c r="I27" s="1945"/>
      <c r="J27" s="1819">
        <f t="shared" si="7"/>
        <v>3.0709840000000002</v>
      </c>
      <c r="N27" s="780"/>
    </row>
    <row r="28" spans="1:21" ht="24.95" customHeight="1" x14ac:dyDescent="0.25">
      <c r="B28" s="782" t="str">
        <f t="shared" si="2"/>
        <v>Total intermediates</v>
      </c>
      <c r="C28" s="1019">
        <f t="shared" si="3"/>
        <v>14941587.625962</v>
      </c>
      <c r="D28" s="713">
        <f t="shared" si="4"/>
        <v>0.15279184974515125</v>
      </c>
      <c r="E28" s="731">
        <f t="shared" si="5"/>
        <v>0.15279184974515125</v>
      </c>
      <c r="F28" s="631">
        <f t="shared" si="0"/>
        <v>8969197</v>
      </c>
      <c r="G28" s="631">
        <f t="shared" si="1"/>
        <v>14941587.625962</v>
      </c>
      <c r="H28" s="919">
        <f t="shared" si="6"/>
        <v>6.9910230000000002</v>
      </c>
      <c r="I28" s="1945"/>
      <c r="J28" s="1819">
        <f t="shared" si="7"/>
        <v>14.941587625962001</v>
      </c>
      <c r="N28" s="780"/>
    </row>
    <row r="29" spans="1:21" x14ac:dyDescent="0.25">
      <c r="B29" s="782"/>
      <c r="C29" s="1747"/>
      <c r="D29" s="784"/>
      <c r="E29" s="671"/>
      <c r="F29" s="916"/>
      <c r="G29" s="917"/>
      <c r="I29" s="540"/>
      <c r="J29" s="1820"/>
    </row>
    <row r="30" spans="1:21" x14ac:dyDescent="0.25">
      <c r="B30" s="782"/>
      <c r="C30" s="783"/>
      <c r="D30" s="784"/>
      <c r="E30" s="671"/>
      <c r="F30" s="671"/>
      <c r="G30" s="546"/>
      <c r="I30" s="540"/>
    </row>
    <row r="31" spans="1:21" x14ac:dyDescent="0.25">
      <c r="B31" s="797"/>
      <c r="C31" s="798"/>
      <c r="D31" s="799"/>
      <c r="E31" s="800"/>
      <c r="F31" s="800"/>
      <c r="G31" s="801"/>
      <c r="H31" s="658"/>
      <c r="I31" s="802"/>
    </row>
    <row r="32" spans="1:21" ht="24.95" customHeight="1" x14ac:dyDescent="0.25">
      <c r="B32" s="803"/>
      <c r="C32" s="758" t="str">
        <f t="shared" ref="C32:C40" si="8">IF($A$36=TRUE,I54,"")</f>
        <v/>
      </c>
      <c r="D32" s="758" t="str">
        <f t="shared" ref="D32:D40" si="9">IF($A$36=TRUE,J54,"")</f>
        <v/>
      </c>
      <c r="E32" s="758" t="str">
        <f t="shared" ref="E32:E40" si="10">IF($A$36=TRUE,K60,"")</f>
        <v/>
      </c>
      <c r="F32" s="758" t="str">
        <f t="shared" ref="F32:F40" si="11">IF($A$36=TRUE,L60,"")</f>
        <v/>
      </c>
      <c r="G32" s="758" t="str">
        <f t="shared" ref="G32:G40" si="12">IF($A$36=TRUE,M60,"")</f>
        <v/>
      </c>
      <c r="H32" s="758" t="str">
        <f t="shared" ref="H32:H40" si="13">IF($A$36=TRUE,N60,"")</f>
        <v/>
      </c>
      <c r="I32" s="758" t="str">
        <f t="shared" ref="I32:I40" si="14">IF($A$36=TRUE,O60,"")</f>
        <v/>
      </c>
      <c r="J32" s="785" t="str">
        <f t="shared" ref="J32:J40" si="15">IF($A$36=TRUE,P60,"")</f>
        <v/>
      </c>
      <c r="K32" s="660"/>
    </row>
    <row r="33" spans="1:26" ht="24.95" customHeight="1" x14ac:dyDescent="0.25">
      <c r="B33" s="797" t="str">
        <f t="shared" ref="B33:B40" si="16">IF($A$36=TRUE,B55,"")</f>
        <v/>
      </c>
      <c r="C33" s="804" t="str">
        <f t="shared" si="8"/>
        <v/>
      </c>
      <c r="D33" s="804" t="str">
        <f t="shared" si="9"/>
        <v/>
      </c>
      <c r="E33" s="804" t="str">
        <f t="shared" si="10"/>
        <v/>
      </c>
      <c r="F33" s="804" t="str">
        <f t="shared" si="11"/>
        <v/>
      </c>
      <c r="G33" s="804" t="str">
        <f t="shared" si="12"/>
        <v/>
      </c>
      <c r="H33" s="804" t="str">
        <f t="shared" si="13"/>
        <v/>
      </c>
      <c r="I33" s="804" t="str">
        <f t="shared" si="14"/>
        <v/>
      </c>
      <c r="J33" s="786" t="str">
        <f t="shared" si="15"/>
        <v/>
      </c>
      <c r="K33" s="660"/>
    </row>
    <row r="34" spans="1:26" ht="24.95" customHeight="1" x14ac:dyDescent="0.25">
      <c r="B34" s="797" t="str">
        <f t="shared" si="16"/>
        <v/>
      </c>
      <c r="C34" s="804" t="str">
        <f t="shared" si="8"/>
        <v/>
      </c>
      <c r="D34" s="804" t="str">
        <f t="shared" si="9"/>
        <v/>
      </c>
      <c r="E34" s="804" t="str">
        <f t="shared" si="10"/>
        <v/>
      </c>
      <c r="F34" s="804" t="str">
        <f t="shared" si="11"/>
        <v/>
      </c>
      <c r="G34" s="804" t="str">
        <f t="shared" si="12"/>
        <v/>
      </c>
      <c r="H34" s="804" t="str">
        <f t="shared" si="13"/>
        <v/>
      </c>
      <c r="I34" s="804" t="str">
        <f t="shared" si="14"/>
        <v/>
      </c>
      <c r="J34" s="786" t="str">
        <f t="shared" si="15"/>
        <v/>
      </c>
      <c r="K34" s="660"/>
    </row>
    <row r="35" spans="1:26" ht="24.95" customHeight="1" x14ac:dyDescent="0.25">
      <c r="A35" s="396"/>
      <c r="B35" s="797" t="str">
        <f t="shared" si="16"/>
        <v/>
      </c>
      <c r="C35" s="804" t="str">
        <f t="shared" si="8"/>
        <v/>
      </c>
      <c r="D35" s="804" t="str">
        <f t="shared" si="9"/>
        <v/>
      </c>
      <c r="E35" s="804" t="str">
        <f t="shared" si="10"/>
        <v/>
      </c>
      <c r="F35" s="804" t="str">
        <f t="shared" si="11"/>
        <v/>
      </c>
      <c r="G35" s="804" t="str">
        <f t="shared" si="12"/>
        <v/>
      </c>
      <c r="H35" s="804" t="str">
        <f t="shared" si="13"/>
        <v/>
      </c>
      <c r="I35" s="804" t="str">
        <f t="shared" si="14"/>
        <v/>
      </c>
      <c r="J35" s="786" t="str">
        <f t="shared" si="15"/>
        <v/>
      </c>
      <c r="K35" s="660"/>
    </row>
    <row r="36" spans="1:26" ht="24.95" customHeight="1" x14ac:dyDescent="0.25">
      <c r="A36" s="396" t="b">
        <v>0</v>
      </c>
      <c r="B36" s="797" t="str">
        <f t="shared" si="16"/>
        <v/>
      </c>
      <c r="C36" s="804" t="str">
        <f t="shared" si="8"/>
        <v/>
      </c>
      <c r="D36" s="804" t="str">
        <f t="shared" si="9"/>
        <v/>
      </c>
      <c r="E36" s="804" t="str">
        <f t="shared" si="10"/>
        <v/>
      </c>
      <c r="F36" s="804" t="str">
        <f t="shared" si="11"/>
        <v/>
      </c>
      <c r="G36" s="804" t="str">
        <f t="shared" si="12"/>
        <v/>
      </c>
      <c r="H36" s="804" t="str">
        <f t="shared" si="13"/>
        <v/>
      </c>
      <c r="I36" s="804" t="str">
        <f t="shared" si="14"/>
        <v/>
      </c>
      <c r="J36" s="786" t="str">
        <f t="shared" si="15"/>
        <v/>
      </c>
      <c r="K36" s="660"/>
    </row>
    <row r="37" spans="1:26" ht="24.95" customHeight="1" x14ac:dyDescent="0.25">
      <c r="A37" s="396"/>
      <c r="B37" s="797" t="str">
        <f t="shared" si="16"/>
        <v/>
      </c>
      <c r="C37" s="804" t="str">
        <f t="shared" si="8"/>
        <v/>
      </c>
      <c r="D37" s="804" t="str">
        <f t="shared" si="9"/>
        <v/>
      </c>
      <c r="E37" s="804" t="str">
        <f t="shared" si="10"/>
        <v/>
      </c>
      <c r="F37" s="804" t="str">
        <f t="shared" si="11"/>
        <v/>
      </c>
      <c r="G37" s="804" t="str">
        <f t="shared" si="12"/>
        <v/>
      </c>
      <c r="H37" s="804" t="str">
        <f t="shared" si="13"/>
        <v/>
      </c>
      <c r="I37" s="804" t="str">
        <f t="shared" si="14"/>
        <v/>
      </c>
      <c r="J37" s="786" t="str">
        <f t="shared" si="15"/>
        <v/>
      </c>
      <c r="K37" s="660"/>
      <c r="L37" s="658"/>
      <c r="M37" s="658"/>
      <c r="N37" s="658"/>
      <c r="O37" s="658"/>
    </row>
    <row r="38" spans="1:26" ht="24.95" customHeight="1" x14ac:dyDescent="0.25">
      <c r="A38" s="658"/>
      <c r="B38" s="797" t="str">
        <f t="shared" si="16"/>
        <v/>
      </c>
      <c r="C38" s="804" t="str">
        <f t="shared" si="8"/>
        <v/>
      </c>
      <c r="D38" s="804" t="str">
        <f t="shared" si="9"/>
        <v/>
      </c>
      <c r="E38" s="804" t="str">
        <f t="shared" si="10"/>
        <v/>
      </c>
      <c r="F38" s="804" t="str">
        <f t="shared" si="11"/>
        <v/>
      </c>
      <c r="G38" s="804" t="str">
        <f t="shared" si="12"/>
        <v/>
      </c>
      <c r="H38" s="804" t="str">
        <f t="shared" si="13"/>
        <v/>
      </c>
      <c r="I38" s="804" t="str">
        <f t="shared" si="14"/>
        <v/>
      </c>
      <c r="J38" s="786" t="str">
        <f t="shared" si="15"/>
        <v/>
      </c>
      <c r="K38" s="660"/>
    </row>
    <row r="39" spans="1:26" ht="24.95" customHeight="1" x14ac:dyDescent="0.25">
      <c r="A39" s="658"/>
      <c r="B39" s="797" t="str">
        <f t="shared" si="16"/>
        <v/>
      </c>
      <c r="C39" s="804" t="str">
        <f t="shared" si="8"/>
        <v/>
      </c>
      <c r="D39" s="804" t="str">
        <f t="shared" si="9"/>
        <v/>
      </c>
      <c r="E39" s="804" t="str">
        <f t="shared" si="10"/>
        <v/>
      </c>
      <c r="F39" s="804" t="str">
        <f t="shared" si="11"/>
        <v/>
      </c>
      <c r="G39" s="804" t="str">
        <f t="shared" si="12"/>
        <v/>
      </c>
      <c r="H39" s="804" t="str">
        <f t="shared" si="13"/>
        <v/>
      </c>
      <c r="I39" s="804" t="str">
        <f t="shared" si="14"/>
        <v/>
      </c>
      <c r="J39" s="786" t="str">
        <f t="shared" si="15"/>
        <v/>
      </c>
      <c r="K39" s="660"/>
      <c r="N39" s="1429"/>
    </row>
    <row r="40" spans="1:26" ht="24.95" customHeight="1" x14ac:dyDescent="0.25">
      <c r="A40" s="658"/>
      <c r="B40" s="797" t="str">
        <f t="shared" si="16"/>
        <v/>
      </c>
      <c r="C40" s="804" t="str">
        <f t="shared" si="8"/>
        <v/>
      </c>
      <c r="D40" s="804" t="str">
        <f t="shared" si="9"/>
        <v/>
      </c>
      <c r="E40" s="804" t="str">
        <f t="shared" si="10"/>
        <v/>
      </c>
      <c r="F40" s="804" t="str">
        <f t="shared" si="11"/>
        <v/>
      </c>
      <c r="G40" s="804" t="str">
        <f t="shared" si="12"/>
        <v/>
      </c>
      <c r="H40" s="804" t="str">
        <f t="shared" si="13"/>
        <v/>
      </c>
      <c r="I40" s="804" t="str">
        <f t="shared" si="14"/>
        <v/>
      </c>
      <c r="J40" s="786" t="str">
        <f t="shared" si="15"/>
        <v/>
      </c>
      <c r="K40" s="660"/>
      <c r="N40" s="1429"/>
    </row>
    <row r="41" spans="1:26" x14ac:dyDescent="0.25">
      <c r="A41" s="396"/>
      <c r="B41" s="812"/>
      <c r="C41" s="788"/>
      <c r="D41" s="788"/>
      <c r="E41" s="788"/>
      <c r="F41" s="788"/>
      <c r="G41" s="788"/>
      <c r="H41" s="788"/>
      <c r="I41" s="788"/>
      <c r="J41" s="788"/>
      <c r="K41" s="259"/>
      <c r="L41" s="259"/>
      <c r="M41" s="259"/>
      <c r="N41" s="259"/>
      <c r="O41" s="259"/>
      <c r="P41" s="259"/>
      <c r="Q41" s="259"/>
      <c r="R41" s="259"/>
      <c r="S41" s="259"/>
      <c r="T41" s="259"/>
      <c r="U41" s="259"/>
      <c r="V41" s="259"/>
      <c r="W41" s="259"/>
      <c r="X41" s="259"/>
      <c r="Y41" s="259"/>
      <c r="Z41" s="259"/>
    </row>
    <row r="42" spans="1:26" x14ac:dyDescent="0.25">
      <c r="A42" s="396"/>
      <c r="B42" s="808"/>
      <c r="C42" s="809"/>
      <c r="D42" s="809"/>
      <c r="E42" s="809"/>
      <c r="F42" s="809"/>
      <c r="G42" s="809"/>
      <c r="H42" s="809"/>
      <c r="I42" s="809"/>
      <c r="J42" s="547"/>
      <c r="K42" s="259"/>
      <c r="L42" s="259"/>
      <c r="M42" s="259"/>
      <c r="N42" s="259"/>
      <c r="O42" s="259"/>
      <c r="P42" s="259"/>
      <c r="Q42" s="259"/>
      <c r="R42" s="259"/>
      <c r="S42" s="259"/>
      <c r="T42" s="259"/>
      <c r="U42" s="259"/>
      <c r="V42" s="259"/>
      <c r="W42" s="259"/>
      <c r="X42" s="259"/>
      <c r="Y42" s="259"/>
      <c r="Z42" s="259"/>
    </row>
    <row r="43" spans="1:26" x14ac:dyDescent="0.25">
      <c r="A43" s="580"/>
      <c r="B43" s="1338" t="s">
        <v>426</v>
      </c>
      <c r="C43" s="1337" t="s">
        <v>68</v>
      </c>
      <c r="D43" s="1337" t="s">
        <v>69</v>
      </c>
      <c r="E43" s="1337" t="s">
        <v>70</v>
      </c>
      <c r="F43" s="1337" t="s">
        <v>494</v>
      </c>
      <c r="G43" s="1337" t="s">
        <v>493</v>
      </c>
      <c r="H43" s="1337" t="s">
        <v>492</v>
      </c>
      <c r="I43" s="1337" t="s">
        <v>192</v>
      </c>
      <c r="J43" s="1337" t="s">
        <v>193</v>
      </c>
      <c r="K43" s="529"/>
      <c r="L43" s="259"/>
      <c r="M43" s="259"/>
      <c r="N43" s="259"/>
      <c r="O43" s="259"/>
      <c r="P43" s="259"/>
      <c r="Q43" s="259"/>
      <c r="R43" s="259"/>
      <c r="S43" s="259"/>
      <c r="T43" s="259"/>
      <c r="U43" s="259"/>
      <c r="V43" s="259"/>
      <c r="W43" s="259"/>
      <c r="X43" s="259"/>
      <c r="Y43" s="259"/>
      <c r="Z43" s="259"/>
    </row>
    <row r="44" spans="1:26" x14ac:dyDescent="0.25">
      <c r="A44" s="396"/>
      <c r="B44" s="1338" t="s">
        <v>266</v>
      </c>
      <c r="C44" s="788">
        <v>5077117.7869999995</v>
      </c>
      <c r="D44" s="788">
        <v>5620251.5159999998</v>
      </c>
      <c r="E44" s="788">
        <v>5303119.1030000001</v>
      </c>
      <c r="F44" s="788">
        <v>5666475.1449999996</v>
      </c>
      <c r="G44" s="788">
        <v>6153081.7249999996</v>
      </c>
      <c r="H44" s="788">
        <v>6605831.9550000001</v>
      </c>
      <c r="I44" s="788">
        <v>6991023</v>
      </c>
      <c r="J44" s="788">
        <v>8214109</v>
      </c>
      <c r="K44" s="259"/>
      <c r="L44" s="529"/>
      <c r="M44" s="529"/>
      <c r="N44" s="529"/>
      <c r="O44" s="529"/>
      <c r="P44" s="259"/>
      <c r="Q44" s="1425"/>
      <c r="R44" s="259"/>
      <c r="S44" s="259"/>
      <c r="T44" s="259"/>
      <c r="U44" s="259"/>
      <c r="V44" s="259"/>
      <c r="W44" s="259"/>
      <c r="X44" s="259"/>
      <c r="Y44" s="259"/>
      <c r="Z44" s="259"/>
    </row>
    <row r="45" spans="1:26" x14ac:dyDescent="0.25">
      <c r="A45" s="580"/>
      <c r="B45" s="1338" t="s">
        <v>56</v>
      </c>
      <c r="C45" s="788"/>
      <c r="D45" s="788"/>
      <c r="E45" s="788"/>
      <c r="F45" s="788"/>
      <c r="G45" s="788"/>
      <c r="H45" s="788">
        <v>10063998</v>
      </c>
      <c r="I45" s="788">
        <v>4932251</v>
      </c>
      <c r="J45" s="788">
        <v>5933214</v>
      </c>
      <c r="K45" s="529"/>
      <c r="L45" s="259"/>
      <c r="M45" s="259"/>
      <c r="N45" s="259"/>
      <c r="O45" s="259"/>
      <c r="P45" s="259"/>
      <c r="Q45" s="1425"/>
      <c r="R45" s="259"/>
      <c r="S45" s="259"/>
      <c r="T45" s="259"/>
      <c r="U45" s="259"/>
      <c r="V45" s="259"/>
      <c r="W45" s="259"/>
      <c r="X45" s="259"/>
      <c r="Y45" s="259"/>
      <c r="Z45" s="259"/>
    </row>
    <row r="46" spans="1:26" x14ac:dyDescent="0.25">
      <c r="A46" s="580"/>
      <c r="B46" s="1338" t="s">
        <v>265</v>
      </c>
      <c r="C46" s="788"/>
      <c r="D46" s="788"/>
      <c r="E46" s="788"/>
      <c r="F46" s="788"/>
      <c r="G46" s="788"/>
      <c r="H46" s="788">
        <v>111812</v>
      </c>
      <c r="I46" s="788">
        <v>58721</v>
      </c>
      <c r="J46" s="788">
        <v>67368</v>
      </c>
      <c r="K46" s="529"/>
      <c r="L46" s="529"/>
      <c r="M46" s="529"/>
      <c r="N46" s="529"/>
      <c r="O46" s="529"/>
      <c r="P46" s="259"/>
      <c r="Q46" s="1425"/>
      <c r="R46" s="259"/>
      <c r="S46" s="259"/>
      <c r="T46" s="259"/>
      <c r="U46" s="259"/>
      <c r="V46" s="259"/>
      <c r="W46" s="259"/>
      <c r="X46" s="259"/>
      <c r="Y46" s="259"/>
      <c r="Z46" s="259"/>
    </row>
    <row r="47" spans="1:26" x14ac:dyDescent="0.25">
      <c r="A47" s="580"/>
      <c r="B47" s="812" t="s">
        <v>158</v>
      </c>
      <c r="C47" s="788">
        <v>10445008.787</v>
      </c>
      <c r="D47" s="788">
        <v>11641474.516000001</v>
      </c>
      <c r="E47" s="788">
        <v>11757118.103</v>
      </c>
      <c r="F47" s="788">
        <v>13321063.145</v>
      </c>
      <c r="G47" s="788">
        <v>14985078.725</v>
      </c>
      <c r="H47" s="788">
        <v>17301167.954999998</v>
      </c>
      <c r="I47" s="788">
        <f>SUM(I44:I46)</f>
        <v>11981995</v>
      </c>
      <c r="J47" s="788">
        <f>SUM(J44:J46)</f>
        <v>14214691</v>
      </c>
      <c r="K47" s="788"/>
      <c r="L47" s="788"/>
      <c r="M47" s="788"/>
      <c r="N47" s="788"/>
      <c r="O47" s="788"/>
      <c r="P47" s="1426"/>
      <c r="Q47" s="529"/>
      <c r="R47" s="529"/>
      <c r="S47" s="529"/>
      <c r="T47" s="529"/>
      <c r="U47" s="529"/>
      <c r="V47" s="259"/>
      <c r="W47" s="259"/>
      <c r="X47" s="259"/>
      <c r="Y47" s="259"/>
      <c r="Z47" s="259"/>
    </row>
    <row r="48" spans="1:26" x14ac:dyDescent="0.25">
      <c r="A48" s="396"/>
      <c r="B48" s="809"/>
      <c r="C48" s="809"/>
      <c r="D48" s="809"/>
      <c r="E48" s="809"/>
      <c r="F48" s="809"/>
      <c r="G48" s="809"/>
      <c r="H48" s="809"/>
      <c r="I48" s="809"/>
      <c r="J48" s="547"/>
      <c r="K48" s="547"/>
      <c r="L48" s="547"/>
      <c r="M48" s="547"/>
      <c r="N48" s="547"/>
      <c r="O48" s="547"/>
      <c r="P48" s="547"/>
      <c r="Q48" s="547"/>
      <c r="R48" s="529"/>
      <c r="S48" s="529"/>
      <c r="T48" s="529"/>
      <c r="U48" s="529"/>
      <c r="V48" s="259"/>
      <c r="W48" s="259"/>
      <c r="X48" s="259"/>
      <c r="Y48" s="259"/>
      <c r="Z48" s="259"/>
    </row>
    <row r="49" spans="1:26" x14ac:dyDescent="0.25">
      <c r="A49" s="396"/>
      <c r="B49" s="809"/>
      <c r="C49" s="809"/>
      <c r="D49" s="809"/>
      <c r="E49" s="809"/>
      <c r="F49" s="809"/>
      <c r="G49" s="809"/>
      <c r="H49" s="809"/>
      <c r="I49" s="809"/>
      <c r="J49" s="547"/>
      <c r="K49" s="1337" t="s">
        <v>194</v>
      </c>
      <c r="L49" s="1337" t="s">
        <v>195</v>
      </c>
      <c r="M49" s="1337" t="s">
        <v>196</v>
      </c>
      <c r="N49" s="1337" t="s">
        <v>6</v>
      </c>
      <c r="O49" s="1337" t="s">
        <v>7</v>
      </c>
      <c r="P49" s="1337" t="s">
        <v>489</v>
      </c>
      <c r="Q49" s="547"/>
      <c r="R49" s="259"/>
      <c r="S49" s="259"/>
      <c r="T49" s="259"/>
      <c r="U49" s="259"/>
      <c r="V49" s="259"/>
      <c r="W49" s="259"/>
      <c r="X49" s="259"/>
      <c r="Y49" s="259"/>
      <c r="Z49" s="259"/>
    </row>
    <row r="50" spans="1:26" x14ac:dyDescent="0.25">
      <c r="A50" s="396"/>
      <c r="B50" s="812" t="s">
        <v>469</v>
      </c>
      <c r="C50" s="809"/>
      <c r="D50" s="809"/>
      <c r="E50" s="809"/>
      <c r="F50" s="809"/>
      <c r="G50" s="809"/>
      <c r="H50" s="809"/>
      <c r="I50" s="809"/>
      <c r="J50" s="547"/>
      <c r="K50" s="788">
        <v>8969197</v>
      </c>
      <c r="L50" s="788">
        <v>10132245</v>
      </c>
      <c r="M50" s="788">
        <v>11126240</v>
      </c>
      <c r="N50" s="788">
        <v>11841634</v>
      </c>
      <c r="O50" s="811">
        <v>12961219</v>
      </c>
      <c r="P50" s="548">
        <v>14194667.888351999</v>
      </c>
      <c r="Q50" s="547"/>
      <c r="R50" s="259"/>
      <c r="S50" s="259"/>
      <c r="T50" s="259"/>
      <c r="U50" s="259"/>
      <c r="V50" s="259"/>
      <c r="W50" s="259"/>
      <c r="X50" s="259"/>
      <c r="Y50" s="259"/>
      <c r="Z50" s="259"/>
    </row>
    <row r="51" spans="1:26" x14ac:dyDescent="0.25">
      <c r="A51" s="396"/>
      <c r="B51" s="1338" t="s">
        <v>427</v>
      </c>
      <c r="C51" s="809"/>
      <c r="D51" s="809"/>
      <c r="E51" s="809"/>
      <c r="F51" s="809"/>
      <c r="G51" s="809"/>
      <c r="H51" s="809"/>
      <c r="I51" s="809"/>
      <c r="J51" s="547"/>
      <c r="K51" s="788">
        <v>6792028</v>
      </c>
      <c r="L51" s="788">
        <v>8327705</v>
      </c>
      <c r="M51" s="788">
        <v>8949262</v>
      </c>
      <c r="N51" s="788">
        <v>10063998</v>
      </c>
      <c r="O51" s="811">
        <v>10873841</v>
      </c>
      <c r="P51" s="548">
        <v>10505817.52482</v>
      </c>
      <c r="Q51" s="547"/>
      <c r="R51" s="259"/>
      <c r="S51" s="259"/>
      <c r="T51" s="259"/>
      <c r="U51" s="259"/>
      <c r="V51" s="259"/>
      <c r="W51" s="259"/>
      <c r="X51" s="259"/>
      <c r="Y51" s="259"/>
      <c r="Z51" s="259"/>
    </row>
    <row r="52" spans="1:26" x14ac:dyDescent="0.25">
      <c r="A52" s="396"/>
      <c r="B52" s="809" t="s">
        <v>56</v>
      </c>
      <c r="C52" s="809"/>
      <c r="D52" s="809"/>
      <c r="E52" s="809"/>
      <c r="F52" s="809"/>
      <c r="G52" s="809"/>
      <c r="H52" s="809"/>
      <c r="I52" s="809"/>
      <c r="J52" s="547"/>
      <c r="K52" s="788">
        <v>72493</v>
      </c>
      <c r="L52" s="788">
        <v>94749</v>
      </c>
      <c r="M52" s="788">
        <v>109351</v>
      </c>
      <c r="N52" s="788">
        <v>111812</v>
      </c>
      <c r="O52" s="811">
        <v>96254</v>
      </c>
      <c r="P52" s="548">
        <v>75130</v>
      </c>
      <c r="Q52" s="547"/>
      <c r="R52" s="259"/>
      <c r="S52" s="259"/>
      <c r="T52" s="259"/>
      <c r="U52" s="259"/>
      <c r="V52" s="259"/>
      <c r="W52" s="259"/>
      <c r="X52" s="259"/>
      <c r="Y52" s="259"/>
      <c r="Z52" s="259"/>
    </row>
    <row r="53" spans="1:26" x14ac:dyDescent="0.25">
      <c r="A53" s="396"/>
      <c r="B53" s="809"/>
      <c r="C53" s="809"/>
      <c r="D53" s="809"/>
      <c r="E53" s="809"/>
      <c r="F53" s="809"/>
      <c r="G53" s="809"/>
      <c r="H53" s="809"/>
      <c r="I53" s="809"/>
      <c r="J53" s="547"/>
      <c r="K53" s="788">
        <f t="shared" ref="K53:P53" si="17">SUM(K50:K52)</f>
        <v>15833718</v>
      </c>
      <c r="L53" s="788">
        <f t="shared" si="17"/>
        <v>18554699</v>
      </c>
      <c r="M53" s="788">
        <f t="shared" si="17"/>
        <v>20184853</v>
      </c>
      <c r="N53" s="788">
        <f t="shared" si="17"/>
        <v>22017444</v>
      </c>
      <c r="O53" s="788">
        <f t="shared" si="17"/>
        <v>23931314</v>
      </c>
      <c r="P53" s="788">
        <f t="shared" si="17"/>
        <v>24775615.413171999</v>
      </c>
      <c r="Q53" s="547"/>
      <c r="R53" s="259"/>
      <c r="S53" s="259"/>
      <c r="T53" s="259"/>
      <c r="U53" s="259"/>
      <c r="V53" s="259"/>
      <c r="W53" s="259"/>
      <c r="X53" s="259"/>
      <c r="Y53" s="259"/>
      <c r="Z53" s="259"/>
    </row>
    <row r="54" spans="1:26" x14ac:dyDescent="0.25">
      <c r="A54" s="580"/>
      <c r="B54" s="809"/>
      <c r="C54" s="1337" t="s">
        <v>68</v>
      </c>
      <c r="D54" s="1337" t="s">
        <v>69</v>
      </c>
      <c r="E54" s="1337" t="s">
        <v>70</v>
      </c>
      <c r="F54" s="1337" t="s">
        <v>494</v>
      </c>
      <c r="G54" s="1337" t="s">
        <v>493</v>
      </c>
      <c r="H54" s="1337" t="s">
        <v>492</v>
      </c>
      <c r="I54" s="1337" t="s">
        <v>192</v>
      </c>
      <c r="J54" s="1337" t="s">
        <v>193</v>
      </c>
      <c r="K54" s="547"/>
      <c r="L54" s="547"/>
      <c r="M54" s="547"/>
      <c r="N54" s="547"/>
      <c r="O54" s="547"/>
      <c r="P54" s="547"/>
      <c r="Q54" s="547"/>
      <c r="R54" s="259"/>
      <c r="S54" s="259"/>
      <c r="T54" s="259"/>
      <c r="U54" s="259"/>
      <c r="V54" s="259"/>
      <c r="W54" s="259"/>
      <c r="X54" s="259"/>
      <c r="Y54" s="259"/>
      <c r="Z54" s="259"/>
    </row>
    <row r="55" spans="1:26" x14ac:dyDescent="0.25">
      <c r="A55" s="580"/>
      <c r="B55" s="813" t="str">
        <f>IF($B$52="All trusts", Ind_inter_backfile!A4,Ind_inter_backfile!A14)</f>
        <v>Drugs &amp; gases</v>
      </c>
      <c r="C55" s="789" t="s">
        <v>413</v>
      </c>
      <c r="D55" s="789" t="s">
        <v>413</v>
      </c>
      <c r="E55" s="789" t="s">
        <v>413</v>
      </c>
      <c r="F55" s="789" t="s">
        <v>413</v>
      </c>
      <c r="G55" s="789" t="s">
        <v>413</v>
      </c>
      <c r="H55" s="789" t="s">
        <v>413</v>
      </c>
      <c r="I55" s="789">
        <f>IF($B$18="All trusts", Ind_inter_backfile!H4,Ind_inter_backfile!H14)</f>
        <v>2591885</v>
      </c>
      <c r="J55" s="789">
        <f>IF($B$18="All trusts", Ind_inter_backfile!I4,Ind_inter_backfile!I14)</f>
        <v>2647598</v>
      </c>
      <c r="K55" s="547"/>
      <c r="L55" s="547"/>
      <c r="M55" s="547"/>
      <c r="N55" s="547"/>
      <c r="O55" s="547"/>
      <c r="P55" s="547"/>
      <c r="Q55" s="547"/>
      <c r="R55" s="259"/>
      <c r="S55" s="259"/>
      <c r="T55" s="259"/>
      <c r="U55" s="259"/>
      <c r="V55" s="259"/>
      <c r="W55" s="259"/>
      <c r="X55" s="259"/>
      <c r="Y55" s="259"/>
      <c r="Z55" s="259"/>
    </row>
    <row r="56" spans="1:26" ht="25.5" x14ac:dyDescent="0.25">
      <c r="A56" s="580"/>
      <c r="B56" s="813" t="str">
        <f>IF($B$52="All trusts", Ind_inter_backfile!A5,Ind_inter_backfile!A15)</f>
        <v>Clinical supplies &amp; services</v>
      </c>
      <c r="C56" s="789" t="s">
        <v>413</v>
      </c>
      <c r="D56" s="789" t="s">
        <v>413</v>
      </c>
      <c r="E56" s="789" t="s">
        <v>413</v>
      </c>
      <c r="F56" s="789" t="s">
        <v>413</v>
      </c>
      <c r="G56" s="789" t="s">
        <v>413</v>
      </c>
      <c r="H56" s="789" t="s">
        <v>413</v>
      </c>
      <c r="I56" s="789">
        <f>IF($B$18="All trusts", Ind_inter_backfile!H5,Ind_inter_backfile!H15)</f>
        <v>405985</v>
      </c>
      <c r="J56" s="789">
        <f>IF($B$18="All trusts", Ind_inter_backfile!I5,Ind_inter_backfile!I15)</f>
        <v>594689</v>
      </c>
      <c r="K56" s="547"/>
      <c r="L56" s="547"/>
      <c r="M56" s="547"/>
      <c r="N56" s="547"/>
      <c r="O56" s="547"/>
      <c r="P56" s="547"/>
      <c r="Q56" s="547"/>
      <c r="R56" s="259"/>
      <c r="S56" s="259"/>
      <c r="T56" s="259"/>
      <c r="U56" s="259"/>
      <c r="V56" s="259"/>
      <c r="W56" s="259"/>
      <c r="X56" s="259"/>
      <c r="Y56" s="259"/>
      <c r="Z56" s="259"/>
    </row>
    <row r="57" spans="1:26" ht="25.5" x14ac:dyDescent="0.25">
      <c r="A57" s="396"/>
      <c r="B57" s="813" t="str">
        <f>IF($B$52="All trusts", Ind_inter_backfile!A6,Ind_inter_backfile!A16)</f>
        <v>General supplies &amp; services</v>
      </c>
      <c r="C57" s="789" t="s">
        <v>413</v>
      </c>
      <c r="D57" s="789" t="s">
        <v>413</v>
      </c>
      <c r="E57" s="789" t="s">
        <v>413</v>
      </c>
      <c r="F57" s="789" t="s">
        <v>413</v>
      </c>
      <c r="G57" s="789" t="s">
        <v>413</v>
      </c>
      <c r="H57" s="789" t="s">
        <v>413</v>
      </c>
      <c r="I57" s="789">
        <f>IF($B$18="All trusts", Ind_inter_backfile!H6,Ind_inter_backfile!H16)</f>
        <v>743426</v>
      </c>
      <c r="J57" s="789">
        <f>IF($B$18="All trusts", Ind_inter_backfile!I6,Ind_inter_backfile!I16)</f>
        <v>853397</v>
      </c>
      <c r="K57" s="547"/>
      <c r="L57" s="547"/>
      <c r="M57" s="547"/>
      <c r="N57" s="547"/>
      <c r="O57" s="547"/>
      <c r="P57" s="547"/>
      <c r="Q57" s="547"/>
      <c r="R57" s="259"/>
      <c r="S57" s="259"/>
      <c r="T57" s="259"/>
      <c r="U57" s="259"/>
      <c r="V57" s="259"/>
      <c r="W57" s="259"/>
      <c r="X57" s="259"/>
      <c r="Y57" s="259"/>
      <c r="Z57" s="259"/>
    </row>
    <row r="58" spans="1:26" x14ac:dyDescent="0.25">
      <c r="A58" s="396"/>
      <c r="B58" s="813" t="str">
        <f>IF($B$52="All trusts", Ind_inter_backfile!A7,Ind_inter_backfile!A17)</f>
        <v>Establishment</v>
      </c>
      <c r="C58" s="789" t="s">
        <v>413</v>
      </c>
      <c r="D58" s="789" t="s">
        <v>413</v>
      </c>
      <c r="E58" s="789" t="s">
        <v>413</v>
      </c>
      <c r="F58" s="789" t="s">
        <v>413</v>
      </c>
      <c r="G58" s="789" t="s">
        <v>413</v>
      </c>
      <c r="H58" s="789" t="s">
        <v>413</v>
      </c>
      <c r="I58" s="789">
        <f>IF($B$18="All trusts", Ind_inter_backfile!H7,Ind_inter_backfile!H17)</f>
        <v>951971</v>
      </c>
      <c r="J58" s="789">
        <f>IF($B$18="All trusts", Ind_inter_backfile!I7,Ind_inter_backfile!I17)</f>
        <v>981559</v>
      </c>
      <c r="K58" s="547"/>
      <c r="L58" s="547"/>
      <c r="M58" s="547"/>
      <c r="N58" s="547"/>
      <c r="O58" s="547"/>
      <c r="P58" s="547"/>
      <c r="Q58" s="547"/>
      <c r="R58" s="259"/>
      <c r="S58" s="259"/>
      <c r="T58" s="259"/>
      <c r="U58" s="259"/>
      <c r="V58" s="259"/>
      <c r="W58" s="259"/>
      <c r="X58" s="259"/>
      <c r="Y58" s="259"/>
      <c r="Z58" s="259"/>
    </row>
    <row r="59" spans="1:26" x14ac:dyDescent="0.25">
      <c r="A59" s="396"/>
      <c r="B59" s="813" t="str">
        <f>IF($B$52="All trusts", Ind_inter_backfile!A8,Ind_inter_backfile!A18)</f>
        <v>Energy &amp; premises</v>
      </c>
      <c r="C59" s="789" t="s">
        <v>413</v>
      </c>
      <c r="D59" s="789" t="s">
        <v>413</v>
      </c>
      <c r="E59" s="789" t="s">
        <v>413</v>
      </c>
      <c r="F59" s="789" t="s">
        <v>413</v>
      </c>
      <c r="G59" s="789" t="s">
        <v>413</v>
      </c>
      <c r="H59" s="789" t="s">
        <v>413</v>
      </c>
      <c r="I59" s="789">
        <f>IF($B$18="All trusts", Ind_inter_backfile!H8,Ind_inter_backfile!H18)</f>
        <v>799962</v>
      </c>
      <c r="J59" s="789">
        <f>IF($B$18="All trusts", Ind_inter_backfile!I8,Ind_inter_backfile!I18)</f>
        <v>1031786</v>
      </c>
      <c r="K59" s="547"/>
      <c r="L59" s="547"/>
      <c r="M59" s="547"/>
      <c r="N59" s="547"/>
      <c r="O59" s="547"/>
      <c r="P59" s="547"/>
      <c r="Q59" s="547"/>
      <c r="R59" s="259"/>
      <c r="S59" s="259"/>
      <c r="T59" s="259"/>
      <c r="U59" s="259"/>
      <c r="V59" s="259"/>
      <c r="W59" s="259"/>
      <c r="X59" s="259"/>
      <c r="Y59" s="259"/>
      <c r="Z59" s="259"/>
    </row>
    <row r="60" spans="1:26" x14ac:dyDescent="0.25">
      <c r="A60" s="580"/>
      <c r="B60" s="813" t="str">
        <f>IF($B$52="All trusts", Ind_inter_backfile!A9,Ind_inter_backfile!A19)</f>
        <v>External purchasing</v>
      </c>
      <c r="C60" s="789" t="s">
        <v>413</v>
      </c>
      <c r="D60" s="789" t="s">
        <v>413</v>
      </c>
      <c r="E60" s="789" t="s">
        <v>413</v>
      </c>
      <c r="F60" s="789" t="s">
        <v>413</v>
      </c>
      <c r="G60" s="789" t="s">
        <v>413</v>
      </c>
      <c r="H60" s="789" t="s">
        <v>413</v>
      </c>
      <c r="I60" s="789">
        <f>IF($B$18="All trusts", Ind_inter_backfile!H9,Ind_inter_backfile!H19)</f>
        <v>609215</v>
      </c>
      <c r="J60" s="789">
        <f>IF($B$18="All trusts", Ind_inter_backfile!I9,Ind_inter_backfile!I19)</f>
        <v>669508</v>
      </c>
      <c r="K60" s="1337" t="s">
        <v>194</v>
      </c>
      <c r="L60" s="1337" t="s">
        <v>195</v>
      </c>
      <c r="M60" s="1337" t="s">
        <v>196</v>
      </c>
      <c r="N60" s="1337" t="s">
        <v>6</v>
      </c>
      <c r="O60" s="1337" t="s">
        <v>7</v>
      </c>
      <c r="P60" s="1337" t="s">
        <v>489</v>
      </c>
      <c r="Q60" s="547"/>
      <c r="R60" s="259"/>
      <c r="S60" s="259"/>
      <c r="T60" s="259"/>
      <c r="U60" s="259"/>
      <c r="V60" s="259"/>
      <c r="W60" s="259"/>
      <c r="X60" s="259"/>
      <c r="Y60" s="259"/>
      <c r="Z60" s="259"/>
    </row>
    <row r="61" spans="1:26" x14ac:dyDescent="0.25">
      <c r="A61" s="580"/>
      <c r="B61" s="813" t="str">
        <f>IF($B$52="All trusts", Ind_inter_backfile!A10,Ind_inter_backfile!A20)</f>
        <v>Miscellaneous</v>
      </c>
      <c r="C61" s="789" t="s">
        <v>413</v>
      </c>
      <c r="D61" s="789" t="s">
        <v>413</v>
      </c>
      <c r="E61" s="789" t="s">
        <v>413</v>
      </c>
      <c r="F61" s="789" t="s">
        <v>413</v>
      </c>
      <c r="G61" s="789" t="s">
        <v>413</v>
      </c>
      <c r="H61" s="789" t="s">
        <v>413</v>
      </c>
      <c r="I61" s="789">
        <f>IF($B$18="All trusts", Ind_inter_backfile!H10,Ind_inter_backfile!H20)</f>
        <v>888577</v>
      </c>
      <c r="J61" s="789">
        <f>IF($B$18="All trusts", Ind_inter_backfile!I10,Ind_inter_backfile!I20)</f>
        <v>1435572</v>
      </c>
      <c r="K61" s="789">
        <f>IF($B$18="All trusts", Ind_inter_backfile!J4,Ind_inter_backfile!J14)</f>
        <v>2814027</v>
      </c>
      <c r="L61" s="789">
        <f>IF($B$18="All trusts", Ind_inter_backfile!K4,Ind_inter_backfile!K14)</f>
        <v>3115381</v>
      </c>
      <c r="M61" s="789">
        <f>IF($B$18="All trusts", Ind_inter_backfile!L4,Ind_inter_backfile!L14)</f>
        <v>3460008</v>
      </c>
      <c r="N61" s="789">
        <f>IF($B$18="All trusts", Ind_inter_backfile!M4,Ind_inter_backfile!M14)</f>
        <v>3773131</v>
      </c>
      <c r="O61" s="789">
        <f>IF($B$18="All trusts", Ind_inter_backfile!N4,Ind_inter_backfile!N14)</f>
        <v>4111128</v>
      </c>
      <c r="P61" s="789">
        <f>IF($B$18="All trusts", Ind_inter_backfile!O4,Ind_inter_backfile!O14)</f>
        <v>4433103.6488100002</v>
      </c>
      <c r="Q61" s="547"/>
      <c r="R61" s="259"/>
      <c r="S61" s="259"/>
      <c r="T61" s="259"/>
      <c r="U61" s="259"/>
      <c r="V61" s="259"/>
      <c r="W61" s="259"/>
      <c r="X61" s="259"/>
      <c r="Y61" s="259"/>
      <c r="Z61" s="259"/>
    </row>
    <row r="62" spans="1:26" x14ac:dyDescent="0.25">
      <c r="A62" s="580"/>
      <c r="B62" s="814" t="str">
        <f>IF($B$52="All trusts", Ind_inter_backfile!A11,Ind_inter_backfile!A21)</f>
        <v>Total intermediates</v>
      </c>
      <c r="C62" s="789" t="s">
        <v>413</v>
      </c>
      <c r="D62" s="789" t="s">
        <v>413</v>
      </c>
      <c r="E62" s="789" t="s">
        <v>413</v>
      </c>
      <c r="F62" s="789" t="s">
        <v>413</v>
      </c>
      <c r="G62" s="789" t="s">
        <v>413</v>
      </c>
      <c r="H62" s="789" t="s">
        <v>413</v>
      </c>
      <c r="I62" s="789">
        <f>IF($B$18="All trusts", Ind_inter_backfile!H11,Ind_inter_backfile!H21)</f>
        <v>6991023</v>
      </c>
      <c r="J62" s="789">
        <f>IF($B$18="All trusts", Ind_inter_backfile!I11,Ind_inter_backfile!I21)</f>
        <v>8214109</v>
      </c>
      <c r="K62" s="789">
        <f>IF($B$18="All trusts", Ind_inter_backfile!J5,Ind_inter_backfile!J15)</f>
        <v>748493</v>
      </c>
      <c r="L62" s="789">
        <f>IF($B$18="All trusts", Ind_inter_backfile!K5,Ind_inter_backfile!K15)</f>
        <v>942142</v>
      </c>
      <c r="M62" s="789">
        <f>IF($B$18="All trusts", Ind_inter_backfile!L5,Ind_inter_backfile!L15)</f>
        <v>1119410</v>
      </c>
      <c r="N62" s="789">
        <f>IF($B$18="All trusts", Ind_inter_backfile!M5,Ind_inter_backfile!M15)</f>
        <v>1307254</v>
      </c>
      <c r="O62" s="789">
        <f>IF($B$18="All trusts", Ind_inter_backfile!N5,Ind_inter_backfile!N15)</f>
        <v>1455860</v>
      </c>
      <c r="P62" s="789">
        <f>IF($B$18="All trusts", Ind_inter_backfile!O5,Ind_inter_backfile!O15)</f>
        <v>1657692.166894</v>
      </c>
      <c r="Q62" s="547"/>
      <c r="R62" s="259"/>
      <c r="S62" s="259"/>
      <c r="T62" s="259"/>
      <c r="U62" s="259"/>
      <c r="V62" s="259"/>
      <c r="W62" s="259"/>
      <c r="X62" s="259"/>
      <c r="Y62" s="259"/>
      <c r="Z62" s="259"/>
    </row>
    <row r="63" spans="1:26" x14ac:dyDescent="0.25">
      <c r="A63" s="580"/>
      <c r="B63" s="547"/>
      <c r="C63" s="547"/>
      <c r="D63" s="547"/>
      <c r="E63" s="547"/>
      <c r="F63" s="547"/>
      <c r="G63" s="547"/>
      <c r="H63" s="547"/>
      <c r="I63" s="547"/>
      <c r="J63" s="547"/>
      <c r="K63" s="789">
        <f>IF($B$18="All trusts", Ind_inter_backfile!J6,Ind_inter_backfile!J16)</f>
        <v>911504</v>
      </c>
      <c r="L63" s="789">
        <f>IF($B$18="All trusts", Ind_inter_backfile!K6,Ind_inter_backfile!K16)</f>
        <v>1045835</v>
      </c>
      <c r="M63" s="789">
        <f>IF($B$18="All trusts", Ind_inter_backfile!L6,Ind_inter_backfile!L16)</f>
        <v>1119750</v>
      </c>
      <c r="N63" s="789">
        <f>IF($B$18="All trusts", Ind_inter_backfile!M6,Ind_inter_backfile!M16)</f>
        <v>1177681</v>
      </c>
      <c r="O63" s="789">
        <f>IF($B$18="All trusts", Ind_inter_backfile!N6,Ind_inter_backfile!N16)</f>
        <v>1226148</v>
      </c>
      <c r="P63" s="789">
        <f>IF($B$18="All trusts", Ind_inter_backfile!O6,Ind_inter_backfile!O16)</f>
        <v>1340134.8763599999</v>
      </c>
      <c r="Q63" s="547"/>
      <c r="R63" s="259"/>
      <c r="S63" s="259"/>
      <c r="T63" s="259"/>
      <c r="U63" s="259"/>
      <c r="V63" s="259"/>
      <c r="W63" s="259"/>
      <c r="X63" s="259"/>
      <c r="Y63" s="259"/>
      <c r="Z63" s="259"/>
    </row>
    <row r="64" spans="1:26" x14ac:dyDescent="0.25">
      <c r="A64" s="580"/>
      <c r="B64" s="396"/>
      <c r="C64" s="396"/>
      <c r="D64" s="396"/>
      <c r="E64" s="396"/>
      <c r="F64" s="396"/>
      <c r="G64" s="396"/>
      <c r="H64" s="396"/>
      <c r="I64" s="396"/>
      <c r="J64" s="396"/>
      <c r="K64" s="789">
        <f>IF($B$18="All trusts", Ind_inter_backfile!J7,Ind_inter_backfile!J17)</f>
        <v>982216</v>
      </c>
      <c r="L64" s="789">
        <f>IF($B$18="All trusts", Ind_inter_backfile!K7,Ind_inter_backfile!K17)</f>
        <v>1085634</v>
      </c>
      <c r="M64" s="789">
        <f>IF($B$18="All trusts", Ind_inter_backfile!L7,Ind_inter_backfile!L17)</f>
        <v>1104583</v>
      </c>
      <c r="N64" s="789">
        <f>IF($B$18="All trusts", Ind_inter_backfile!M7,Ind_inter_backfile!M17)</f>
        <v>1099538</v>
      </c>
      <c r="O64" s="789">
        <f>IF($B$18="All trusts", Ind_inter_backfile!N7,Ind_inter_backfile!N17)</f>
        <v>1163635</v>
      </c>
      <c r="P64" s="789">
        <f>IF($B$18="All trusts", Ind_inter_backfile!O7,Ind_inter_backfile!O17)</f>
        <v>1336928.3518899998</v>
      </c>
      <c r="Q64" s="547"/>
      <c r="R64" s="259"/>
      <c r="S64" s="259"/>
      <c r="T64" s="259"/>
      <c r="U64" s="259"/>
      <c r="V64" s="259"/>
      <c r="W64" s="259"/>
      <c r="X64" s="259"/>
      <c r="Y64" s="259"/>
      <c r="Z64" s="259"/>
    </row>
    <row r="65" spans="1:26" x14ac:dyDescent="0.25">
      <c r="A65" s="580"/>
      <c r="B65" s="396"/>
      <c r="C65" s="396"/>
      <c r="D65" s="396"/>
      <c r="E65" s="396"/>
      <c r="F65" s="396"/>
      <c r="G65" s="396"/>
      <c r="H65" s="396"/>
      <c r="I65" s="396"/>
      <c r="J65" s="396"/>
      <c r="K65" s="789">
        <f>IF($B$18="All trusts", Ind_inter_backfile!J8,Ind_inter_backfile!J18)</f>
        <v>1161463</v>
      </c>
      <c r="L65" s="789">
        <f>IF($B$18="All trusts", Ind_inter_backfile!K8,Ind_inter_backfile!K18)</f>
        <v>1279173</v>
      </c>
      <c r="M65" s="789">
        <f>IF($B$18="All trusts", Ind_inter_backfile!L8,Ind_inter_backfile!L18)</f>
        <v>1506901</v>
      </c>
      <c r="N65" s="789">
        <f>IF($B$18="All trusts", Ind_inter_backfile!M8,Ind_inter_backfile!M18)</f>
        <v>1289767</v>
      </c>
      <c r="O65" s="789">
        <f>IF($B$18="All trusts", Ind_inter_backfile!N8,Ind_inter_backfile!N18)</f>
        <v>1436318</v>
      </c>
      <c r="P65" s="789">
        <f>IF($B$18="All trusts", Ind_inter_backfile!O8,Ind_inter_backfile!O18)</f>
        <v>1807315.6982280002</v>
      </c>
      <c r="Q65" s="547"/>
      <c r="R65" s="259"/>
      <c r="S65" s="259"/>
      <c r="T65" s="259"/>
      <c r="U65" s="259"/>
      <c r="V65" s="259"/>
      <c r="W65" s="259"/>
      <c r="X65" s="259"/>
      <c r="Y65" s="259"/>
      <c r="Z65" s="259"/>
    </row>
    <row r="66" spans="1:26" x14ac:dyDescent="0.25">
      <c r="A66" s="396"/>
      <c r="B66" s="396"/>
      <c r="C66" s="396"/>
      <c r="D66" s="396"/>
      <c r="E66" s="396"/>
      <c r="F66" s="396"/>
      <c r="G66" s="396"/>
      <c r="H66" s="396"/>
      <c r="I66" s="396"/>
      <c r="J66" s="396"/>
      <c r="K66" s="789">
        <f>IF($B$18="All trusts", Ind_inter_backfile!J9,Ind_inter_backfile!J19)</f>
        <v>738923</v>
      </c>
      <c r="L66" s="789">
        <f>IF($B$18="All trusts", Ind_inter_backfile!K9,Ind_inter_backfile!K19)</f>
        <v>916352</v>
      </c>
      <c r="M66" s="789">
        <f>IF($B$18="All trusts", Ind_inter_backfile!L9,Ind_inter_backfile!L19)</f>
        <v>962768</v>
      </c>
      <c r="N66" s="789">
        <f>IF($B$18="All trusts", Ind_inter_backfile!M9,Ind_inter_backfile!M19)</f>
        <v>950531</v>
      </c>
      <c r="O66" s="789">
        <f>IF($B$18="All trusts", Ind_inter_backfile!N9,Ind_inter_backfile!N19)</f>
        <v>1061324</v>
      </c>
      <c r="P66" s="789">
        <f>IF($B$18="All trusts", Ind_inter_backfile!O9,Ind_inter_backfile!O19)</f>
        <v>1295428.88378</v>
      </c>
      <c r="Q66" s="547"/>
      <c r="R66" s="259"/>
      <c r="S66" s="259"/>
      <c r="T66" s="259"/>
      <c r="U66" s="259"/>
      <c r="V66" s="259"/>
      <c r="W66" s="259"/>
      <c r="X66" s="259"/>
      <c r="Y66" s="259"/>
      <c r="Z66" s="259"/>
    </row>
    <row r="67" spans="1:26" x14ac:dyDescent="0.25">
      <c r="A67" s="396"/>
      <c r="B67" s="396"/>
      <c r="C67" s="396"/>
      <c r="D67" s="396"/>
      <c r="E67" s="396"/>
      <c r="F67" s="396"/>
      <c r="G67" s="396"/>
      <c r="H67" s="396"/>
      <c r="I67" s="396"/>
      <c r="J67" s="396"/>
      <c r="K67" s="789">
        <f>IF($B$18="All trusts", Ind_inter_backfile!J10,Ind_inter_backfile!J20)</f>
        <v>1612571</v>
      </c>
      <c r="L67" s="789">
        <f>IF($B$18="All trusts", Ind_inter_backfile!K10,Ind_inter_backfile!K20)</f>
        <v>1747727</v>
      </c>
      <c r="M67" s="789">
        <f>IF($B$18="All trusts", Ind_inter_backfile!L10,Ind_inter_backfile!L20)</f>
        <v>1852820</v>
      </c>
      <c r="N67" s="789">
        <f>IF($B$18="All trusts", Ind_inter_backfile!M10,Ind_inter_backfile!M20)</f>
        <v>2243732</v>
      </c>
      <c r="O67" s="789">
        <f>IF($B$18="All trusts", Ind_inter_backfile!N10,Ind_inter_backfile!N20)</f>
        <v>2506806</v>
      </c>
      <c r="P67" s="789">
        <f>IF($B$18="All trusts", Ind_inter_backfile!O10,Ind_inter_backfile!O20)</f>
        <v>3070984</v>
      </c>
      <c r="Q67" s="547"/>
      <c r="R67" s="259"/>
      <c r="S67" s="259"/>
      <c r="T67" s="259"/>
      <c r="U67" s="259"/>
      <c r="V67" s="259"/>
      <c r="W67" s="259"/>
      <c r="X67" s="259"/>
      <c r="Y67" s="259"/>
      <c r="Z67" s="259"/>
    </row>
    <row r="68" spans="1:26" x14ac:dyDescent="0.25">
      <c r="A68" s="396"/>
      <c r="B68" s="396"/>
      <c r="C68" s="396"/>
      <c r="D68" s="396"/>
      <c r="E68" s="396"/>
      <c r="F68" s="396"/>
      <c r="G68" s="396"/>
      <c r="H68" s="396"/>
      <c r="I68" s="396"/>
      <c r="J68" s="396"/>
      <c r="K68" s="789">
        <f>IF($B$18="All trusts", Ind_inter_backfile!J11,Ind_inter_backfile!J21)</f>
        <v>8969197</v>
      </c>
      <c r="L68" s="789">
        <f>IF($B$18="All trusts", Ind_inter_backfile!K11,Ind_inter_backfile!K21)</f>
        <v>10132245</v>
      </c>
      <c r="M68" s="789">
        <f>IF($B$18="All trusts", Ind_inter_backfile!L11,Ind_inter_backfile!L21)</f>
        <v>11126240</v>
      </c>
      <c r="N68" s="789">
        <f>IF($B$18="All trusts", Ind_inter_backfile!M11,Ind_inter_backfile!M21)</f>
        <v>11841634</v>
      </c>
      <c r="O68" s="789">
        <f>IF($B$18="All trusts", Ind_inter_backfile!N11,Ind_inter_backfile!N21)</f>
        <v>12961219</v>
      </c>
      <c r="P68" s="789">
        <f>IF($B$18="All trusts", Ind_inter_backfile!O11,Ind_inter_backfile!O21)</f>
        <v>14941587.625962</v>
      </c>
      <c r="Q68" s="547"/>
      <c r="R68" s="259"/>
      <c r="S68" s="259"/>
      <c r="T68" s="259"/>
      <c r="U68" s="259"/>
      <c r="V68" s="259"/>
      <c r="W68" s="259"/>
      <c r="X68" s="259"/>
      <c r="Y68" s="259"/>
      <c r="Z68" s="259"/>
    </row>
    <row r="69" spans="1:26" x14ac:dyDescent="0.25">
      <c r="A69" s="396"/>
      <c r="B69" s="396"/>
      <c r="C69" s="396"/>
      <c r="D69" s="396"/>
      <c r="E69" s="396"/>
      <c r="F69" s="396"/>
      <c r="G69" s="396"/>
      <c r="H69" s="396"/>
      <c r="I69" s="396"/>
      <c r="J69" s="396"/>
      <c r="K69" s="547"/>
      <c r="L69" s="547"/>
      <c r="M69" s="547"/>
      <c r="N69" s="547"/>
      <c r="O69" s="547"/>
      <c r="P69" s="547"/>
      <c r="Q69" s="547"/>
      <c r="R69" s="259"/>
      <c r="S69" s="259"/>
      <c r="T69" s="259"/>
      <c r="U69" s="259"/>
      <c r="V69" s="259"/>
      <c r="W69" s="259"/>
      <c r="X69" s="259"/>
      <c r="Y69" s="259"/>
      <c r="Z69" s="259"/>
    </row>
    <row r="70" spans="1:26" x14ac:dyDescent="0.25">
      <c r="A70" s="396"/>
      <c r="B70" s="396"/>
      <c r="C70" s="396"/>
      <c r="D70" s="396"/>
      <c r="E70" s="396"/>
      <c r="F70" s="396"/>
      <c r="G70" s="396"/>
      <c r="H70" s="396"/>
      <c r="I70" s="396"/>
      <c r="J70" s="396"/>
      <c r="K70" s="396"/>
      <c r="L70" s="396"/>
      <c r="M70" s="396"/>
      <c r="N70" s="396"/>
      <c r="O70" s="396"/>
      <c r="P70" s="259"/>
      <c r="Q70" s="259"/>
      <c r="R70" s="259"/>
      <c r="S70" s="259"/>
      <c r="T70" s="259"/>
      <c r="U70" s="259"/>
      <c r="V70" s="259"/>
      <c r="W70" s="259"/>
      <c r="X70" s="259"/>
      <c r="Y70" s="259"/>
      <c r="Z70" s="259"/>
    </row>
    <row r="71" spans="1:26" x14ac:dyDescent="0.25">
      <c r="A71" s="396"/>
      <c r="B71" s="396"/>
      <c r="C71" s="396"/>
      <c r="D71" s="396"/>
      <c r="E71" s="396"/>
      <c r="F71" s="396"/>
      <c r="G71" s="396"/>
      <c r="H71" s="396"/>
      <c r="I71" s="396"/>
      <c r="J71" s="396"/>
      <c r="K71" s="396"/>
      <c r="L71" s="396"/>
      <c r="M71" s="396"/>
      <c r="N71" s="396"/>
      <c r="O71" s="396"/>
      <c r="P71" s="259"/>
      <c r="Q71" s="259"/>
      <c r="R71" s="259"/>
      <c r="S71" s="259"/>
      <c r="T71" s="259"/>
      <c r="U71" s="259"/>
      <c r="V71" s="259"/>
      <c r="W71" s="259"/>
      <c r="X71" s="259"/>
      <c r="Y71" s="259"/>
      <c r="Z71" s="259"/>
    </row>
    <row r="72" spans="1:26" x14ac:dyDescent="0.25">
      <c r="A72" s="396"/>
      <c r="B72" s="396"/>
      <c r="C72" s="396"/>
      <c r="D72" s="396"/>
      <c r="E72" s="396"/>
      <c r="F72" s="396"/>
      <c r="G72" s="396"/>
      <c r="H72" s="396"/>
      <c r="I72" s="396"/>
      <c r="J72" s="396"/>
      <c r="K72" s="396"/>
      <c r="L72" s="396"/>
      <c r="M72" s="396"/>
      <c r="N72" s="396"/>
      <c r="O72" s="396"/>
      <c r="P72" s="259"/>
      <c r="Q72" s="259"/>
      <c r="R72" s="259"/>
      <c r="S72" s="259"/>
      <c r="T72" s="259"/>
      <c r="U72" s="259"/>
      <c r="V72" s="259"/>
      <c r="W72" s="259"/>
      <c r="X72" s="259"/>
      <c r="Y72" s="259"/>
      <c r="Z72" s="259"/>
    </row>
    <row r="73" spans="1:26" x14ac:dyDescent="0.25">
      <c r="A73" s="396"/>
      <c r="B73" s="396"/>
      <c r="C73" s="396"/>
      <c r="D73" s="396"/>
      <c r="E73" s="396"/>
      <c r="F73" s="396"/>
      <c r="G73" s="396"/>
      <c r="H73" s="396"/>
      <c r="I73" s="396"/>
      <c r="J73" s="396"/>
      <c r="K73" s="396"/>
      <c r="L73" s="396"/>
      <c r="M73" s="396"/>
      <c r="N73" s="396"/>
      <c r="O73" s="396"/>
      <c r="P73" s="259"/>
      <c r="Q73" s="259"/>
      <c r="R73" s="259"/>
      <c r="S73" s="259"/>
      <c r="T73" s="259"/>
      <c r="U73" s="259"/>
      <c r="V73" s="259"/>
      <c r="W73" s="259"/>
      <c r="X73" s="259"/>
      <c r="Y73" s="259"/>
      <c r="Z73" s="259"/>
    </row>
    <row r="74" spans="1:26" x14ac:dyDescent="0.25">
      <c r="A74" s="396"/>
      <c r="B74" s="396"/>
      <c r="C74" s="396"/>
      <c r="D74" s="396"/>
      <c r="E74" s="396"/>
      <c r="F74" s="396"/>
      <c r="G74" s="396"/>
      <c r="H74" s="396"/>
      <c r="I74" s="396"/>
      <c r="J74" s="396"/>
      <c r="K74" s="396"/>
      <c r="L74" s="396"/>
      <c r="M74" s="396"/>
      <c r="N74" s="396"/>
      <c r="O74" s="396"/>
      <c r="P74" s="259"/>
      <c r="Q74" s="259"/>
      <c r="R74" s="259"/>
      <c r="S74" s="259"/>
      <c r="T74" s="259"/>
      <c r="U74" s="259"/>
      <c r="V74" s="259"/>
      <c r="W74" s="259"/>
      <c r="X74" s="259"/>
      <c r="Y74" s="259"/>
      <c r="Z74" s="259"/>
    </row>
    <row r="75" spans="1:26" x14ac:dyDescent="0.25">
      <c r="A75" s="396"/>
      <c r="B75" s="396"/>
      <c r="C75" s="396"/>
      <c r="D75" s="396"/>
      <c r="E75" s="396"/>
      <c r="F75" s="396"/>
      <c r="G75" s="396"/>
      <c r="H75" s="396"/>
      <c r="I75" s="396"/>
      <c r="J75" s="396"/>
      <c r="K75" s="396"/>
      <c r="L75" s="396"/>
      <c r="M75" s="396"/>
      <c r="N75" s="396"/>
      <c r="O75" s="396"/>
      <c r="P75" s="259"/>
      <c r="Q75" s="259"/>
      <c r="R75" s="259"/>
      <c r="S75" s="259"/>
      <c r="T75" s="259"/>
      <c r="U75" s="259"/>
      <c r="V75" s="259"/>
      <c r="W75" s="259"/>
      <c r="X75" s="259"/>
      <c r="Y75" s="259"/>
      <c r="Z75" s="259"/>
    </row>
    <row r="76" spans="1:26" x14ac:dyDescent="0.25">
      <c r="A76" s="396"/>
      <c r="B76" s="396"/>
      <c r="C76" s="396"/>
      <c r="D76" s="396"/>
      <c r="E76" s="396"/>
      <c r="F76" s="396"/>
      <c r="G76" s="396"/>
      <c r="H76" s="396"/>
      <c r="I76" s="396"/>
      <c r="J76" s="396"/>
      <c r="K76" s="396"/>
      <c r="L76" s="396"/>
      <c r="M76" s="396"/>
      <c r="N76" s="396"/>
      <c r="O76" s="396"/>
      <c r="P76" s="259"/>
      <c r="Q76" s="259"/>
      <c r="R76" s="259"/>
      <c r="S76" s="259"/>
      <c r="T76" s="259"/>
      <c r="U76" s="259"/>
      <c r="V76" s="259"/>
      <c r="W76" s="259"/>
      <c r="X76" s="259"/>
      <c r="Y76" s="259"/>
      <c r="Z76" s="259"/>
    </row>
    <row r="77" spans="1:26" x14ac:dyDescent="0.25">
      <c r="A77" s="396"/>
      <c r="B77" s="396"/>
      <c r="C77" s="396"/>
      <c r="D77" s="396"/>
      <c r="E77" s="396"/>
      <c r="F77" s="396"/>
      <c r="G77" s="396"/>
      <c r="H77" s="396"/>
      <c r="I77" s="396"/>
      <c r="J77" s="396"/>
      <c r="K77" s="396"/>
      <c r="L77" s="396"/>
      <c r="M77" s="396"/>
      <c r="N77" s="396"/>
      <c r="O77" s="396"/>
      <c r="P77" s="259"/>
      <c r="Q77" s="259"/>
      <c r="R77" s="259"/>
      <c r="S77" s="259"/>
      <c r="T77" s="259"/>
      <c r="U77" s="259"/>
      <c r="V77" s="259"/>
      <c r="W77" s="259"/>
      <c r="X77" s="259"/>
      <c r="Y77" s="259"/>
      <c r="Z77" s="259"/>
    </row>
    <row r="78" spans="1:26" x14ac:dyDescent="0.25">
      <c r="A78" s="396"/>
      <c r="B78" s="396"/>
      <c r="C78" s="396"/>
      <c r="D78" s="396"/>
      <c r="E78" s="396"/>
      <c r="F78" s="396"/>
      <c r="G78" s="396"/>
      <c r="H78" s="396"/>
      <c r="I78" s="396"/>
      <c r="J78" s="396"/>
      <c r="K78" s="396"/>
      <c r="L78" s="396"/>
      <c r="M78" s="396"/>
      <c r="N78" s="396"/>
      <c r="O78" s="396"/>
      <c r="P78" s="259"/>
      <c r="Q78" s="259"/>
      <c r="R78" s="259"/>
      <c r="S78" s="259"/>
      <c r="T78" s="259"/>
      <c r="U78" s="259"/>
      <c r="V78" s="259"/>
      <c r="W78" s="259"/>
      <c r="X78" s="259"/>
      <c r="Y78" s="259"/>
      <c r="Z78" s="259"/>
    </row>
    <row r="79" spans="1:26" x14ac:dyDescent="0.25">
      <c r="A79" s="396"/>
      <c r="B79" s="396"/>
      <c r="C79" s="396"/>
      <c r="D79" s="396"/>
      <c r="E79" s="396"/>
      <c r="F79" s="396"/>
      <c r="G79" s="396"/>
      <c r="H79" s="396"/>
      <c r="I79" s="396"/>
      <c r="J79" s="396"/>
      <c r="K79" s="396"/>
      <c r="L79" s="396"/>
      <c r="M79" s="396"/>
      <c r="N79" s="396"/>
      <c r="O79" s="396"/>
      <c r="P79" s="259"/>
      <c r="Q79" s="259"/>
      <c r="R79" s="259"/>
      <c r="S79" s="259"/>
      <c r="T79" s="259"/>
      <c r="U79" s="259"/>
      <c r="V79" s="259"/>
      <c r="W79" s="259"/>
      <c r="X79" s="259"/>
      <c r="Y79" s="259"/>
      <c r="Z79" s="259"/>
    </row>
    <row r="80" spans="1:26" x14ac:dyDescent="0.25">
      <c r="A80" s="396"/>
      <c r="B80" s="396"/>
      <c r="C80" s="396"/>
      <c r="D80" s="396"/>
      <c r="E80" s="396"/>
      <c r="F80" s="396"/>
      <c r="G80" s="396"/>
      <c r="H80" s="396"/>
      <c r="I80" s="396"/>
      <c r="J80" s="396"/>
      <c r="K80" s="396"/>
      <c r="L80" s="396"/>
      <c r="M80" s="396"/>
      <c r="N80" s="396"/>
      <c r="O80" s="396"/>
      <c r="P80" s="259"/>
      <c r="Q80" s="259"/>
      <c r="R80" s="259"/>
      <c r="S80" s="259"/>
      <c r="T80" s="259"/>
      <c r="U80" s="259"/>
      <c r="V80" s="259"/>
      <c r="W80" s="259"/>
      <c r="X80" s="259"/>
      <c r="Y80" s="259"/>
      <c r="Z80" s="259"/>
    </row>
    <row r="81" spans="1:26" x14ac:dyDescent="0.25">
      <c r="A81" s="396"/>
      <c r="B81" s="396"/>
      <c r="C81" s="396"/>
      <c r="D81" s="396"/>
      <c r="E81" s="396"/>
      <c r="F81" s="396"/>
      <c r="G81" s="396"/>
      <c r="H81" s="396"/>
      <c r="I81" s="396"/>
      <c r="J81" s="396"/>
      <c r="K81" s="396"/>
      <c r="L81" s="396"/>
      <c r="M81" s="396"/>
      <c r="N81" s="396"/>
      <c r="O81" s="396"/>
      <c r="P81" s="259"/>
      <c r="Q81" s="259"/>
      <c r="R81" s="259"/>
      <c r="S81" s="259"/>
      <c r="T81" s="259"/>
      <c r="U81" s="259"/>
      <c r="V81" s="259"/>
      <c r="W81" s="259"/>
      <c r="X81" s="259"/>
      <c r="Y81" s="259"/>
      <c r="Z81" s="259"/>
    </row>
    <row r="82" spans="1:26" x14ac:dyDescent="0.25">
      <c r="A82" s="396"/>
      <c r="B82" s="396"/>
      <c r="C82" s="396"/>
      <c r="D82" s="396"/>
      <c r="E82" s="396"/>
      <c r="F82" s="396"/>
      <c r="G82" s="396"/>
      <c r="H82" s="396"/>
      <c r="I82" s="396"/>
      <c r="J82" s="396"/>
      <c r="K82" s="396"/>
      <c r="L82" s="396"/>
      <c r="M82" s="396"/>
      <c r="N82" s="396"/>
      <c r="O82" s="396"/>
      <c r="P82" s="259"/>
      <c r="Q82" s="259"/>
      <c r="R82" s="259"/>
      <c r="S82" s="259"/>
      <c r="T82" s="259"/>
      <c r="U82" s="259"/>
      <c r="V82" s="259"/>
      <c r="W82" s="259"/>
      <c r="X82" s="259"/>
      <c r="Y82" s="259"/>
      <c r="Z82" s="259"/>
    </row>
    <row r="83" spans="1:26" x14ac:dyDescent="0.25">
      <c r="A83" s="396"/>
      <c r="B83" s="396"/>
      <c r="C83" s="396"/>
      <c r="D83" s="396"/>
      <c r="E83" s="396"/>
      <c r="F83" s="396"/>
      <c r="G83" s="396"/>
      <c r="H83" s="396"/>
      <c r="I83" s="396"/>
      <c r="J83" s="396"/>
      <c r="K83" s="396"/>
      <c r="L83" s="396"/>
      <c r="M83" s="396"/>
      <c r="N83" s="396"/>
      <c r="O83" s="396"/>
      <c r="P83" s="259"/>
      <c r="Q83" s="259"/>
      <c r="R83" s="259"/>
      <c r="S83" s="259"/>
      <c r="T83" s="259"/>
      <c r="U83" s="259"/>
      <c r="V83" s="259"/>
      <c r="W83" s="259"/>
      <c r="X83" s="259"/>
      <c r="Y83" s="259"/>
      <c r="Z83" s="259"/>
    </row>
    <row r="84" spans="1:26" x14ac:dyDescent="0.25">
      <c r="A84" s="396"/>
      <c r="B84" s="396"/>
      <c r="C84" s="396"/>
      <c r="D84" s="396"/>
      <c r="E84" s="396"/>
      <c r="F84" s="396"/>
      <c r="G84" s="396"/>
      <c r="H84" s="396"/>
      <c r="I84" s="396"/>
      <c r="J84" s="396"/>
      <c r="K84" s="396"/>
      <c r="L84" s="396"/>
      <c r="M84" s="396"/>
      <c r="N84" s="396"/>
      <c r="O84" s="396"/>
      <c r="P84" s="259"/>
      <c r="Q84" s="259"/>
      <c r="R84" s="259"/>
      <c r="S84" s="259"/>
      <c r="T84" s="259"/>
      <c r="U84" s="259"/>
      <c r="V84" s="259"/>
      <c r="W84" s="259"/>
      <c r="X84" s="259"/>
      <c r="Y84" s="259"/>
      <c r="Z84" s="259"/>
    </row>
    <row r="85" spans="1:26" x14ac:dyDescent="0.25">
      <c r="A85" s="396"/>
      <c r="B85" s="259"/>
      <c r="C85" s="259"/>
      <c r="D85" s="259"/>
      <c r="E85" s="259"/>
      <c r="F85" s="259"/>
      <c r="G85" s="259"/>
      <c r="H85" s="259"/>
      <c r="I85" s="259"/>
      <c r="J85" s="259"/>
      <c r="K85" s="396"/>
      <c r="L85" s="396"/>
      <c r="M85" s="396"/>
      <c r="N85" s="396"/>
      <c r="O85" s="396"/>
      <c r="P85" s="259"/>
      <c r="Q85" s="259"/>
      <c r="R85" s="259"/>
      <c r="S85" s="259"/>
      <c r="T85" s="259"/>
      <c r="U85" s="259"/>
      <c r="V85" s="259"/>
      <c r="W85" s="259"/>
      <c r="X85" s="259"/>
      <c r="Y85" s="259"/>
      <c r="Z85" s="259"/>
    </row>
    <row r="86" spans="1:26" x14ac:dyDescent="0.25">
      <c r="A86" s="396"/>
      <c r="B86" s="259"/>
      <c r="C86" s="259"/>
      <c r="D86" s="259"/>
      <c r="E86" s="259"/>
      <c r="F86" s="259"/>
      <c r="G86" s="259"/>
      <c r="H86" s="259"/>
      <c r="I86" s="259"/>
      <c r="J86" s="259"/>
      <c r="K86" s="396"/>
      <c r="L86" s="396"/>
      <c r="M86" s="396"/>
      <c r="N86" s="396"/>
      <c r="O86" s="396"/>
      <c r="P86" s="259"/>
      <c r="Q86" s="259"/>
      <c r="R86" s="259"/>
      <c r="S86" s="259"/>
      <c r="T86" s="259"/>
      <c r="U86" s="259"/>
      <c r="V86" s="259"/>
      <c r="W86" s="259"/>
      <c r="X86" s="259"/>
      <c r="Y86" s="259"/>
      <c r="Z86" s="259"/>
    </row>
    <row r="87" spans="1:26" x14ac:dyDescent="0.25">
      <c r="A87" s="396"/>
      <c r="B87" s="259"/>
      <c r="C87" s="259"/>
      <c r="D87" s="259"/>
      <c r="E87" s="259"/>
      <c r="F87" s="259"/>
      <c r="G87" s="259"/>
      <c r="H87" s="259"/>
      <c r="I87" s="259"/>
      <c r="J87" s="259"/>
      <c r="K87" s="396"/>
      <c r="L87" s="396"/>
      <c r="M87" s="396"/>
      <c r="N87" s="396"/>
      <c r="O87" s="396"/>
      <c r="P87" s="259"/>
      <c r="Q87" s="259"/>
      <c r="R87" s="259"/>
      <c r="S87" s="259"/>
      <c r="T87" s="259"/>
      <c r="U87" s="259"/>
      <c r="V87" s="259"/>
      <c r="W87" s="259"/>
      <c r="X87" s="259"/>
      <c r="Y87" s="259"/>
      <c r="Z87" s="259"/>
    </row>
    <row r="88" spans="1:26" x14ac:dyDescent="0.25">
      <c r="A88" s="396"/>
      <c r="B88" s="259"/>
      <c r="C88" s="259"/>
      <c r="D88" s="259"/>
      <c r="E88" s="259"/>
      <c r="F88" s="259"/>
      <c r="G88" s="259"/>
      <c r="H88" s="259"/>
      <c r="I88" s="259"/>
      <c r="J88" s="259"/>
      <c r="K88" s="396"/>
      <c r="L88" s="396"/>
      <c r="M88" s="396"/>
      <c r="N88" s="396"/>
      <c r="O88" s="396"/>
      <c r="P88" s="259"/>
      <c r="Q88" s="259"/>
      <c r="R88" s="259"/>
      <c r="S88" s="259"/>
      <c r="T88" s="259"/>
      <c r="U88" s="259"/>
      <c r="V88" s="259"/>
      <c r="W88" s="259"/>
      <c r="X88" s="259"/>
      <c r="Y88" s="259"/>
      <c r="Z88" s="259"/>
    </row>
    <row r="89" spans="1:26" x14ac:dyDescent="0.25">
      <c r="A89" s="396"/>
      <c r="B89" s="259"/>
      <c r="C89" s="259"/>
      <c r="D89" s="259"/>
      <c r="E89" s="259"/>
      <c r="F89" s="259"/>
      <c r="G89" s="259"/>
      <c r="H89" s="259"/>
      <c r="I89" s="259"/>
      <c r="J89" s="259"/>
      <c r="K89" s="396"/>
      <c r="L89" s="396"/>
      <c r="M89" s="396"/>
      <c r="N89" s="396"/>
      <c r="O89" s="396"/>
      <c r="P89" s="259"/>
      <c r="Q89" s="259"/>
      <c r="R89" s="259"/>
      <c r="S89" s="259"/>
      <c r="T89" s="259"/>
      <c r="U89" s="259"/>
      <c r="V89" s="259"/>
      <c r="W89" s="259"/>
      <c r="X89" s="259"/>
      <c r="Y89" s="259"/>
      <c r="Z89" s="259"/>
    </row>
    <row r="90" spans="1:26" x14ac:dyDescent="0.25">
      <c r="A90" s="396"/>
      <c r="B90" s="259"/>
      <c r="C90" s="259"/>
      <c r="D90" s="259"/>
      <c r="E90" s="259"/>
      <c r="F90" s="259"/>
      <c r="G90" s="259"/>
      <c r="H90" s="259"/>
      <c r="I90" s="259"/>
      <c r="J90" s="259"/>
      <c r="K90" s="396"/>
      <c r="L90" s="396"/>
      <c r="M90" s="396"/>
      <c r="N90" s="396"/>
      <c r="O90" s="396"/>
      <c r="P90" s="259"/>
      <c r="Q90" s="259"/>
      <c r="R90" s="259"/>
      <c r="S90" s="259"/>
      <c r="T90" s="259"/>
      <c r="U90" s="259"/>
      <c r="V90" s="259"/>
      <c r="W90" s="259"/>
      <c r="X90" s="259"/>
      <c r="Y90" s="259"/>
      <c r="Z90" s="259"/>
    </row>
  </sheetData>
  <mergeCells count="1">
    <mergeCell ref="I21:I28"/>
  </mergeCells>
  <conditionalFormatting sqref="E10:E13">
    <cfRule type="iconSet" priority="6">
      <iconSet iconSet="3Arrows" showValue="0">
        <cfvo type="percent" val="0"/>
        <cfvo type="num" val="0"/>
        <cfvo type="num" val="0" gte="0"/>
      </iconSet>
    </cfRule>
  </conditionalFormatting>
  <conditionalFormatting sqref="E21:E28">
    <cfRule type="iconSet" priority="5">
      <iconSet iconSet="3Arrows" showValue="0">
        <cfvo type="percent" val="0"/>
        <cfvo type="num" val="0"/>
        <cfvo type="num" val="0"/>
      </iconSet>
    </cfRule>
  </conditionalFormatting>
  <conditionalFormatting sqref="E10:E13">
    <cfRule type="iconSet" priority="3">
      <iconSet iconSet="3Arrows" showValue="0">
        <cfvo type="percent" val="0"/>
        <cfvo type="num" val="0"/>
        <cfvo type="num" val="0"/>
      </iconSet>
    </cfRule>
  </conditionalFormatting>
  <dataValidations disablePrompts="1" count="2">
    <dataValidation type="list" allowBlank="1" showInputMessage="1" showErrorMessage="1" sqref="B52 B18">
      <formula1>inter_prov</formula1>
    </dataValidation>
    <dataValidation allowBlank="1" showInputMessage="1" showErrorMessage="1" prompt="This includes data on purchases from non-NHS bodies as reported in the financial return" sqref="B60"/>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4039" r:id="rId4" name="Check Box 7">
              <controlPr defaultSize="0" autoFill="0" autoLine="0" autoPict="0">
                <anchor moveWithCells="1">
                  <from>
                    <xdr:col>1</xdr:col>
                    <xdr:colOff>0</xdr:colOff>
                    <xdr:row>29</xdr:row>
                    <xdr:rowOff>9525</xdr:rowOff>
                  </from>
                  <to>
                    <xdr:col>2</xdr:col>
                    <xdr:colOff>504825</xdr:colOff>
                    <xdr:row>30</xdr:row>
                    <xdr:rowOff>38100</xdr:rowOff>
                  </to>
                </anchor>
              </controlPr>
            </control>
          </mc:Choice>
        </mc:AlternateContent>
      </controls>
    </mc:Choice>
  </mc:AlternateContent>
  <extLst>
    <ext xmlns:x14="http://schemas.microsoft.com/office/spreadsheetml/2009/9/main" uri="{05C60535-1F16-4fd2-B633-F4F36F0B64E0}">
      <x14:sparklineGroups xmlns:xm="http://schemas.microsoft.com/office/excel/2006/main">
        <x14:sparklineGroup manualMax="0" manualMin="0" displayEmptyCellsAs="gap" markers="1" high="1">
          <x14:colorSeries theme="8"/>
          <x14:colorNegative theme="9"/>
          <x14:colorAxis rgb="FF000000"/>
          <x14:colorMarkers theme="8" tint="-0.249977111117893"/>
          <x14:colorFirst theme="8" tint="-0.249977111117893"/>
          <x14:colorLast theme="8" tint="-0.249977111117893"/>
          <x14:colorHigh rgb="FFFF0000"/>
          <x14:colorLow theme="8" tint="-0.249977111117893"/>
          <x14:sparklines>
            <x14:sparkline>
              <xm:f>Intermediates!I69:P69</xm:f>
              <xm:sqref>H29</xm:sqref>
            </x14:sparkline>
            <x14:sparkline>
              <xm:f>Intermediates!I70:P70</xm:f>
              <xm:sqref>H30</xm:sqref>
            </x14:sparkline>
            <x14:sparkline>
              <xm:f>Intermediates!I71:P71</xm:f>
              <xm:sqref>H31</xm:sqref>
            </x14:sparkline>
          </x14:sparklines>
        </x14:sparklineGroup>
        <x14:sparklineGroup manualMax="0" manualMin="0" displayEmptyCellsAs="gap" markers="1" high="1">
          <x14:colorSeries theme="8"/>
          <x14:colorNegative theme="9"/>
          <x14:colorAxis rgb="FF000000"/>
          <x14:colorMarkers theme="8" tint="-0.249977111117893"/>
          <x14:colorFirst theme="8" tint="-0.249977111117893"/>
          <x14:colorLast theme="8" tint="-0.249977111117893"/>
          <x14:colorHigh theme="8" tint="-0.249977111117893"/>
          <x14:colorLow theme="8" tint="-0.249977111117893"/>
          <x14:sparklines>
            <x14:sparkline>
              <xm:f>Intermediates!J17:K17</xm:f>
              <xm:sqref>I10</xm:sqref>
            </x14:sparkline>
            <x14:sparkline>
              <xm:f>Intermediates!J18:K18</xm:f>
              <xm:sqref>I11</xm:sqref>
            </x14:sparkline>
            <x14:sparkline>
              <xm:f>Intermediates!J19:K19</xm:f>
              <xm:sqref>I12</xm:sqref>
            </x14:sparkline>
            <x14:sparkline>
              <xm:f>Intermediates!K20:L20</xm:f>
              <xm:sqref>I13</xm:sqref>
            </x14:sparkline>
          </x14:sparklines>
        </x14:sparklineGroup>
      </x14:sparklineGroup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B1:B2"/>
  <sheetViews>
    <sheetView workbookViewId="0">
      <selection activeCell="E8" sqref="E8"/>
    </sheetView>
  </sheetViews>
  <sheetFormatPr defaultRowHeight="15" x14ac:dyDescent="0.25"/>
  <cols>
    <col min="1" max="1" width="31.140625" customWidth="1"/>
  </cols>
  <sheetData>
    <row r="1" spans="2:2" ht="159" customHeight="1" x14ac:dyDescent="0.25">
      <c r="B1" t="s">
        <v>56</v>
      </c>
    </row>
    <row r="2" spans="2:2" ht="204.75" customHeight="1" x14ac:dyDescent="0.25">
      <c r="B2" t="s">
        <v>266</v>
      </c>
    </row>
  </sheetData>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T107"/>
  <sheetViews>
    <sheetView topLeftCell="A4" workbookViewId="0">
      <selection activeCell="A8" sqref="A8:Q20"/>
    </sheetView>
  </sheetViews>
  <sheetFormatPr defaultRowHeight="15" x14ac:dyDescent="0.25"/>
  <cols>
    <col min="1" max="1" width="24.7109375" style="925" customWidth="1"/>
    <col min="2" max="2" width="2.5703125" style="925" customWidth="1"/>
    <col min="3" max="3" width="15.7109375" style="657" customWidth="1"/>
    <col min="4" max="8" width="15.7109375" style="233" customWidth="1"/>
    <col min="9" max="9" width="15.7109375" style="267" customWidth="1"/>
    <col min="10" max="10" width="13.85546875" style="267" customWidth="1"/>
    <col min="11" max="11" width="15.7109375" style="267" customWidth="1"/>
    <col min="12" max="12" width="13.85546875" style="267" customWidth="1"/>
    <col min="13" max="13" width="15.7109375" style="267" customWidth="1"/>
    <col min="14" max="14" width="13.85546875" style="267" customWidth="1"/>
    <col min="15" max="15" width="15.7109375" style="267" customWidth="1"/>
    <col min="16" max="17" width="13.85546875" style="267" customWidth="1"/>
    <col min="18" max="18" width="15.7109375" style="267" customWidth="1"/>
    <col min="19" max="72" width="9.140625" style="267"/>
    <col min="73" max="16384" width="9.140625" style="233"/>
  </cols>
  <sheetData>
    <row r="1" spans="1:72" x14ac:dyDescent="0.25">
      <c r="C1" s="657" t="s">
        <v>68</v>
      </c>
      <c r="D1" s="233" t="s">
        <v>69</v>
      </c>
      <c r="E1" s="233" t="s">
        <v>70</v>
      </c>
      <c r="F1" s="233" t="s">
        <v>71</v>
      </c>
      <c r="G1" s="233" t="s">
        <v>72</v>
      </c>
      <c r="H1" s="233" t="s">
        <v>73</v>
      </c>
      <c r="I1" s="267" t="s">
        <v>74</v>
      </c>
      <c r="J1" s="267" t="s">
        <v>75</v>
      </c>
      <c r="K1" s="267" t="s">
        <v>76</v>
      </c>
      <c r="L1" s="267" t="s">
        <v>4</v>
      </c>
      <c r="M1" s="267" t="s">
        <v>5</v>
      </c>
      <c r="N1" s="267" t="s">
        <v>6</v>
      </c>
      <c r="O1" s="267" t="s">
        <v>572</v>
      </c>
      <c r="P1" s="267" t="s">
        <v>573</v>
      </c>
    </row>
    <row r="3" spans="1:72" s="387" customFormat="1" x14ac:dyDescent="0.25">
      <c r="A3" s="1979" t="s">
        <v>574</v>
      </c>
      <c r="B3" s="1111"/>
      <c r="C3" s="1112" t="s">
        <v>68</v>
      </c>
      <c r="D3" s="1113" t="s">
        <v>69</v>
      </c>
      <c r="E3" s="1113" t="s">
        <v>70</v>
      </c>
      <c r="F3" s="1113" t="s">
        <v>71</v>
      </c>
      <c r="G3" s="1113" t="s">
        <v>72</v>
      </c>
      <c r="H3" s="1113" t="s">
        <v>73</v>
      </c>
      <c r="I3" s="1113" t="s">
        <v>73</v>
      </c>
      <c r="J3" s="1113" t="s">
        <v>74</v>
      </c>
      <c r="K3" s="1113" t="s">
        <v>75</v>
      </c>
      <c r="L3" s="1113" t="s">
        <v>76</v>
      </c>
      <c r="M3" s="1113" t="s">
        <v>4</v>
      </c>
      <c r="N3" s="1114" t="s">
        <v>5</v>
      </c>
      <c r="O3" s="1114" t="s">
        <v>6</v>
      </c>
      <c r="P3" s="1114" t="s">
        <v>572</v>
      </c>
      <c r="Q3" s="1114" t="s">
        <v>573</v>
      </c>
      <c r="R3" s="1115"/>
      <c r="S3" s="521"/>
      <c r="T3" s="521"/>
      <c r="U3" s="521"/>
      <c r="V3" s="521"/>
      <c r="W3" s="521"/>
      <c r="X3" s="521"/>
      <c r="Y3" s="521"/>
      <c r="Z3" s="521"/>
      <c r="AA3" s="521"/>
      <c r="AB3" s="521"/>
      <c r="AC3" s="521"/>
      <c r="AD3" s="521"/>
      <c r="AE3" s="521"/>
      <c r="AF3" s="521"/>
      <c r="AG3" s="521"/>
      <c r="AH3" s="521"/>
      <c r="AI3" s="521"/>
      <c r="AJ3" s="521"/>
      <c r="AK3" s="521"/>
      <c r="AL3" s="521"/>
      <c r="AM3" s="521"/>
      <c r="AN3" s="521"/>
      <c r="AO3" s="521"/>
      <c r="AP3" s="521"/>
      <c r="AQ3" s="521"/>
      <c r="AR3" s="521"/>
      <c r="AS3" s="521"/>
      <c r="AT3" s="521"/>
      <c r="AU3" s="521"/>
      <c r="AV3" s="521"/>
      <c r="AW3" s="521"/>
      <c r="AX3" s="521"/>
      <c r="AY3" s="521"/>
      <c r="AZ3" s="521"/>
      <c r="BA3" s="521"/>
      <c r="BB3" s="521"/>
      <c r="BC3" s="521"/>
      <c r="BD3" s="521"/>
      <c r="BE3" s="521"/>
      <c r="BF3" s="521"/>
      <c r="BG3" s="521"/>
      <c r="BH3" s="521"/>
      <c r="BI3" s="521"/>
      <c r="BJ3" s="521"/>
      <c r="BK3" s="521"/>
      <c r="BL3" s="521"/>
      <c r="BM3" s="521"/>
      <c r="BN3" s="521"/>
      <c r="BO3" s="521"/>
      <c r="BP3" s="521"/>
      <c r="BQ3" s="521"/>
      <c r="BR3" s="521"/>
      <c r="BS3" s="521"/>
      <c r="BT3" s="521"/>
    </row>
    <row r="4" spans="1:72" s="1121" customFormat="1" ht="36" customHeight="1" x14ac:dyDescent="0.25">
      <c r="A4" s="1980"/>
      <c r="B4" s="1116"/>
      <c r="C4" s="1117" t="s">
        <v>575</v>
      </c>
      <c r="D4" s="1118" t="s">
        <v>575</v>
      </c>
      <c r="E4" s="1118" t="s">
        <v>575</v>
      </c>
      <c r="F4" s="1118" t="s">
        <v>575</v>
      </c>
      <c r="G4" s="1118" t="s">
        <v>575</v>
      </c>
      <c r="H4" s="1118" t="s">
        <v>575</v>
      </c>
      <c r="I4" s="1118" t="s">
        <v>575</v>
      </c>
      <c r="J4" s="1118" t="s">
        <v>575</v>
      </c>
      <c r="K4" s="1118" t="s">
        <v>575</v>
      </c>
      <c r="L4" s="1118" t="s">
        <v>575</v>
      </c>
      <c r="M4" s="1118" t="s">
        <v>575</v>
      </c>
      <c r="N4" s="1118" t="s">
        <v>575</v>
      </c>
      <c r="O4" s="1118" t="s">
        <v>575</v>
      </c>
      <c r="P4" s="1118" t="s">
        <v>575</v>
      </c>
      <c r="Q4" s="1118" t="s">
        <v>575</v>
      </c>
      <c r="R4" s="1119"/>
      <c r="S4" s="1120"/>
      <c r="T4" s="1120"/>
      <c r="U4" s="1120"/>
      <c r="V4" s="1120"/>
      <c r="W4" s="1120"/>
      <c r="X4" s="1120"/>
      <c r="Y4" s="1120"/>
      <c r="Z4" s="1120"/>
      <c r="AA4" s="1120"/>
      <c r="AB4" s="1120"/>
      <c r="AC4" s="1120"/>
      <c r="AD4" s="1120"/>
      <c r="AE4" s="1120"/>
      <c r="AF4" s="1120"/>
      <c r="AG4" s="1120"/>
      <c r="AH4" s="1120"/>
      <c r="AI4" s="1120"/>
      <c r="AJ4" s="1120"/>
      <c r="AK4" s="1120"/>
      <c r="AL4" s="1120"/>
      <c r="AM4" s="1120"/>
      <c r="AN4" s="1120"/>
      <c r="AO4" s="1120"/>
      <c r="AP4" s="1120"/>
      <c r="AQ4" s="1120"/>
      <c r="AR4" s="1120"/>
      <c r="AS4" s="1120"/>
      <c r="AT4" s="1120"/>
      <c r="AU4" s="1120"/>
      <c r="AV4" s="1120"/>
      <c r="AW4" s="1120"/>
      <c r="AX4" s="1120"/>
      <c r="AY4" s="1120"/>
      <c r="AZ4" s="1120"/>
      <c r="BA4" s="1120"/>
      <c r="BB4" s="1120"/>
      <c r="BC4" s="1120"/>
      <c r="BD4" s="1120"/>
      <c r="BE4" s="1120"/>
      <c r="BF4" s="1120"/>
      <c r="BG4" s="1120"/>
      <c r="BH4" s="1120"/>
      <c r="BI4" s="1120"/>
      <c r="BJ4" s="1120"/>
      <c r="BK4" s="1120"/>
      <c r="BL4" s="1120"/>
      <c r="BM4" s="1120"/>
      <c r="BN4" s="1120"/>
      <c r="BO4" s="1120"/>
      <c r="BP4" s="1120"/>
      <c r="BQ4" s="1120"/>
      <c r="BR4" s="1120"/>
      <c r="BS4" s="1120"/>
      <c r="BT4" s="1120"/>
    </row>
    <row r="5" spans="1:72" ht="9.9499999999999993" customHeight="1" x14ac:dyDescent="0.25">
      <c r="A5" s="233"/>
      <c r="B5" s="233"/>
    </row>
    <row r="6" spans="1:72" ht="38.25" customHeight="1" x14ac:dyDescent="0.25">
      <c r="A6" s="1122" t="s">
        <v>576</v>
      </c>
      <c r="B6" s="1122"/>
      <c r="H6" s="1981" t="s">
        <v>577</v>
      </c>
      <c r="I6" s="1981"/>
    </row>
    <row r="7" spans="1:72" ht="35.25" customHeight="1" x14ac:dyDescent="0.25">
      <c r="A7" s="1123" t="s">
        <v>578</v>
      </c>
      <c r="B7" s="1123"/>
      <c r="H7" s="1981"/>
      <c r="I7" s="1981"/>
    </row>
    <row r="8" spans="1:72" ht="15" customHeight="1" x14ac:dyDescent="0.25">
      <c r="A8" s="925" t="s">
        <v>575</v>
      </c>
      <c r="C8" s="1124">
        <f>5427066/1000000</f>
        <v>5.4270659999999999</v>
      </c>
      <c r="D8" s="1124">
        <f>5487579/1000000</f>
        <v>5.4875790000000002</v>
      </c>
      <c r="E8" s="1124">
        <f>5479633/1000000</f>
        <v>5.4796329999999998</v>
      </c>
      <c r="F8" s="1125">
        <f>5386575/1000000</f>
        <v>5.3865749999999997</v>
      </c>
      <c r="G8" s="1124">
        <f>5578093/1000000</f>
        <v>5.578093</v>
      </c>
      <c r="H8" s="1126">
        <f>5736331/1000000</f>
        <v>5.7363309999999998</v>
      </c>
      <c r="I8" s="1126">
        <f>6401519/1000000</f>
        <v>6.4015190000000004</v>
      </c>
      <c r="J8" s="1127">
        <f>6433933/1000000</f>
        <v>6.4339329999999997</v>
      </c>
      <c r="K8" s="1128">
        <f>6864612/1000000</f>
        <v>6.8646120000000002</v>
      </c>
      <c r="L8" s="1128">
        <f>7194697/1000000</f>
        <v>7.1946969999999997</v>
      </c>
      <c r="M8" s="1129">
        <f>7598796/1000000</f>
        <v>7.5987960000000001</v>
      </c>
      <c r="N8" s="1130">
        <f>8148229/1000000</f>
        <v>8.1482290000000006</v>
      </c>
      <c r="O8" s="1130">
        <f>8465757/1000000</f>
        <v>8.465757</v>
      </c>
      <c r="P8" s="1130">
        <f>8755081/1000000</f>
        <v>8.7550810000000006</v>
      </c>
      <c r="Q8" s="1130">
        <f>8947134/1000000</f>
        <v>8.9471340000000001</v>
      </c>
    </row>
    <row r="9" spans="1:72" ht="15" customHeight="1" x14ac:dyDescent="0.25">
      <c r="A9" s="562" t="s">
        <v>579</v>
      </c>
      <c r="B9" s="562"/>
      <c r="C9" s="1131">
        <v>0.99297982552078423</v>
      </c>
      <c r="D9" s="1132">
        <v>0.99344809833581327</v>
      </c>
      <c r="E9" s="1132">
        <v>0.9938130481879307</v>
      </c>
      <c r="F9" s="1133">
        <v>0.99412727750723706</v>
      </c>
      <c r="G9" s="1133">
        <v>0.99427255281866589</v>
      </c>
      <c r="H9" s="1134">
        <v>0.99478428089861648</v>
      </c>
      <c r="I9" s="1135">
        <v>0.99357871155267996</v>
      </c>
      <c r="J9" s="1136">
        <v>0.99380000000000002</v>
      </c>
      <c r="K9" s="1137">
        <v>0.99470000000000003</v>
      </c>
      <c r="L9" s="1137">
        <v>0.99509999999999998</v>
      </c>
      <c r="M9" s="1138">
        <v>0.99719999999999998</v>
      </c>
      <c r="N9" s="1137">
        <v>0.99739999999999995</v>
      </c>
      <c r="O9" s="1137">
        <v>0.99760000000000004</v>
      </c>
      <c r="P9" s="1137">
        <v>0.99780000000000002</v>
      </c>
      <c r="Q9" s="1137">
        <v>0.99780000000000002</v>
      </c>
    </row>
    <row r="10" spans="1:72" ht="15" customHeight="1" x14ac:dyDescent="0.25">
      <c r="A10" s="562" t="s">
        <v>580</v>
      </c>
      <c r="B10" s="562"/>
      <c r="C10" s="1139">
        <v>25.311743839819581</v>
      </c>
      <c r="D10" s="1140">
        <v>24.835254072157774</v>
      </c>
      <c r="E10" s="1140">
        <v>24.393908901190436</v>
      </c>
      <c r="F10" s="1141">
        <v>24.160071730032158</v>
      </c>
      <c r="G10" s="1141">
        <v>23.958833186583934</v>
      </c>
      <c r="H10" s="1142">
        <v>23.652542243951583</v>
      </c>
      <c r="I10" s="1143">
        <v>23.544394482986274</v>
      </c>
      <c r="J10" s="1144">
        <v>23.745407097929938</v>
      </c>
      <c r="K10" s="1144">
        <v>23.651527511178436</v>
      </c>
      <c r="L10" s="1144">
        <v>23.592054258827055</v>
      </c>
      <c r="M10" s="1145">
        <v>23.156540730776808</v>
      </c>
      <c r="N10" s="1146">
        <v>23.2</v>
      </c>
      <c r="O10" s="1146">
        <v>23.4</v>
      </c>
      <c r="P10" s="1147">
        <v>23.4</v>
      </c>
      <c r="Q10" s="1147">
        <v>23.3</v>
      </c>
    </row>
    <row r="11" spans="1:72" ht="15" customHeight="1" x14ac:dyDescent="0.25">
      <c r="A11" s="1917" t="s">
        <v>581</v>
      </c>
      <c r="B11" s="562"/>
      <c r="C11" s="1148">
        <v>88.723499036333564</v>
      </c>
      <c r="D11" s="1149">
        <v>80.778152493315716</v>
      </c>
      <c r="E11" s="1149">
        <v>82.304893177015529</v>
      </c>
      <c r="F11" s="1150">
        <v>85.237862415005438</v>
      </c>
      <c r="G11" s="1150">
        <v>88.498913740756919</v>
      </c>
      <c r="H11" s="1151">
        <v>85.907327267949</v>
      </c>
      <c r="I11" s="233"/>
      <c r="J11" s="233"/>
      <c r="K11" s="233"/>
      <c r="L11" s="233"/>
      <c r="M11" s="233"/>
      <c r="N11" s="233"/>
      <c r="O11" s="233"/>
      <c r="P11" s="233"/>
      <c r="Q11" s="233"/>
    </row>
    <row r="12" spans="1:72" ht="15" customHeight="1" x14ac:dyDescent="0.25">
      <c r="A12" s="1917"/>
      <c r="B12" s="562"/>
      <c r="C12" s="1148"/>
      <c r="D12" s="1149"/>
      <c r="E12" s="1149"/>
      <c r="F12" s="1150"/>
      <c r="G12" s="1150"/>
      <c r="H12" s="1152">
        <v>118.76313325009268</v>
      </c>
      <c r="I12" s="1147">
        <v>104</v>
      </c>
      <c r="J12" s="1146">
        <v>95</v>
      </c>
      <c r="K12" s="1146">
        <v>89</v>
      </c>
      <c r="L12" s="1153">
        <v>74</v>
      </c>
      <c r="M12" s="1146">
        <v>60</v>
      </c>
      <c r="N12" s="1146">
        <v>65</v>
      </c>
      <c r="O12" s="1147">
        <v>76</v>
      </c>
      <c r="P12" s="1147">
        <v>85</v>
      </c>
    </row>
    <row r="13" spans="1:72" ht="9.9499999999999993" customHeight="1" x14ac:dyDescent="0.25">
      <c r="A13" s="233"/>
      <c r="B13" s="233"/>
      <c r="C13" s="267"/>
      <c r="D13" s="267"/>
      <c r="E13" s="267"/>
      <c r="F13" s="267"/>
      <c r="G13" s="267"/>
      <c r="H13" s="267"/>
      <c r="I13" s="233"/>
    </row>
    <row r="14" spans="1:72" ht="15" customHeight="1" x14ac:dyDescent="0.25">
      <c r="A14" s="1123" t="s">
        <v>582</v>
      </c>
      <c r="B14" s="1123"/>
      <c r="C14" s="356"/>
      <c r="D14" s="267"/>
      <c r="E14" s="267"/>
      <c r="F14" s="267"/>
      <c r="G14" s="267"/>
      <c r="H14" s="1154"/>
      <c r="I14" s="1155"/>
    </row>
    <row r="15" spans="1:72" ht="15" customHeight="1" x14ac:dyDescent="0.25">
      <c r="A15" s="925" t="s">
        <v>575</v>
      </c>
      <c r="C15" s="1156">
        <f>5783750/1000000</f>
        <v>5.7837500000000004</v>
      </c>
      <c r="D15" s="1124">
        <f>5618166/1000000</f>
        <v>5.6181660000000004</v>
      </c>
      <c r="E15" s="1156">
        <f>5595606/1000000</f>
        <v>5.5956060000000001</v>
      </c>
      <c r="F15" s="1124">
        <f>5607484/1000000</f>
        <v>5.6074840000000004</v>
      </c>
      <c r="G15" s="1156">
        <f>5963742/1000000</f>
        <v>5.9637419999999999</v>
      </c>
      <c r="H15" s="1157">
        <f>6411777/1000000</f>
        <v>6.4117769999999998</v>
      </c>
      <c r="I15" s="1158">
        <f>5723817/1000000</f>
        <v>5.7238170000000004</v>
      </c>
      <c r="J15" s="1127">
        <f>6009802/1000000</f>
        <v>6.0098019999999996</v>
      </c>
      <c r="K15" s="1128">
        <f>6291117/1000000</f>
        <v>6.2911169999999998</v>
      </c>
      <c r="L15" s="1128">
        <f>6363388/1000000</f>
        <v>6.3633879999999996</v>
      </c>
      <c r="M15" s="1129">
        <f>6593136/1000000</f>
        <v>6.5931360000000003</v>
      </c>
      <c r="N15" s="1130">
        <f>6826035/1000000</f>
        <v>6.8260350000000001</v>
      </c>
      <c r="O15" s="1130">
        <f>6951379/1000000</f>
        <v>6.9513790000000002</v>
      </c>
      <c r="P15" s="1159">
        <f>7109358/1000000</f>
        <v>7.1093580000000003</v>
      </c>
      <c r="Q15" s="1159">
        <f>7054224/1000000</f>
        <v>7.0542239999999996</v>
      </c>
    </row>
    <row r="16" spans="1:72" ht="15" customHeight="1" x14ac:dyDescent="0.25">
      <c r="A16" s="562" t="s">
        <v>579</v>
      </c>
      <c r="B16" s="562"/>
      <c r="C16" s="1132">
        <v>0.94756780976717914</v>
      </c>
      <c r="D16" s="1132">
        <v>0.94656187141177361</v>
      </c>
      <c r="E16" s="1132">
        <v>0.948581619202433</v>
      </c>
      <c r="F16" s="1132">
        <v>0.94760349278650813</v>
      </c>
      <c r="G16" s="1132">
        <v>0.95054579485147772</v>
      </c>
      <c r="H16" s="1134">
        <v>0.95289289026855672</v>
      </c>
      <c r="I16" s="1160">
        <v>0.9491543842159873</v>
      </c>
      <c r="J16" s="1132">
        <v>0.9516</v>
      </c>
      <c r="K16" s="1132">
        <v>0.95489999999999997</v>
      </c>
      <c r="L16" s="1132">
        <v>0.95650000000000002</v>
      </c>
      <c r="M16" s="1132">
        <v>0.95789999999999997</v>
      </c>
      <c r="N16" s="1137">
        <v>0.95850000000000002</v>
      </c>
      <c r="O16" s="1137">
        <v>0.9607</v>
      </c>
      <c r="P16" s="1136">
        <v>0.96050000000000002</v>
      </c>
      <c r="Q16" s="1136">
        <v>0.96120000000000005</v>
      </c>
    </row>
    <row r="17" spans="1:17" x14ac:dyDescent="0.25">
      <c r="A17" s="562" t="s">
        <v>580</v>
      </c>
      <c r="B17" s="562"/>
      <c r="C17" s="1161">
        <v>33.456565546794309</v>
      </c>
      <c r="D17" s="1161">
        <v>33.885491759478363</v>
      </c>
      <c r="E17" s="1161">
        <v>33.646748229643457</v>
      </c>
      <c r="F17" s="1162">
        <v>33.631944570558957</v>
      </c>
      <c r="G17" s="1162">
        <v>32.812823750123755</v>
      </c>
      <c r="H17" s="1142">
        <v>32.448659204893161</v>
      </c>
      <c r="I17" s="1163">
        <v>33.824360604467714</v>
      </c>
      <c r="J17" s="1140">
        <v>34.1</v>
      </c>
      <c r="K17" s="1140">
        <v>34.299999999999997</v>
      </c>
      <c r="L17" s="1162">
        <v>34.6</v>
      </c>
      <c r="M17" s="1162">
        <v>34.700000000000003</v>
      </c>
      <c r="N17" s="1164">
        <v>34.4</v>
      </c>
      <c r="O17" s="1164">
        <v>34.6</v>
      </c>
      <c r="P17" s="1164">
        <v>34.799999999999997</v>
      </c>
      <c r="Q17" s="1164">
        <v>34.700000000000003</v>
      </c>
    </row>
    <row r="18" spans="1:17" ht="9.9499999999999993" customHeight="1" x14ac:dyDescent="0.25">
      <c r="A18" s="233"/>
      <c r="B18" s="233"/>
      <c r="C18" s="267"/>
      <c r="D18" s="267"/>
      <c r="E18" s="267"/>
      <c r="F18" s="267"/>
      <c r="G18" s="267"/>
      <c r="H18" s="267"/>
      <c r="I18" s="233"/>
    </row>
    <row r="19" spans="1:17" ht="15" customHeight="1" x14ac:dyDescent="0.25">
      <c r="A19" s="1123" t="s">
        <v>583</v>
      </c>
      <c r="B19" s="1123"/>
      <c r="C19" s="1165">
        <f t="shared" ref="C19:Q19" si="0">SUM(C8,C15)</f>
        <v>11.210816000000001</v>
      </c>
      <c r="D19" s="1165">
        <f t="shared" si="0"/>
        <v>11.105745000000001</v>
      </c>
      <c r="E19" s="1165">
        <f t="shared" si="0"/>
        <v>11.075239</v>
      </c>
      <c r="F19" s="1165">
        <f t="shared" si="0"/>
        <v>10.994059</v>
      </c>
      <c r="G19" s="1165">
        <f t="shared" si="0"/>
        <v>11.541834999999999</v>
      </c>
      <c r="H19" s="1166">
        <f t="shared" si="0"/>
        <v>12.148108000000001</v>
      </c>
      <c r="I19" s="1249">
        <f t="shared" si="0"/>
        <v>12.125336000000001</v>
      </c>
      <c r="J19" s="1165">
        <f t="shared" si="0"/>
        <v>12.443735</v>
      </c>
      <c r="K19" s="1165">
        <f t="shared" si="0"/>
        <v>13.155729000000001</v>
      </c>
      <c r="L19" s="1165">
        <f t="shared" si="0"/>
        <v>13.558084999999998</v>
      </c>
      <c r="M19" s="1165">
        <f t="shared" si="0"/>
        <v>14.191932000000001</v>
      </c>
      <c r="N19" s="1165">
        <f t="shared" si="0"/>
        <v>14.974264000000002</v>
      </c>
      <c r="O19" s="1165">
        <f t="shared" si="0"/>
        <v>15.417135999999999</v>
      </c>
      <c r="P19" s="1165">
        <f t="shared" si="0"/>
        <v>15.864439000000001</v>
      </c>
      <c r="Q19" s="1165">
        <f t="shared" si="0"/>
        <v>16.001358</v>
      </c>
    </row>
    <row r="20" spans="1:17" ht="15" customHeight="1" x14ac:dyDescent="0.25">
      <c r="A20" s="1123" t="s">
        <v>584</v>
      </c>
      <c r="B20" s="1123"/>
      <c r="C20" s="1165">
        <v>100</v>
      </c>
      <c r="D20" s="1168">
        <f>(D19/$C$19)*100</f>
        <v>99.062771166701864</v>
      </c>
      <c r="E20" s="1168">
        <f>(E19/$C$19)*100</f>
        <v>98.790658949357464</v>
      </c>
      <c r="F20" s="1168">
        <f>(F19/$C$19)*100</f>
        <v>98.066536815874954</v>
      </c>
      <c r="G20" s="1168">
        <f>(G19/$C$19)*100</f>
        <v>102.95267534495255</v>
      </c>
      <c r="H20" s="1166"/>
      <c r="I20" s="1169">
        <f t="shared" ref="I20:Q20" si="1">(I19/$C$19)*100</f>
        <v>108.15747934851485</v>
      </c>
      <c r="J20" s="1168">
        <f t="shared" si="1"/>
        <v>110.99758483236188</v>
      </c>
      <c r="K20" s="1168">
        <f t="shared" si="1"/>
        <v>117.34854090906495</v>
      </c>
      <c r="L20" s="1168">
        <f t="shared" si="1"/>
        <v>120.93753924781208</v>
      </c>
      <c r="M20" s="1168">
        <f t="shared" si="1"/>
        <v>126.59142742151866</v>
      </c>
      <c r="N20" s="1168">
        <f t="shared" si="1"/>
        <v>133.56979545467519</v>
      </c>
      <c r="O20" s="1168">
        <f t="shared" si="1"/>
        <v>137.52019478332352</v>
      </c>
      <c r="P20" s="1168">
        <f t="shared" si="1"/>
        <v>141.51011844276098</v>
      </c>
      <c r="Q20" s="1168">
        <f t="shared" si="1"/>
        <v>142.73143007609792</v>
      </c>
    </row>
    <row r="21" spans="1:17" ht="9.9499999999999993" customHeight="1" x14ac:dyDescent="0.25">
      <c r="A21" s="233"/>
      <c r="B21" s="233"/>
      <c r="C21" s="267"/>
      <c r="D21" s="267"/>
      <c r="E21" s="267"/>
      <c r="F21" s="267"/>
      <c r="G21" s="267"/>
      <c r="H21" s="267"/>
      <c r="I21" s="233"/>
    </row>
    <row r="22" spans="1:17" ht="15" customHeight="1" x14ac:dyDescent="0.25">
      <c r="A22" s="1122" t="s">
        <v>149</v>
      </c>
      <c r="B22" s="1122"/>
      <c r="C22" s="1982" t="s">
        <v>585</v>
      </c>
      <c r="D22" s="1983"/>
      <c r="E22" s="1983"/>
      <c r="F22" s="1983"/>
      <c r="G22" s="1983"/>
      <c r="H22" s="1984"/>
      <c r="I22" s="1170"/>
      <c r="J22" s="1171"/>
      <c r="K22" s="1172"/>
      <c r="L22" s="1172"/>
      <c r="M22" s="1172"/>
      <c r="N22" s="1172"/>
      <c r="O22" s="1172"/>
      <c r="P22" s="1172"/>
      <c r="Q22" s="1173"/>
    </row>
    <row r="23" spans="1:17" x14ac:dyDescent="0.25">
      <c r="A23" s="925" t="s">
        <v>575</v>
      </c>
      <c r="B23" s="1122"/>
      <c r="C23" s="1985"/>
      <c r="D23" s="1986"/>
      <c r="E23" s="1986"/>
      <c r="F23" s="1986"/>
      <c r="G23" s="1986"/>
      <c r="H23" s="1987"/>
      <c r="I23" s="1170"/>
      <c r="J23" s="1171"/>
      <c r="K23" s="1172"/>
      <c r="L23" s="1172"/>
      <c r="M23" s="1172"/>
      <c r="N23" s="1172"/>
      <c r="O23" s="1172"/>
      <c r="P23" s="1172"/>
    </row>
    <row r="24" spans="1:17" x14ac:dyDescent="0.25">
      <c r="A24" s="562" t="s">
        <v>586</v>
      </c>
      <c r="B24" s="1122"/>
      <c r="C24" s="1985"/>
      <c r="D24" s="1986"/>
      <c r="E24" s="1986"/>
      <c r="F24" s="1986"/>
      <c r="G24" s="1986"/>
      <c r="H24" s="1987"/>
      <c r="I24" s="1170"/>
      <c r="J24" s="1171"/>
      <c r="K24" s="1172"/>
      <c r="L24" s="1172"/>
      <c r="M24" s="1172"/>
      <c r="N24" s="1172"/>
      <c r="O24" s="1172"/>
      <c r="P24" s="1172"/>
    </row>
    <row r="25" spans="1:17" ht="15" customHeight="1" x14ac:dyDescent="0.25">
      <c r="A25" s="1991" t="s">
        <v>587</v>
      </c>
      <c r="B25" s="1122"/>
      <c r="C25" s="1985"/>
      <c r="D25" s="1986"/>
      <c r="E25" s="1986"/>
      <c r="F25" s="1986"/>
      <c r="G25" s="1986"/>
      <c r="H25" s="1987"/>
      <c r="I25" s="1170"/>
      <c r="J25" s="1171"/>
      <c r="K25" s="1172"/>
      <c r="L25" s="1172"/>
      <c r="M25" s="1172"/>
      <c r="N25" s="1172"/>
      <c r="O25" s="1172"/>
      <c r="P25" s="1138">
        <f>Q8/P8-1</f>
        <v>2.1936176261533102E-2</v>
      </c>
    </row>
    <row r="26" spans="1:17" x14ac:dyDescent="0.25">
      <c r="A26" s="1991"/>
      <c r="B26" s="1122"/>
      <c r="C26" s="1985"/>
      <c r="D26" s="1986"/>
      <c r="E26" s="1986"/>
      <c r="F26" s="1986"/>
      <c r="G26" s="1986"/>
      <c r="H26" s="1987"/>
      <c r="I26" s="1170"/>
      <c r="J26" s="1171"/>
      <c r="K26" s="1172"/>
      <c r="L26" s="1172"/>
      <c r="M26" s="1172"/>
      <c r="N26" s="1172"/>
      <c r="O26" s="1172"/>
      <c r="P26" s="1172"/>
    </row>
    <row r="27" spans="1:17" ht="9.9499999999999993" customHeight="1" x14ac:dyDescent="0.25">
      <c r="A27" s="1174"/>
      <c r="B27" s="233"/>
      <c r="C27" s="1985"/>
      <c r="D27" s="1986"/>
      <c r="E27" s="1986"/>
      <c r="F27" s="1986"/>
      <c r="G27" s="1986"/>
      <c r="H27" s="1987"/>
    </row>
    <row r="28" spans="1:17" ht="30" customHeight="1" x14ac:dyDescent="0.25">
      <c r="A28" s="1122" t="s">
        <v>588</v>
      </c>
      <c r="B28" s="1122"/>
      <c r="C28" s="1985"/>
      <c r="D28" s="1986"/>
      <c r="E28" s="1986"/>
      <c r="F28" s="1986"/>
      <c r="G28" s="1986"/>
      <c r="H28" s="1987"/>
    </row>
    <row r="29" spans="1:17" ht="15" customHeight="1" x14ac:dyDescent="0.25">
      <c r="A29" s="1123" t="s">
        <v>589</v>
      </c>
      <c r="B29" s="1123"/>
      <c r="C29" s="1985"/>
      <c r="D29" s="1986"/>
      <c r="E29" s="1986"/>
      <c r="F29" s="1986"/>
      <c r="G29" s="1986"/>
      <c r="H29" s="1987"/>
    </row>
    <row r="30" spans="1:17" ht="15" customHeight="1" x14ac:dyDescent="0.25">
      <c r="A30" s="1123"/>
      <c r="B30" s="1123"/>
      <c r="C30" s="1985"/>
      <c r="D30" s="1986"/>
      <c r="E30" s="1986"/>
      <c r="F30" s="1986"/>
      <c r="G30" s="1986"/>
      <c r="H30" s="1987"/>
    </row>
    <row r="31" spans="1:17" ht="15" customHeight="1" x14ac:dyDescent="0.25">
      <c r="A31" s="1123" t="s">
        <v>590</v>
      </c>
      <c r="B31" s="1123"/>
      <c r="C31" s="1985"/>
      <c r="D31" s="1986"/>
      <c r="E31" s="1986"/>
      <c r="F31" s="1986"/>
      <c r="G31" s="1986"/>
      <c r="H31" s="1987"/>
    </row>
    <row r="32" spans="1:17" ht="15" customHeight="1" x14ac:dyDescent="0.25">
      <c r="A32" s="233"/>
      <c r="B32" s="1123"/>
      <c r="C32" s="1985"/>
      <c r="D32" s="1986"/>
      <c r="E32" s="1986"/>
      <c r="F32" s="1986"/>
      <c r="G32" s="1986"/>
      <c r="H32" s="1987"/>
    </row>
    <row r="33" spans="1:72" ht="15" customHeight="1" x14ac:dyDescent="0.25">
      <c r="A33" s="1122" t="s">
        <v>231</v>
      </c>
      <c r="B33" s="1123"/>
      <c r="C33" s="1985"/>
      <c r="D33" s="1986"/>
      <c r="E33" s="1986"/>
      <c r="F33" s="1986"/>
      <c r="G33" s="1986"/>
      <c r="H33" s="1987"/>
    </row>
    <row r="34" spans="1:72" ht="15" customHeight="1" x14ac:dyDescent="0.25">
      <c r="B34" s="1123"/>
      <c r="C34" s="1985"/>
      <c r="D34" s="1986"/>
      <c r="E34" s="1986"/>
      <c r="F34" s="1986"/>
      <c r="G34" s="1986"/>
      <c r="H34" s="1987"/>
    </row>
    <row r="35" spans="1:72" ht="15" customHeight="1" x14ac:dyDescent="0.25">
      <c r="A35" s="1122" t="s">
        <v>591</v>
      </c>
      <c r="B35" s="1123"/>
      <c r="C35" s="1988"/>
      <c r="D35" s="1989"/>
      <c r="E35" s="1989"/>
      <c r="F35" s="1989"/>
      <c r="G35" s="1989"/>
      <c r="H35" s="1990"/>
    </row>
    <row r="36" spans="1:72" ht="15" customHeight="1" x14ac:dyDescent="0.25">
      <c r="A36" s="1123"/>
      <c r="B36" s="1123"/>
      <c r="C36" s="1175"/>
      <c r="D36" s="1175"/>
      <c r="E36" s="1175"/>
      <c r="F36" s="1175"/>
      <c r="G36" s="1175"/>
      <c r="H36" s="1175"/>
    </row>
    <row r="41" spans="1:72" s="387" customFormat="1" x14ac:dyDescent="0.25">
      <c r="A41" s="1979" t="s">
        <v>574</v>
      </c>
      <c r="B41" s="1111"/>
      <c r="C41" s="1176" t="s">
        <v>73</v>
      </c>
      <c r="D41" s="1114" t="s">
        <v>74</v>
      </c>
      <c r="E41" s="1114" t="s">
        <v>75</v>
      </c>
      <c r="F41" s="1114" t="s">
        <v>76</v>
      </c>
      <c r="G41" s="1114" t="s">
        <v>4</v>
      </c>
      <c r="H41" s="1114" t="s">
        <v>5</v>
      </c>
      <c r="I41" s="1114" t="s">
        <v>6</v>
      </c>
      <c r="J41" s="1114" t="s">
        <v>572</v>
      </c>
      <c r="K41" s="1114" t="s">
        <v>573</v>
      </c>
      <c r="L41" s="521"/>
      <c r="M41" s="521"/>
      <c r="N41" s="521"/>
      <c r="O41" s="521"/>
      <c r="P41" s="521"/>
      <c r="Q41" s="521"/>
      <c r="R41" s="521"/>
      <c r="S41" s="521"/>
      <c r="T41" s="521"/>
      <c r="U41" s="521"/>
      <c r="V41" s="521"/>
      <c r="W41" s="521"/>
      <c r="X41" s="521"/>
      <c r="Y41" s="521"/>
      <c r="Z41" s="521"/>
      <c r="AA41" s="521"/>
      <c r="AB41" s="521"/>
      <c r="AC41" s="521"/>
      <c r="AD41" s="521"/>
      <c r="AE41" s="521"/>
      <c r="AF41" s="521"/>
      <c r="AG41" s="521"/>
      <c r="AH41" s="521"/>
      <c r="AI41" s="521"/>
      <c r="AJ41" s="521"/>
      <c r="AK41" s="521"/>
      <c r="AL41" s="521"/>
      <c r="AM41" s="521"/>
      <c r="AN41" s="521"/>
      <c r="AO41" s="521"/>
      <c r="AP41" s="521"/>
      <c r="AQ41" s="521"/>
      <c r="AR41" s="521"/>
      <c r="AS41" s="521"/>
      <c r="AT41" s="521"/>
      <c r="AU41" s="521"/>
      <c r="AV41" s="521"/>
      <c r="AW41" s="521"/>
      <c r="AX41" s="521"/>
      <c r="AY41" s="521"/>
      <c r="AZ41" s="521"/>
      <c r="BA41" s="521"/>
      <c r="BB41" s="521"/>
      <c r="BC41" s="521"/>
      <c r="BD41" s="521"/>
      <c r="BE41" s="521"/>
      <c r="BF41" s="521"/>
      <c r="BG41" s="521"/>
      <c r="BH41" s="521"/>
      <c r="BI41" s="521"/>
      <c r="BJ41" s="521"/>
      <c r="BK41" s="521"/>
      <c r="BL41" s="521"/>
      <c r="BM41" s="521"/>
      <c r="BN41" s="521"/>
      <c r="BO41" s="521"/>
      <c r="BP41" s="521"/>
      <c r="BQ41" s="521"/>
      <c r="BR41" s="521"/>
      <c r="BS41" s="521"/>
      <c r="BT41" s="521"/>
    </row>
    <row r="42" spans="1:72" s="1121" customFormat="1" ht="36" customHeight="1" x14ac:dyDescent="0.25">
      <c r="A42" s="1980"/>
      <c r="B42" s="1116"/>
      <c r="C42" s="1117" t="s">
        <v>575</v>
      </c>
      <c r="D42" s="1118" t="s">
        <v>575</v>
      </c>
      <c r="E42" s="1118" t="s">
        <v>575</v>
      </c>
      <c r="F42" s="1118" t="s">
        <v>575</v>
      </c>
      <c r="G42" s="1118" t="s">
        <v>575</v>
      </c>
      <c r="H42" s="1118" t="s">
        <v>575</v>
      </c>
      <c r="I42" s="1118" t="s">
        <v>575</v>
      </c>
      <c r="J42" s="1118" t="s">
        <v>575</v>
      </c>
      <c r="K42" s="1118" t="s">
        <v>575</v>
      </c>
      <c r="L42" s="1120"/>
      <c r="M42" s="1120"/>
      <c r="N42" s="1120"/>
      <c r="O42" s="1120"/>
      <c r="P42" s="1120"/>
      <c r="Q42" s="1120"/>
      <c r="R42" s="1120"/>
      <c r="S42" s="1120"/>
      <c r="T42" s="1120"/>
      <c r="U42" s="1120"/>
      <c r="V42" s="1120"/>
      <c r="W42" s="1120"/>
      <c r="X42" s="1120"/>
      <c r="Y42" s="1120"/>
      <c r="Z42" s="1120"/>
      <c r="AA42" s="1120"/>
      <c r="AB42" s="1120"/>
      <c r="AC42" s="1120"/>
      <c r="AD42" s="1120"/>
      <c r="AE42" s="1120"/>
      <c r="AF42" s="1120"/>
      <c r="AG42" s="1120"/>
      <c r="AH42" s="1120"/>
      <c r="AI42" s="1120"/>
      <c r="AJ42" s="1120"/>
      <c r="AK42" s="1120"/>
      <c r="AL42" s="1120"/>
      <c r="AM42" s="1120"/>
      <c r="AN42" s="1120"/>
      <c r="AO42" s="1120"/>
      <c r="AP42" s="1120"/>
      <c r="AQ42" s="1120"/>
      <c r="AR42" s="1120"/>
      <c r="AS42" s="1120"/>
      <c r="AT42" s="1120"/>
      <c r="AU42" s="1120"/>
      <c r="AV42" s="1120"/>
      <c r="AW42" s="1120"/>
      <c r="AX42" s="1120"/>
      <c r="AY42" s="1120"/>
      <c r="AZ42" s="1120"/>
      <c r="BA42" s="1120"/>
      <c r="BB42" s="1120"/>
      <c r="BC42" s="1120"/>
      <c r="BD42" s="1120"/>
      <c r="BE42" s="1120"/>
      <c r="BF42" s="1120"/>
      <c r="BG42" s="1120"/>
      <c r="BH42" s="1120"/>
      <c r="BI42" s="1120"/>
      <c r="BJ42" s="1120"/>
      <c r="BK42" s="1120"/>
      <c r="BL42" s="1120"/>
      <c r="BM42" s="1120"/>
      <c r="BN42" s="1120"/>
      <c r="BO42" s="1120"/>
      <c r="BP42" s="1120"/>
      <c r="BQ42" s="1120"/>
      <c r="BR42" s="1120"/>
      <c r="BS42" s="1120"/>
      <c r="BT42" s="1120"/>
    </row>
    <row r="43" spans="1:72" ht="9.9499999999999993" customHeight="1" x14ac:dyDescent="0.25">
      <c r="A43" s="233"/>
      <c r="B43" s="233"/>
      <c r="H43" s="267"/>
    </row>
    <row r="44" spans="1:72" x14ac:dyDescent="0.25">
      <c r="A44" s="1122" t="s">
        <v>576</v>
      </c>
      <c r="B44" s="1122"/>
      <c r="H44" s="267"/>
    </row>
    <row r="45" spans="1:72" x14ac:dyDescent="0.25">
      <c r="A45" s="1177" t="s">
        <v>578</v>
      </c>
      <c r="B45" s="1177"/>
      <c r="H45" s="267"/>
    </row>
    <row r="46" spans="1:72" x14ac:dyDescent="0.25">
      <c r="A46" s="925" t="s">
        <v>575</v>
      </c>
      <c r="C46" s="1178">
        <f>6401519/1000000</f>
        <v>6.4015190000000004</v>
      </c>
      <c r="D46" s="1127">
        <f>6433933/1000000</f>
        <v>6.4339329999999997</v>
      </c>
      <c r="E46" s="1128">
        <f>6864612/1000000</f>
        <v>6.8646120000000002</v>
      </c>
      <c r="F46" s="1128">
        <f>7194697/1000000</f>
        <v>7.1946969999999997</v>
      </c>
      <c r="G46" s="1129">
        <f>7598796/1000000</f>
        <v>7.5987960000000001</v>
      </c>
      <c r="H46" s="1130">
        <f>8148229/1000000</f>
        <v>8.1482290000000006</v>
      </c>
      <c r="I46" s="1130">
        <f>8465757/1000000</f>
        <v>8.465757</v>
      </c>
      <c r="J46" s="1130">
        <f>8755081/1000000</f>
        <v>8.7550810000000006</v>
      </c>
      <c r="K46" s="1130">
        <f>8947134/1000000</f>
        <v>8.9471340000000001</v>
      </c>
      <c r="O46" s="267">
        <v>8148229</v>
      </c>
      <c r="P46" s="267">
        <v>8465757</v>
      </c>
      <c r="Q46" s="267">
        <v>8947134</v>
      </c>
    </row>
    <row r="47" spans="1:72" x14ac:dyDescent="0.25">
      <c r="A47" s="562" t="s">
        <v>586</v>
      </c>
      <c r="B47" s="562"/>
      <c r="C47" s="1150">
        <v>936.82427679393004</v>
      </c>
      <c r="D47" s="1179">
        <v>1031</v>
      </c>
      <c r="E47" s="1173">
        <v>1041</v>
      </c>
      <c r="F47" s="1173">
        <v>1036</v>
      </c>
      <c r="G47" s="1172">
        <v>1091</v>
      </c>
      <c r="H47" s="1173">
        <v>1147</v>
      </c>
      <c r="I47" s="1173">
        <v>1227</v>
      </c>
      <c r="J47" s="1173">
        <v>1263</v>
      </c>
      <c r="K47" s="1173">
        <v>1287</v>
      </c>
      <c r="O47" s="267">
        <v>1147</v>
      </c>
      <c r="P47" s="267">
        <v>1227</v>
      </c>
      <c r="Q47" s="267">
        <v>1287</v>
      </c>
    </row>
    <row r="48" spans="1:72" x14ac:dyDescent="0.25">
      <c r="A48" s="562" t="s">
        <v>579</v>
      </c>
      <c r="B48" s="562"/>
      <c r="C48" s="1133">
        <v>0.99357871155267996</v>
      </c>
      <c r="D48" s="1136">
        <v>0.99380000000000002</v>
      </c>
      <c r="E48" s="1137">
        <v>0.99470000000000003</v>
      </c>
      <c r="F48" s="1137">
        <v>0.99509999999999998</v>
      </c>
      <c r="G48" s="1138">
        <v>0.99719999999999998</v>
      </c>
      <c r="H48" s="1137">
        <v>0.99739999999999995</v>
      </c>
      <c r="I48" s="1137">
        <v>0.99760000000000004</v>
      </c>
      <c r="J48" s="1137">
        <v>0.99780000000000002</v>
      </c>
      <c r="K48" s="1137">
        <v>0.99780000000000002</v>
      </c>
      <c r="O48" s="267">
        <v>0.99739999999999995</v>
      </c>
      <c r="P48" s="267">
        <v>0.99760000000000004</v>
      </c>
      <c r="Q48" s="267">
        <v>0.99780000000000002</v>
      </c>
    </row>
    <row r="49" spans="1:11" x14ac:dyDescent="0.25">
      <c r="A49" s="562" t="s">
        <v>580</v>
      </c>
      <c r="B49" s="562"/>
      <c r="C49" s="1144">
        <v>23.544394482986274</v>
      </c>
      <c r="D49" s="1144">
        <v>23.745407097929938</v>
      </c>
      <c r="E49" s="1144">
        <v>23.651527511178436</v>
      </c>
      <c r="F49" s="1144">
        <v>23.592054258827055</v>
      </c>
      <c r="G49" s="1145">
        <v>23.156540730776808</v>
      </c>
      <c r="H49" s="1146">
        <v>23.2</v>
      </c>
      <c r="I49" s="1146">
        <v>23.4</v>
      </c>
      <c r="J49" s="1147">
        <v>23.4</v>
      </c>
      <c r="K49" s="1147">
        <v>23.3</v>
      </c>
    </row>
    <row r="50" spans="1:11" ht="30" x14ac:dyDescent="0.25">
      <c r="A50" s="562" t="s">
        <v>581</v>
      </c>
      <c r="B50" s="562"/>
      <c r="C50" s="1180">
        <v>118.76313325009268</v>
      </c>
      <c r="D50" s="1180">
        <v>103.99765609930971</v>
      </c>
      <c r="E50" s="1180">
        <v>94.660675213690155</v>
      </c>
      <c r="F50" s="1180">
        <v>88.82571357765309</v>
      </c>
      <c r="G50" s="1181">
        <v>73.561353508047787</v>
      </c>
      <c r="H50" s="1146">
        <v>60</v>
      </c>
      <c r="I50" s="1146">
        <v>65</v>
      </c>
      <c r="J50" s="1147">
        <v>76</v>
      </c>
      <c r="K50" s="1147">
        <v>85</v>
      </c>
    </row>
    <row r="51" spans="1:11" x14ac:dyDescent="0.25">
      <c r="A51" s="562" t="s">
        <v>592</v>
      </c>
      <c r="B51" s="562"/>
      <c r="C51" s="1182">
        <v>77.848804008815989</v>
      </c>
      <c r="D51" s="1147">
        <v>71</v>
      </c>
      <c r="E51" s="1146">
        <v>67</v>
      </c>
      <c r="F51" s="1146">
        <v>65</v>
      </c>
      <c r="G51" s="1153">
        <v>57</v>
      </c>
      <c r="H51" s="1146">
        <v>51</v>
      </c>
      <c r="I51" s="1146">
        <v>57</v>
      </c>
      <c r="J51" s="1147">
        <v>62</v>
      </c>
      <c r="K51" s="1147">
        <v>67</v>
      </c>
    </row>
    <row r="52" spans="1:11" ht="9.9499999999999993" customHeight="1" x14ac:dyDescent="0.25">
      <c r="A52" s="233"/>
      <c r="B52" s="233"/>
      <c r="I52" s="1183"/>
    </row>
    <row r="53" spans="1:11" x14ac:dyDescent="0.25">
      <c r="A53" s="1177" t="s">
        <v>582</v>
      </c>
      <c r="B53" s="1177"/>
      <c r="H53" s="267"/>
    </row>
    <row r="54" spans="1:11" x14ac:dyDescent="0.25">
      <c r="A54" s="925" t="s">
        <v>575</v>
      </c>
      <c r="C54" s="1184">
        <f>5723817/1000000</f>
        <v>5.7238170000000004</v>
      </c>
      <c r="D54" s="1127">
        <f>6009802/1000000</f>
        <v>6.0098019999999996</v>
      </c>
      <c r="E54" s="1128">
        <f>6291117/1000000</f>
        <v>6.2911169999999998</v>
      </c>
      <c r="F54" s="1128">
        <f>6363388/1000000</f>
        <v>6.3633879999999996</v>
      </c>
      <c r="G54" s="1129">
        <f>6593136/1000000</f>
        <v>6.5931360000000003</v>
      </c>
      <c r="H54" s="1130">
        <f>6826035/1000000</f>
        <v>6.8260350000000001</v>
      </c>
      <c r="I54" s="1130">
        <f>6951379/1000000</f>
        <v>6.9513790000000002</v>
      </c>
      <c r="J54" s="1159">
        <f>7109358/1000000</f>
        <v>7.1093580000000003</v>
      </c>
      <c r="K54" s="1159">
        <f>7054224/1000000</f>
        <v>7.0542239999999996</v>
      </c>
    </row>
    <row r="55" spans="1:11" x14ac:dyDescent="0.25">
      <c r="A55" s="562" t="s">
        <v>586</v>
      </c>
      <c r="B55" s="562"/>
      <c r="C55" s="1185">
        <v>1119.9951208146492</v>
      </c>
      <c r="D55" s="1147">
        <v>1210</v>
      </c>
      <c r="E55" s="1173">
        <v>1241</v>
      </c>
      <c r="F55" s="1173">
        <v>1244</v>
      </c>
      <c r="G55" s="1172">
        <v>1237</v>
      </c>
      <c r="H55" s="1173">
        <v>1354</v>
      </c>
      <c r="I55" s="1173">
        <v>1413</v>
      </c>
      <c r="J55" s="1179">
        <v>1460</v>
      </c>
      <c r="K55" s="1179">
        <v>1506</v>
      </c>
    </row>
    <row r="56" spans="1:11" x14ac:dyDescent="0.25">
      <c r="A56" s="562" t="s">
        <v>579</v>
      </c>
      <c r="B56" s="562"/>
      <c r="C56" s="1186">
        <v>0.9491543842159873</v>
      </c>
      <c r="D56" s="1136">
        <v>0.9516</v>
      </c>
      <c r="E56" s="1137">
        <v>0.95489999999999997</v>
      </c>
      <c r="F56" s="1137">
        <v>0.95650000000000002</v>
      </c>
      <c r="G56" s="1138">
        <v>0.95789999999999997</v>
      </c>
      <c r="H56" s="1137">
        <v>0.95850000000000002</v>
      </c>
      <c r="I56" s="1137">
        <v>0.9607</v>
      </c>
      <c r="J56" s="1136">
        <v>0.96050000000000002</v>
      </c>
      <c r="K56" s="1136">
        <v>0.96120000000000005</v>
      </c>
    </row>
    <row r="57" spans="1:11" x14ac:dyDescent="0.25">
      <c r="A57" s="562" t="s">
        <v>580</v>
      </c>
      <c r="B57" s="562"/>
      <c r="C57" s="1187">
        <v>33.824360604467714</v>
      </c>
      <c r="D57" s="1147">
        <v>34.1</v>
      </c>
      <c r="E57" s="1146">
        <v>34.299999999999997</v>
      </c>
      <c r="F57" s="1146">
        <v>34.6</v>
      </c>
      <c r="G57" s="1153">
        <v>34.700000000000003</v>
      </c>
      <c r="H57" s="1147">
        <v>34.4</v>
      </c>
      <c r="I57" s="1147">
        <v>34.6</v>
      </c>
      <c r="J57" s="1147">
        <v>34.799999999999997</v>
      </c>
      <c r="K57" s="1147">
        <v>34.700000000000003</v>
      </c>
    </row>
    <row r="58" spans="1:11" ht="9.9499999999999993" customHeight="1" x14ac:dyDescent="0.25">
      <c r="A58" s="233"/>
      <c r="B58" s="233"/>
      <c r="I58" s="1183"/>
    </row>
    <row r="59" spans="1:11" x14ac:dyDescent="0.25">
      <c r="A59" s="1122" t="s">
        <v>149</v>
      </c>
      <c r="B59" s="1122"/>
      <c r="H59" s="267"/>
    </row>
    <row r="60" spans="1:11" x14ac:dyDescent="0.25">
      <c r="A60" s="925" t="s">
        <v>575</v>
      </c>
      <c r="B60" s="1122"/>
      <c r="C60" s="1170">
        <v>50205073</v>
      </c>
      <c r="D60" s="1171">
        <v>52724302</v>
      </c>
      <c r="E60" s="1172">
        <v>60541477</v>
      </c>
      <c r="F60" s="1172">
        <v>63453507</v>
      </c>
      <c r="G60" s="1172">
        <v>69678564</v>
      </c>
      <c r="H60" s="1172">
        <v>74421017</v>
      </c>
      <c r="I60" s="1172">
        <v>76761100</v>
      </c>
      <c r="J60" s="1172">
        <v>81263904</v>
      </c>
      <c r="K60" s="1173">
        <v>75863819</v>
      </c>
    </row>
    <row r="61" spans="1:11" x14ac:dyDescent="0.25">
      <c r="A61" s="562" t="s">
        <v>586</v>
      </c>
      <c r="B61" s="1122"/>
      <c r="C61" s="1188">
        <v>98.100088157645317</v>
      </c>
      <c r="D61" s="1147">
        <v>106</v>
      </c>
      <c r="E61" s="1146">
        <v>103</v>
      </c>
      <c r="F61" s="1146">
        <v>93</v>
      </c>
      <c r="G61" s="1153">
        <v>94</v>
      </c>
      <c r="H61" s="1146">
        <v>98</v>
      </c>
      <c r="I61" s="1146">
        <v>99</v>
      </c>
      <c r="J61" s="1147">
        <v>105</v>
      </c>
      <c r="K61" s="1189">
        <v>108</v>
      </c>
    </row>
    <row r="62" spans="1:11" ht="30" customHeight="1" x14ac:dyDescent="0.25">
      <c r="A62" s="1918" t="s">
        <v>587</v>
      </c>
      <c r="B62" s="1122"/>
      <c r="C62" s="1190">
        <v>8.3171414300353241</v>
      </c>
      <c r="D62" s="1147">
        <v>7.4</v>
      </c>
      <c r="E62" s="1146">
        <v>6.5</v>
      </c>
      <c r="F62" s="1146">
        <v>5.9</v>
      </c>
      <c r="G62" s="1191">
        <v>3.4</v>
      </c>
      <c r="H62" s="1191">
        <v>3.1</v>
      </c>
      <c r="I62" s="1191">
        <v>3.4</v>
      </c>
      <c r="J62" s="233"/>
    </row>
    <row r="63" spans="1:11" x14ac:dyDescent="0.25">
      <c r="A63" s="1918"/>
      <c r="B63" s="1122"/>
      <c r="C63" s="1190"/>
      <c r="D63" s="1147"/>
      <c r="E63" s="1146"/>
      <c r="F63" s="1146"/>
      <c r="G63" s="1191">
        <v>5.3</v>
      </c>
      <c r="H63" s="1191">
        <v>4.8</v>
      </c>
      <c r="I63" s="1191">
        <v>5.0999999999999996</v>
      </c>
      <c r="J63" s="267">
        <v>5.3</v>
      </c>
      <c r="K63" s="1189">
        <v>5.3</v>
      </c>
    </row>
    <row r="64" spans="1:11" ht="9.9499999999999993" customHeight="1" x14ac:dyDescent="0.25">
      <c r="A64" s="233"/>
      <c r="B64" s="233"/>
    </row>
    <row r="65" spans="1:11" ht="45" x14ac:dyDescent="0.25">
      <c r="A65" s="1122" t="s">
        <v>588</v>
      </c>
      <c r="B65" s="1122"/>
    </row>
    <row r="66" spans="1:11" ht="15" customHeight="1" x14ac:dyDescent="0.25">
      <c r="A66" s="1123" t="s">
        <v>589</v>
      </c>
      <c r="B66" s="1123"/>
    </row>
    <row r="67" spans="1:11" ht="15" customHeight="1" x14ac:dyDescent="0.25">
      <c r="A67" s="925" t="s">
        <v>575</v>
      </c>
      <c r="C67" s="1192">
        <v>47384</v>
      </c>
      <c r="D67" s="1179">
        <v>45624</v>
      </c>
      <c r="E67" s="1173">
        <v>41439</v>
      </c>
      <c r="F67" s="1173">
        <v>38408</v>
      </c>
      <c r="G67" s="1173">
        <v>33993</v>
      </c>
      <c r="H67" s="1173">
        <v>25792</v>
      </c>
      <c r="I67" s="1193">
        <v>28143</v>
      </c>
      <c r="J67" s="1193">
        <v>30714</v>
      </c>
      <c r="K67" s="1193">
        <v>30882</v>
      </c>
    </row>
    <row r="68" spans="1:11" ht="15" customHeight="1" x14ac:dyDescent="0.25">
      <c r="A68" s="562" t="s">
        <v>586</v>
      </c>
      <c r="B68" s="562"/>
      <c r="C68" s="1192">
        <v>676.31744384765625</v>
      </c>
      <c r="D68" s="1147">
        <v>689</v>
      </c>
      <c r="E68" s="1146">
        <v>673</v>
      </c>
      <c r="F68" s="1146">
        <v>656</v>
      </c>
      <c r="G68" s="1173">
        <v>1141</v>
      </c>
      <c r="H68" s="1173">
        <v>1133</v>
      </c>
      <c r="I68" s="1193">
        <v>1195</v>
      </c>
      <c r="J68" s="1193">
        <v>1297</v>
      </c>
      <c r="K68" s="1193">
        <v>1318</v>
      </c>
    </row>
    <row r="69" spans="1:11" ht="15" customHeight="1" x14ac:dyDescent="0.25">
      <c r="A69" s="562" t="s">
        <v>579</v>
      </c>
      <c r="B69" s="562"/>
      <c r="C69" s="1186">
        <v>0.97781951713658621</v>
      </c>
      <c r="D69" s="1136">
        <v>0.97719999999999996</v>
      </c>
      <c r="E69" s="1137">
        <v>0.98009999999999997</v>
      </c>
      <c r="F69" s="1137">
        <v>0.98150000000000004</v>
      </c>
      <c r="G69" s="1137">
        <v>0.98640000000000005</v>
      </c>
      <c r="H69" s="1137">
        <v>0.98709999999999998</v>
      </c>
      <c r="I69" s="1133">
        <v>0.98609999999999998</v>
      </c>
      <c r="J69" s="1133">
        <v>0.98850000000000005</v>
      </c>
      <c r="K69" s="1133">
        <v>0.98899999999999999</v>
      </c>
    </row>
    <row r="70" spans="1:11" ht="15" customHeight="1" x14ac:dyDescent="0.25">
      <c r="A70" s="562" t="s">
        <v>580</v>
      </c>
      <c r="B70" s="562"/>
      <c r="C70" s="1187">
        <v>29.714760497677837</v>
      </c>
      <c r="D70" s="1147">
        <v>30.1</v>
      </c>
      <c r="E70" s="1146">
        <v>30</v>
      </c>
      <c r="F70" s="1146">
        <v>30.6</v>
      </c>
      <c r="G70" s="1146">
        <v>29.9</v>
      </c>
      <c r="H70" s="1146">
        <v>29</v>
      </c>
      <c r="I70" s="267">
        <v>29.4</v>
      </c>
      <c r="J70" s="267">
        <v>30.2</v>
      </c>
      <c r="K70" s="267">
        <v>31.2</v>
      </c>
    </row>
    <row r="71" spans="1:11" ht="15" customHeight="1" x14ac:dyDescent="0.25">
      <c r="A71" s="562" t="s">
        <v>581</v>
      </c>
      <c r="B71" s="562"/>
      <c r="C71" s="1188">
        <v>159.88211210535201</v>
      </c>
      <c r="D71" s="1147">
        <v>40</v>
      </c>
      <c r="E71" s="1146">
        <v>265</v>
      </c>
      <c r="F71" s="1146">
        <v>257</v>
      </c>
      <c r="G71" s="1146">
        <v>28</v>
      </c>
      <c r="H71" s="1146">
        <v>42</v>
      </c>
      <c r="I71" s="267">
        <v>28</v>
      </c>
      <c r="J71" s="267">
        <v>37</v>
      </c>
      <c r="K71" s="267">
        <v>37</v>
      </c>
    </row>
    <row r="72" spans="1:11" ht="9.9499999999999993" customHeight="1" x14ac:dyDescent="0.25">
      <c r="A72" s="233"/>
      <c r="B72" s="233"/>
      <c r="I72" s="1183"/>
    </row>
    <row r="73" spans="1:11" ht="15" customHeight="1" x14ac:dyDescent="0.25">
      <c r="A73" s="1123" t="s">
        <v>590</v>
      </c>
      <c r="B73" s="1123"/>
      <c r="C73" s="1194"/>
      <c r="D73" s="1194"/>
      <c r="E73" s="1194"/>
    </row>
    <row r="74" spans="1:11" ht="15" customHeight="1" x14ac:dyDescent="0.25">
      <c r="A74" s="925" t="s">
        <v>575</v>
      </c>
      <c r="C74" s="1192">
        <v>120789</v>
      </c>
      <c r="D74" s="1171">
        <v>123983</v>
      </c>
      <c r="E74" s="1172">
        <v>120203</v>
      </c>
      <c r="F74" s="1172">
        <v>115560</v>
      </c>
      <c r="G74" s="1172">
        <v>112475</v>
      </c>
      <c r="H74" s="1172">
        <v>109636</v>
      </c>
      <c r="I74" s="1193">
        <v>121610</v>
      </c>
      <c r="J74" s="1193">
        <v>125823</v>
      </c>
      <c r="K74" s="1193">
        <v>130654</v>
      </c>
    </row>
    <row r="75" spans="1:11" ht="15" customHeight="1" x14ac:dyDescent="0.25">
      <c r="A75" s="562" t="s">
        <v>586</v>
      </c>
      <c r="B75" s="562"/>
      <c r="C75" s="1192">
        <v>936.877197265625</v>
      </c>
      <c r="D75" s="1171">
        <v>1012</v>
      </c>
      <c r="E75" s="1172">
        <v>1012</v>
      </c>
      <c r="F75" s="1172">
        <v>1012</v>
      </c>
      <c r="G75" s="1172">
        <v>1364</v>
      </c>
      <c r="H75" s="1172">
        <v>1319</v>
      </c>
      <c r="I75" s="1195">
        <v>1365</v>
      </c>
      <c r="J75" s="1193">
        <v>1445</v>
      </c>
      <c r="K75" s="1195">
        <v>1489</v>
      </c>
    </row>
    <row r="76" spans="1:11" ht="15" customHeight="1" x14ac:dyDescent="0.25">
      <c r="A76" s="562" t="s">
        <v>579</v>
      </c>
      <c r="B76" s="562"/>
      <c r="C76" s="1186">
        <v>0.96743908799642353</v>
      </c>
      <c r="D76" s="1196">
        <v>0.96960000000000002</v>
      </c>
      <c r="E76" s="1138">
        <v>0.97219999999999995</v>
      </c>
      <c r="F76" s="1138">
        <v>0.9738</v>
      </c>
      <c r="G76" s="1138">
        <v>0.97650000000000003</v>
      </c>
      <c r="H76" s="1138">
        <v>0.97560000000000002</v>
      </c>
      <c r="I76" s="267">
        <v>0.9768</v>
      </c>
      <c r="J76" s="1193">
        <v>0.97629999999999995</v>
      </c>
      <c r="K76" s="267">
        <v>0.97699999999999998</v>
      </c>
    </row>
    <row r="77" spans="1:11" ht="15" customHeight="1" x14ac:dyDescent="0.25">
      <c r="A77" s="562" t="s">
        <v>580</v>
      </c>
      <c r="B77" s="562"/>
      <c r="C77" s="1187">
        <v>28.060343564637844</v>
      </c>
      <c r="D77" s="1197">
        <v>28.7</v>
      </c>
      <c r="E77" s="1198">
        <v>28.9</v>
      </c>
      <c r="F77" s="1198">
        <v>29</v>
      </c>
      <c r="G77" s="1198">
        <v>27.7</v>
      </c>
      <c r="H77" s="1198">
        <v>27.3</v>
      </c>
      <c r="I77" s="267">
        <v>27.7</v>
      </c>
      <c r="J77" s="267">
        <v>27.8</v>
      </c>
      <c r="K77" s="267">
        <v>27.8</v>
      </c>
    </row>
    <row r="78" spans="1:11" ht="9.9499999999999993" customHeight="1" x14ac:dyDescent="0.25">
      <c r="A78" s="233"/>
      <c r="B78" s="233"/>
      <c r="I78" s="1183"/>
    </row>
    <row r="79" spans="1:11" ht="15" customHeight="1" x14ac:dyDescent="0.25">
      <c r="A79" s="1177" t="s">
        <v>593</v>
      </c>
      <c r="B79" s="562"/>
      <c r="C79" s="1194"/>
      <c r="D79" s="1194"/>
      <c r="E79" s="1194"/>
      <c r="F79" s="1194"/>
    </row>
    <row r="80" spans="1:11" ht="15" customHeight="1" x14ac:dyDescent="0.25">
      <c r="A80" s="1918" t="s">
        <v>575</v>
      </c>
      <c r="B80" s="562"/>
      <c r="C80" s="1199">
        <v>15168410</v>
      </c>
      <c r="D80" s="1200">
        <v>16389891</v>
      </c>
      <c r="E80" s="1201">
        <v>17738894</v>
      </c>
      <c r="F80" s="1201">
        <v>19259205</v>
      </c>
      <c r="G80" s="1201">
        <v>21751043</v>
      </c>
      <c r="H80" s="1201">
        <v>22674811</v>
      </c>
      <c r="I80" s="1193">
        <v>23440616</v>
      </c>
      <c r="J80" s="1193">
        <v>24341950</v>
      </c>
    </row>
    <row r="81" spans="1:11" ht="15" customHeight="1" x14ac:dyDescent="0.25">
      <c r="A81" s="1918"/>
      <c r="B81" s="562"/>
      <c r="C81" s="1199"/>
      <c r="D81" s="1200"/>
      <c r="E81" s="1201"/>
      <c r="F81" s="1201"/>
      <c r="G81" s="1201"/>
      <c r="H81" s="1201"/>
      <c r="K81" s="1193">
        <v>222985622</v>
      </c>
    </row>
    <row r="82" spans="1:11" ht="15" customHeight="1" x14ac:dyDescent="0.25">
      <c r="A82" s="562" t="s">
        <v>586</v>
      </c>
      <c r="B82" s="562"/>
      <c r="C82" s="1202">
        <v>151.38751661466554</v>
      </c>
      <c r="D82" s="1147">
        <v>164</v>
      </c>
      <c r="E82" s="1146">
        <v>170</v>
      </c>
      <c r="F82" s="1146">
        <v>167</v>
      </c>
      <c r="G82" s="1146">
        <v>153</v>
      </c>
      <c r="H82" s="1146">
        <v>157</v>
      </c>
      <c r="I82" s="267">
        <v>161</v>
      </c>
      <c r="J82" s="267">
        <v>159</v>
      </c>
      <c r="K82" s="267">
        <v>27</v>
      </c>
    </row>
    <row r="83" spans="1:11" ht="9.9499999999999993" customHeight="1" x14ac:dyDescent="0.25">
      <c r="A83" s="233"/>
      <c r="B83" s="233"/>
    </row>
    <row r="84" spans="1:11" x14ac:dyDescent="0.25">
      <c r="A84" s="1122" t="s">
        <v>231</v>
      </c>
      <c r="B84" s="1122"/>
    </row>
    <row r="85" spans="1:11" x14ac:dyDescent="0.25">
      <c r="A85" s="562" t="s">
        <v>575</v>
      </c>
      <c r="B85" s="1122"/>
      <c r="C85" s="1170">
        <v>31342436</v>
      </c>
      <c r="D85" s="1179">
        <v>75673792</v>
      </c>
      <c r="E85" s="1173">
        <v>85092838</v>
      </c>
      <c r="F85" s="1173">
        <v>83895139</v>
      </c>
      <c r="G85" s="1173">
        <v>85470688</v>
      </c>
      <c r="H85" s="1173">
        <v>88513663</v>
      </c>
      <c r="I85" s="252">
        <v>92412727</v>
      </c>
      <c r="J85" s="267">
        <v>90724524</v>
      </c>
      <c r="K85" s="267">
        <v>78315576</v>
      </c>
    </row>
    <row r="86" spans="1:11" x14ac:dyDescent="0.25">
      <c r="A86" s="562" t="s">
        <v>586</v>
      </c>
      <c r="B86" s="1122"/>
      <c r="C86" s="1188">
        <v>88.640708544824221</v>
      </c>
      <c r="D86" s="1147">
        <v>39</v>
      </c>
      <c r="E86" s="1146">
        <v>38</v>
      </c>
      <c r="F86" s="1146">
        <v>40</v>
      </c>
      <c r="G86" s="1146">
        <v>42</v>
      </c>
      <c r="H86" s="1146">
        <v>45</v>
      </c>
      <c r="I86" s="1183">
        <v>46</v>
      </c>
      <c r="J86" s="267">
        <v>47</v>
      </c>
      <c r="K86" s="267">
        <v>50</v>
      </c>
    </row>
    <row r="87" spans="1:11" ht="9.9499999999999993" customHeight="1" x14ac:dyDescent="0.25">
      <c r="A87" s="233"/>
      <c r="B87" s="233"/>
      <c r="I87" s="1183"/>
    </row>
    <row r="88" spans="1:11" x14ac:dyDescent="0.25">
      <c r="A88" s="1122" t="s">
        <v>591</v>
      </c>
      <c r="B88" s="1122"/>
      <c r="I88" s="1183"/>
    </row>
    <row r="89" spans="1:11" x14ac:dyDescent="0.25">
      <c r="A89" s="562" t="s">
        <v>575</v>
      </c>
      <c r="B89" s="1122"/>
      <c r="C89" s="1170">
        <v>196620122</v>
      </c>
      <c r="D89" s="1170">
        <v>230116689</v>
      </c>
      <c r="E89" s="1170">
        <v>271833567</v>
      </c>
      <c r="F89" s="1170">
        <v>338198807</v>
      </c>
      <c r="G89" s="1203">
        <v>322095422</v>
      </c>
      <c r="H89" s="1203">
        <v>353159440</v>
      </c>
      <c r="I89" s="1203">
        <v>363730696</v>
      </c>
      <c r="J89" s="1203">
        <v>377563641</v>
      </c>
      <c r="K89" s="1203">
        <v>403539135</v>
      </c>
    </row>
    <row r="90" spans="1:11" x14ac:dyDescent="0.25">
      <c r="A90" s="562" t="s">
        <v>586</v>
      </c>
      <c r="B90" s="1122"/>
      <c r="G90" s="1182"/>
      <c r="H90" s="1182"/>
      <c r="I90" s="1182"/>
      <c r="J90" s="1182"/>
      <c r="K90" s="1182"/>
    </row>
    <row r="91" spans="1:11" ht="9.9499999999999993" customHeight="1" x14ac:dyDescent="0.25">
      <c r="A91" s="233"/>
      <c r="B91" s="233"/>
      <c r="I91" s="1183"/>
    </row>
    <row r="92" spans="1:11" x14ac:dyDescent="0.25">
      <c r="A92" s="1122" t="s">
        <v>218</v>
      </c>
      <c r="B92" s="1122"/>
      <c r="G92" s="1182"/>
      <c r="H92" s="1182"/>
      <c r="I92" s="1182"/>
      <c r="J92" s="1182"/>
      <c r="K92" s="1182"/>
    </row>
    <row r="93" spans="1:11" x14ac:dyDescent="0.25">
      <c r="A93" s="562" t="s">
        <v>594</v>
      </c>
      <c r="B93" s="1122"/>
      <c r="C93" s="1204">
        <v>262100</v>
      </c>
      <c r="D93" s="1205">
        <v>265600</v>
      </c>
      <c r="E93" s="1205">
        <v>283100</v>
      </c>
      <c r="F93" s="1206">
        <v>293000</v>
      </c>
      <c r="G93" s="1203">
        <f>292500000/1000</f>
        <v>292500</v>
      </c>
      <c r="H93" s="1207">
        <v>300400</v>
      </c>
      <c r="I93" s="1207">
        <v>300400</v>
      </c>
      <c r="J93" s="1207">
        <v>290041</v>
      </c>
      <c r="K93" s="1207">
        <v>303820</v>
      </c>
    </row>
    <row r="94" spans="1:11" x14ac:dyDescent="0.25">
      <c r="A94" s="562" t="s">
        <v>586</v>
      </c>
      <c r="B94" s="1122"/>
      <c r="C94" s="657">
        <v>18</v>
      </c>
      <c r="D94" s="1205">
        <v>20</v>
      </c>
      <c r="E94" s="1205">
        <v>20</v>
      </c>
      <c r="F94" s="1206">
        <v>25</v>
      </c>
      <c r="G94" s="1208">
        <v>26</v>
      </c>
      <c r="H94" s="1208">
        <v>27</v>
      </c>
      <c r="I94" s="1208">
        <v>28</v>
      </c>
      <c r="J94" s="1208">
        <v>29</v>
      </c>
      <c r="K94" s="1208">
        <v>33</v>
      </c>
    </row>
    <row r="95" spans="1:11" ht="9.9499999999999993" customHeight="1" x14ac:dyDescent="0.25">
      <c r="A95" s="233"/>
      <c r="B95" s="233"/>
      <c r="I95" s="1183"/>
    </row>
    <row r="96" spans="1:11" x14ac:dyDescent="0.25">
      <c r="A96" s="1122" t="s">
        <v>136</v>
      </c>
      <c r="G96" s="885"/>
    </row>
    <row r="97" spans="1:72" x14ac:dyDescent="0.25">
      <c r="A97" s="562" t="s">
        <v>594</v>
      </c>
      <c r="C97" s="1204">
        <v>659400</v>
      </c>
      <c r="D97" s="1209">
        <v>691949</v>
      </c>
      <c r="E97" s="1210">
        <v>733011</v>
      </c>
      <c r="F97" s="1210">
        <v>762632</v>
      </c>
      <c r="G97" s="1210">
        <v>803297</v>
      </c>
      <c r="H97" s="1210">
        <v>852482</v>
      </c>
      <c r="I97" s="1210">
        <v>897727</v>
      </c>
      <c r="J97" s="1209">
        <v>936744</v>
      </c>
      <c r="K97" s="1210">
        <v>973382</v>
      </c>
    </row>
    <row r="98" spans="1:72" x14ac:dyDescent="0.25">
      <c r="A98" s="1211" t="s">
        <v>586</v>
      </c>
      <c r="B98" s="1197"/>
      <c r="C98" s="898">
        <v>12</v>
      </c>
      <c r="D98" s="1212">
        <v>12</v>
      </c>
      <c r="E98" s="1213">
        <v>11</v>
      </c>
      <c r="F98" s="1213">
        <v>11</v>
      </c>
      <c r="G98" s="1213">
        <v>10</v>
      </c>
      <c r="H98" s="1213">
        <v>10</v>
      </c>
      <c r="I98" s="1213">
        <v>10</v>
      </c>
      <c r="J98" s="1212">
        <v>9</v>
      </c>
      <c r="K98" s="1212">
        <v>9</v>
      </c>
    </row>
    <row r="99" spans="1:72" ht="9.9499999999999993" customHeight="1" thickBot="1" x14ac:dyDescent="0.3">
      <c r="A99" s="1214"/>
      <c r="B99" s="1214"/>
      <c r="C99" s="1215"/>
      <c r="D99" s="1214"/>
      <c r="E99" s="1214"/>
      <c r="F99" s="1214"/>
      <c r="G99" s="1214"/>
      <c r="H99" s="1214"/>
      <c r="I99" s="1216"/>
      <c r="J99" s="1214"/>
      <c r="K99" s="1214"/>
    </row>
    <row r="100" spans="1:72" ht="15.75" thickTop="1" x14ac:dyDescent="0.25">
      <c r="D100" s="1217"/>
    </row>
    <row r="101" spans="1:72" x14ac:dyDescent="0.25">
      <c r="C101" s="1218"/>
      <c r="D101" s="1219"/>
      <c r="E101" s="1219"/>
      <c r="F101" s="1219"/>
      <c r="G101" s="1219"/>
      <c r="H101" s="1219"/>
      <c r="I101" s="1219"/>
      <c r="J101" s="1193"/>
    </row>
    <row r="102" spans="1:72" s="778" customFormat="1" x14ac:dyDescent="0.25">
      <c r="A102" s="1220"/>
      <c r="B102" s="1220"/>
      <c r="C102" s="777"/>
      <c r="M102" s="1208"/>
      <c r="S102" s="1208"/>
      <c r="T102" s="1208"/>
      <c r="U102" s="1208"/>
      <c r="V102" s="1208"/>
      <c r="W102" s="1208"/>
      <c r="X102" s="1208"/>
      <c r="Y102" s="1208"/>
      <c r="Z102" s="1208"/>
      <c r="AA102" s="1208"/>
      <c r="AB102" s="1208"/>
      <c r="AC102" s="1208"/>
      <c r="AD102" s="1208"/>
      <c r="AE102" s="1208"/>
      <c r="AF102" s="1208"/>
      <c r="AG102" s="1208"/>
      <c r="AH102" s="1208"/>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08"/>
      <c r="BF102" s="1208"/>
      <c r="BG102" s="1208"/>
      <c r="BH102" s="1208"/>
      <c r="BI102" s="1208"/>
      <c r="BJ102" s="1208"/>
      <c r="BK102" s="1208"/>
      <c r="BL102" s="1208"/>
      <c r="BM102" s="1208"/>
      <c r="BN102" s="1208"/>
      <c r="BO102" s="1208"/>
      <c r="BP102" s="1208"/>
      <c r="BQ102" s="1208"/>
      <c r="BR102" s="1208"/>
      <c r="BS102" s="1208"/>
      <c r="BT102" s="1208"/>
    </row>
    <row r="103" spans="1:72" x14ac:dyDescent="0.25">
      <c r="L103" s="1193"/>
      <c r="M103" s="1193"/>
    </row>
    <row r="104" spans="1:72" x14ac:dyDescent="0.25">
      <c r="C104" s="898"/>
      <c r="D104" s="267"/>
      <c r="E104" s="267"/>
      <c r="F104" s="267"/>
      <c r="G104" s="1221"/>
      <c r="H104" s="1221"/>
      <c r="I104" s="1221"/>
      <c r="J104" s="1221"/>
      <c r="K104" s="1221"/>
    </row>
    <row r="105" spans="1:72" x14ac:dyDescent="0.25">
      <c r="C105" s="1218"/>
      <c r="D105" s="1219"/>
      <c r="E105" s="1219"/>
      <c r="F105" s="1219"/>
      <c r="G105" s="1221"/>
      <c r="H105" s="1221"/>
      <c r="I105" s="1221"/>
      <c r="J105" s="1221"/>
      <c r="K105" s="1221"/>
    </row>
    <row r="106" spans="1:72" x14ac:dyDescent="0.25">
      <c r="C106" s="1222"/>
      <c r="D106" s="1193"/>
      <c r="E106" s="1193"/>
      <c r="F106" s="1193"/>
      <c r="G106" s="1193"/>
      <c r="H106" s="1193"/>
      <c r="I106" s="1193"/>
    </row>
    <row r="107" spans="1:72" x14ac:dyDescent="0.25">
      <c r="C107" s="898"/>
      <c r="D107" s="267"/>
      <c r="E107" s="267"/>
      <c r="F107" s="267"/>
      <c r="G107" s="267"/>
      <c r="H107" s="267"/>
    </row>
  </sheetData>
  <mergeCells count="8">
    <mergeCell ref="A62:A63"/>
    <mergeCell ref="A80:A81"/>
    <mergeCell ref="A3:A4"/>
    <mergeCell ref="H6:I7"/>
    <mergeCell ref="A11:A12"/>
    <mergeCell ref="C22:H35"/>
    <mergeCell ref="A25:A26"/>
    <mergeCell ref="A41:A42"/>
  </mergeCell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topLeftCell="B1" workbookViewId="0">
      <selection activeCell="C1" sqref="C1"/>
    </sheetView>
  </sheetViews>
  <sheetFormatPr defaultColWidth="63.28515625" defaultRowHeight="151.5" customHeight="1" x14ac:dyDescent="0.25"/>
  <cols>
    <col min="1" max="1" width="74.28515625" customWidth="1"/>
  </cols>
  <sheetData>
    <row r="1" ht="203.25" customHeight="1" x14ac:dyDescent="0.25"/>
    <row r="2" ht="211.5" customHeight="1" x14ac:dyDescent="0.25"/>
    <row r="3" ht="211.5" customHeight="1" x14ac:dyDescent="0.25"/>
  </sheetData>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T118"/>
  <sheetViews>
    <sheetView topLeftCell="G61" workbookViewId="0">
      <selection activeCell="P46" sqref="P46"/>
    </sheetView>
  </sheetViews>
  <sheetFormatPr defaultRowHeight="15" x14ac:dyDescent="0.25"/>
  <cols>
    <col min="1" max="1" width="24.7109375" style="925" customWidth="1"/>
    <col min="2" max="2" width="2.5703125" style="925" customWidth="1"/>
    <col min="3" max="3" width="15.7109375" style="657" customWidth="1"/>
    <col min="4" max="8" width="15.7109375" style="233" customWidth="1"/>
    <col min="9" max="9" width="15.7109375" style="267" customWidth="1"/>
    <col min="10" max="10" width="13.85546875" style="267" customWidth="1"/>
    <col min="11" max="11" width="15.7109375" style="267" customWidth="1"/>
    <col min="12" max="12" width="13.85546875" style="267" customWidth="1"/>
    <col min="13" max="13" width="15.7109375" style="267" customWidth="1"/>
    <col min="14" max="14" width="13.85546875" style="267" customWidth="1"/>
    <col min="15" max="15" width="15.7109375" style="267" customWidth="1"/>
    <col min="16" max="17" width="13.85546875" style="267" customWidth="1"/>
    <col min="18" max="18" width="15.7109375" style="267" customWidth="1"/>
    <col min="19" max="72" width="9.140625" style="267"/>
    <col min="73" max="16384" width="9.140625" style="233"/>
  </cols>
  <sheetData>
    <row r="1" spans="1:72" x14ac:dyDescent="0.25">
      <c r="C1" s="657" t="s">
        <v>68</v>
      </c>
      <c r="D1" s="233" t="s">
        <v>69</v>
      </c>
      <c r="E1" s="233" t="s">
        <v>70</v>
      </c>
      <c r="F1" s="233" t="s">
        <v>71</v>
      </c>
      <c r="G1" s="233" t="s">
        <v>72</v>
      </c>
      <c r="H1" s="233" t="s">
        <v>73</v>
      </c>
      <c r="I1" s="267" t="s">
        <v>74</v>
      </c>
      <c r="J1" s="267" t="s">
        <v>75</v>
      </c>
      <c r="K1" s="267" t="s">
        <v>76</v>
      </c>
      <c r="L1" s="267" t="s">
        <v>4</v>
      </c>
      <c r="M1" s="267" t="s">
        <v>5</v>
      </c>
      <c r="N1" s="267" t="s">
        <v>6</v>
      </c>
      <c r="O1" s="267" t="s">
        <v>572</v>
      </c>
      <c r="P1" s="267" t="s">
        <v>573</v>
      </c>
    </row>
    <row r="3" spans="1:72" s="387" customFormat="1" x14ac:dyDescent="0.25">
      <c r="A3" s="1979" t="s">
        <v>574</v>
      </c>
      <c r="B3" s="1111"/>
      <c r="C3" s="1112" t="s">
        <v>68</v>
      </c>
      <c r="D3" s="1113" t="s">
        <v>69</v>
      </c>
      <c r="E3" s="1113" t="s">
        <v>70</v>
      </c>
      <c r="F3" s="1113" t="s">
        <v>71</v>
      </c>
      <c r="G3" s="1113" t="s">
        <v>72</v>
      </c>
      <c r="H3" s="1113" t="s">
        <v>73</v>
      </c>
      <c r="I3" s="1113" t="s">
        <v>73</v>
      </c>
      <c r="J3" s="1113" t="s">
        <v>74</v>
      </c>
      <c r="K3" s="1113" t="s">
        <v>75</v>
      </c>
      <c r="L3" s="1113" t="s">
        <v>76</v>
      </c>
      <c r="M3" s="1113" t="s">
        <v>4</v>
      </c>
      <c r="N3" s="1114" t="s">
        <v>5</v>
      </c>
      <c r="O3" s="1114" t="s">
        <v>6</v>
      </c>
      <c r="P3" s="1114" t="s">
        <v>572</v>
      </c>
      <c r="Q3" s="1114" t="s">
        <v>573</v>
      </c>
      <c r="R3" s="1115"/>
      <c r="S3" s="521"/>
      <c r="T3" s="521"/>
      <c r="U3" s="521"/>
      <c r="V3" s="521"/>
      <c r="W3" s="521"/>
      <c r="X3" s="521"/>
      <c r="Y3" s="521"/>
      <c r="Z3" s="521"/>
      <c r="AA3" s="521"/>
      <c r="AB3" s="521"/>
      <c r="AC3" s="521"/>
      <c r="AD3" s="521"/>
      <c r="AE3" s="521"/>
      <c r="AF3" s="521"/>
      <c r="AG3" s="521"/>
      <c r="AH3" s="521"/>
      <c r="AI3" s="521"/>
      <c r="AJ3" s="521"/>
      <c r="AK3" s="521"/>
      <c r="AL3" s="521"/>
      <c r="AM3" s="521"/>
      <c r="AN3" s="521"/>
      <c r="AO3" s="521"/>
      <c r="AP3" s="521"/>
      <c r="AQ3" s="521"/>
      <c r="AR3" s="521"/>
      <c r="AS3" s="521"/>
      <c r="AT3" s="521"/>
      <c r="AU3" s="521"/>
      <c r="AV3" s="521"/>
      <c r="AW3" s="521"/>
      <c r="AX3" s="521"/>
      <c r="AY3" s="521"/>
      <c r="AZ3" s="521"/>
      <c r="BA3" s="521"/>
      <c r="BB3" s="521"/>
      <c r="BC3" s="521"/>
      <c r="BD3" s="521"/>
      <c r="BE3" s="521"/>
      <c r="BF3" s="521"/>
      <c r="BG3" s="521"/>
      <c r="BH3" s="521"/>
      <c r="BI3" s="521"/>
      <c r="BJ3" s="521"/>
      <c r="BK3" s="521"/>
      <c r="BL3" s="521"/>
      <c r="BM3" s="521"/>
      <c r="BN3" s="521"/>
      <c r="BO3" s="521"/>
      <c r="BP3" s="521"/>
      <c r="BQ3" s="521"/>
      <c r="BR3" s="521"/>
      <c r="BS3" s="521"/>
      <c r="BT3" s="521"/>
    </row>
    <row r="4" spans="1:72" s="1121" customFormat="1" ht="36" customHeight="1" x14ac:dyDescent="0.25">
      <c r="A4" s="1980"/>
      <c r="B4" s="1116"/>
      <c r="C4" s="1117" t="s">
        <v>575</v>
      </c>
      <c r="D4" s="1118" t="s">
        <v>575</v>
      </c>
      <c r="E4" s="1118" t="s">
        <v>575</v>
      </c>
      <c r="F4" s="1118" t="s">
        <v>575</v>
      </c>
      <c r="G4" s="1118" t="s">
        <v>575</v>
      </c>
      <c r="H4" s="1118" t="s">
        <v>575</v>
      </c>
      <c r="I4" s="1118" t="s">
        <v>575</v>
      </c>
      <c r="J4" s="1118" t="s">
        <v>575</v>
      </c>
      <c r="K4" s="1118" t="s">
        <v>575</v>
      </c>
      <c r="L4" s="1118" t="s">
        <v>575</v>
      </c>
      <c r="M4" s="1118" t="s">
        <v>575</v>
      </c>
      <c r="N4" s="1118" t="s">
        <v>575</v>
      </c>
      <c r="O4" s="1118" t="s">
        <v>575</v>
      </c>
      <c r="P4" s="1118" t="s">
        <v>575</v>
      </c>
      <c r="Q4" s="1118" t="s">
        <v>575</v>
      </c>
      <c r="R4" s="1119"/>
      <c r="S4" s="1120"/>
      <c r="T4" s="1120"/>
      <c r="U4" s="1120"/>
      <c r="V4" s="1120"/>
      <c r="W4" s="1120"/>
      <c r="X4" s="1120"/>
      <c r="Y4" s="1120"/>
      <c r="Z4" s="1120"/>
      <c r="AA4" s="1120"/>
      <c r="AB4" s="1120"/>
      <c r="AC4" s="1120"/>
      <c r="AD4" s="1120"/>
      <c r="AE4" s="1120"/>
      <c r="AF4" s="1120"/>
      <c r="AG4" s="1120"/>
      <c r="AH4" s="1120"/>
      <c r="AI4" s="1120"/>
      <c r="AJ4" s="1120"/>
      <c r="AK4" s="1120"/>
      <c r="AL4" s="1120"/>
      <c r="AM4" s="1120"/>
      <c r="AN4" s="1120"/>
      <c r="AO4" s="1120"/>
      <c r="AP4" s="1120"/>
      <c r="AQ4" s="1120"/>
      <c r="AR4" s="1120"/>
      <c r="AS4" s="1120"/>
      <c r="AT4" s="1120"/>
      <c r="AU4" s="1120"/>
      <c r="AV4" s="1120"/>
      <c r="AW4" s="1120"/>
      <c r="AX4" s="1120"/>
      <c r="AY4" s="1120"/>
      <c r="AZ4" s="1120"/>
      <c r="BA4" s="1120"/>
      <c r="BB4" s="1120"/>
      <c r="BC4" s="1120"/>
      <c r="BD4" s="1120"/>
      <c r="BE4" s="1120"/>
      <c r="BF4" s="1120"/>
      <c r="BG4" s="1120"/>
      <c r="BH4" s="1120"/>
      <c r="BI4" s="1120"/>
      <c r="BJ4" s="1120"/>
      <c r="BK4" s="1120"/>
      <c r="BL4" s="1120"/>
      <c r="BM4" s="1120"/>
      <c r="BN4" s="1120"/>
      <c r="BO4" s="1120"/>
      <c r="BP4" s="1120"/>
      <c r="BQ4" s="1120"/>
      <c r="BR4" s="1120"/>
      <c r="BS4" s="1120"/>
      <c r="BT4" s="1120"/>
    </row>
    <row r="5" spans="1:72" ht="9.9499999999999993" customHeight="1" x14ac:dyDescent="0.25">
      <c r="A5" s="233"/>
      <c r="B5" s="233"/>
    </row>
    <row r="6" spans="1:72" ht="38.25" customHeight="1" x14ac:dyDescent="0.25">
      <c r="A6" s="1122" t="s">
        <v>576</v>
      </c>
      <c r="B6" s="1122"/>
      <c r="H6" s="1981" t="s">
        <v>577</v>
      </c>
      <c r="I6" s="1981"/>
    </row>
    <row r="7" spans="1:72" ht="35.25" customHeight="1" x14ac:dyDescent="0.25">
      <c r="A7" s="1123" t="s">
        <v>578</v>
      </c>
      <c r="B7" s="1123"/>
      <c r="H7" s="1981"/>
      <c r="I7" s="1981"/>
    </row>
    <row r="8" spans="1:72" ht="15" customHeight="1" x14ac:dyDescent="0.25">
      <c r="A8" s="925" t="s">
        <v>575</v>
      </c>
      <c r="C8" s="1124">
        <f>5427066/1000000</f>
        <v>5.4270659999999999</v>
      </c>
      <c r="D8" s="1124">
        <f>5487579/1000000</f>
        <v>5.4875790000000002</v>
      </c>
      <c r="E8" s="1124">
        <f>5479633/1000000</f>
        <v>5.4796329999999998</v>
      </c>
      <c r="F8" s="1125">
        <f>5386575/1000000</f>
        <v>5.3865749999999997</v>
      </c>
      <c r="G8" s="1124">
        <f>5578093/1000000</f>
        <v>5.578093</v>
      </c>
      <c r="H8" s="1126">
        <f>5736331/1000000</f>
        <v>5.7363309999999998</v>
      </c>
      <c r="I8" s="1126">
        <f>6401519/1000000</f>
        <v>6.4015190000000004</v>
      </c>
      <c r="J8" s="1127">
        <f>6433933/1000000</f>
        <v>6.4339329999999997</v>
      </c>
      <c r="K8" s="1128">
        <f>6864612/1000000</f>
        <v>6.8646120000000002</v>
      </c>
      <c r="L8" s="1128">
        <f>7194697/1000000</f>
        <v>7.1946969999999997</v>
      </c>
      <c r="M8" s="1129">
        <f>7598796/1000000</f>
        <v>7.5987960000000001</v>
      </c>
      <c r="N8" s="1130">
        <f>8148229/1000000</f>
        <v>8.1482290000000006</v>
      </c>
      <c r="O8" s="1130">
        <f>8465757/1000000</f>
        <v>8.465757</v>
      </c>
      <c r="P8" s="1130">
        <f>8755081/1000000</f>
        <v>8.7550810000000006</v>
      </c>
      <c r="Q8" s="1130">
        <f>8947134/1000000</f>
        <v>8.9471340000000001</v>
      </c>
    </row>
    <row r="9" spans="1:72" ht="15" customHeight="1" x14ac:dyDescent="0.25">
      <c r="A9" s="562" t="s">
        <v>579</v>
      </c>
      <c r="B9" s="562"/>
      <c r="C9" s="1124">
        <f>5427066/1000000</f>
        <v>5.4270659999999999</v>
      </c>
      <c r="D9" s="1124">
        <f>5487579/1000000</f>
        <v>5.4875790000000002</v>
      </c>
      <c r="E9" s="1124">
        <f>5479633/1000000</f>
        <v>5.4796329999999998</v>
      </c>
      <c r="F9" s="1125">
        <f>5386575/1000000</f>
        <v>5.3865749999999997</v>
      </c>
      <c r="G9" s="1124">
        <f>5578093/1000000</f>
        <v>5.578093</v>
      </c>
      <c r="H9" s="1126">
        <f>5736331/1000000</f>
        <v>5.7363309999999998</v>
      </c>
      <c r="I9" s="1126"/>
      <c r="J9" s="1127"/>
      <c r="K9" s="1128"/>
      <c r="L9" s="1128"/>
      <c r="M9" s="1129"/>
      <c r="N9" s="1130"/>
      <c r="O9" s="1130"/>
      <c r="P9" s="1130"/>
      <c r="Q9" s="1130"/>
    </row>
    <row r="10" spans="1:72" ht="15" customHeight="1" x14ac:dyDescent="0.25">
      <c r="A10" s="562" t="s">
        <v>580</v>
      </c>
      <c r="B10" s="562"/>
      <c r="C10" s="233"/>
      <c r="H10" s="1126">
        <f>6401519/1000000</f>
        <v>6.4015190000000004</v>
      </c>
      <c r="I10" s="1127">
        <f>6433933/1000000</f>
        <v>6.4339329999999997</v>
      </c>
      <c r="J10" s="1128">
        <f>6864612/1000000</f>
        <v>6.8646120000000002</v>
      </c>
      <c r="K10" s="1128">
        <f>7194697/1000000</f>
        <v>7.1946969999999997</v>
      </c>
      <c r="L10" s="1129">
        <f>7598796/1000000</f>
        <v>7.5987960000000001</v>
      </c>
      <c r="M10" s="1130">
        <f>8148229/1000000</f>
        <v>8.1482290000000006</v>
      </c>
      <c r="N10" s="1130">
        <f>8465757/1000000</f>
        <v>8.465757</v>
      </c>
      <c r="O10" s="1130">
        <f>8755081/1000000</f>
        <v>8.7550810000000006</v>
      </c>
      <c r="P10" s="1130">
        <f>8947134/1000000</f>
        <v>8.9471340000000001</v>
      </c>
      <c r="Q10" s="1130"/>
    </row>
    <row r="11" spans="1:72" ht="15" customHeight="1" x14ac:dyDescent="0.25">
      <c r="A11" s="1917" t="s">
        <v>581</v>
      </c>
      <c r="B11" s="562"/>
      <c r="C11" s="1131">
        <v>0.99297982552078423</v>
      </c>
      <c r="D11" s="1132">
        <v>0.99344809833581327</v>
      </c>
      <c r="E11" s="1132">
        <v>0.9938130481879307</v>
      </c>
      <c r="F11" s="1133">
        <v>0.99412727750723706</v>
      </c>
      <c r="G11" s="1133">
        <v>0.99427255281866589</v>
      </c>
      <c r="H11" s="1134">
        <v>0.99478428089861648</v>
      </c>
      <c r="I11" s="1135">
        <v>0.99357871155267996</v>
      </c>
      <c r="J11" s="1136">
        <v>0.99380000000000002</v>
      </c>
      <c r="K11" s="1137">
        <v>0.99470000000000003</v>
      </c>
      <c r="L11" s="1137">
        <v>0.99509999999999998</v>
      </c>
      <c r="M11" s="1138">
        <v>0.99719999999999998</v>
      </c>
      <c r="N11" s="1137">
        <v>0.99739999999999995</v>
      </c>
      <c r="O11" s="1137">
        <v>0.99760000000000004</v>
      </c>
      <c r="P11" s="1137">
        <v>0.99780000000000002</v>
      </c>
      <c r="Q11" s="1137">
        <v>0.99780000000000002</v>
      </c>
    </row>
    <row r="12" spans="1:72" ht="15" customHeight="1" x14ac:dyDescent="0.25">
      <c r="A12" s="1917"/>
      <c r="B12" s="562"/>
      <c r="C12" s="1139">
        <v>25.311743839819581</v>
      </c>
      <c r="D12" s="1140">
        <v>24.835254072157774</v>
      </c>
      <c r="E12" s="1140">
        <v>24.393908901190436</v>
      </c>
      <c r="F12" s="1141">
        <v>24.160071730032158</v>
      </c>
      <c r="G12" s="1141">
        <v>23.958833186583934</v>
      </c>
      <c r="H12" s="1142">
        <v>23.652542243951583</v>
      </c>
      <c r="I12" s="1143">
        <v>23.544394482986274</v>
      </c>
      <c r="J12" s="1144">
        <v>23.745407097929938</v>
      </c>
      <c r="K12" s="1144">
        <v>23.651527511178436</v>
      </c>
      <c r="L12" s="1144">
        <v>23.592054258827055</v>
      </c>
      <c r="M12" s="1145">
        <v>23.156540730776808</v>
      </c>
      <c r="N12" s="1146">
        <v>23.2</v>
      </c>
      <c r="O12" s="1146">
        <v>23.4</v>
      </c>
      <c r="P12" s="1147">
        <v>23.4</v>
      </c>
      <c r="Q12" s="1147">
        <v>23.3</v>
      </c>
    </row>
    <row r="13" spans="1:72" ht="9.9499999999999993" customHeight="1" x14ac:dyDescent="0.25">
      <c r="A13" s="233"/>
      <c r="B13" s="233"/>
      <c r="C13" s="1148">
        <v>88.723499036333564</v>
      </c>
      <c r="D13" s="1149">
        <v>80.778152493315716</v>
      </c>
      <c r="E13" s="1149">
        <v>82.304893177015529</v>
      </c>
      <c r="F13" s="1150">
        <v>85.237862415005438</v>
      </c>
      <c r="G13" s="1150">
        <v>88.498913740756919</v>
      </c>
      <c r="H13" s="1151">
        <v>85.907327267949</v>
      </c>
      <c r="I13" s="233"/>
      <c r="J13" s="233"/>
      <c r="K13" s="233"/>
      <c r="L13" s="233"/>
      <c r="M13" s="233"/>
      <c r="N13" s="233"/>
      <c r="O13" s="233"/>
      <c r="P13" s="233"/>
      <c r="Q13" s="233"/>
    </row>
    <row r="14" spans="1:72" ht="15" customHeight="1" x14ac:dyDescent="0.25">
      <c r="A14" s="1123"/>
      <c r="B14" s="1123"/>
      <c r="C14" s="1148"/>
      <c r="D14" s="1149"/>
      <c r="E14" s="1149"/>
      <c r="F14" s="1150"/>
      <c r="G14" s="1150"/>
      <c r="H14" s="1152">
        <v>118.76313325009268</v>
      </c>
      <c r="I14" s="1147">
        <v>104</v>
      </c>
      <c r="J14" s="1146">
        <v>95</v>
      </c>
      <c r="K14" s="1146">
        <v>89</v>
      </c>
      <c r="L14" s="1153">
        <v>74</v>
      </c>
      <c r="M14" s="1146">
        <v>60</v>
      </c>
      <c r="N14" s="1146">
        <v>65</v>
      </c>
      <c r="O14" s="1147">
        <v>76</v>
      </c>
      <c r="P14" s="1147">
        <v>85</v>
      </c>
    </row>
    <row r="15" spans="1:72" ht="15" customHeight="1" x14ac:dyDescent="0.25">
      <c r="C15" s="267"/>
      <c r="D15" s="267"/>
      <c r="E15" s="267"/>
      <c r="F15" s="267"/>
      <c r="G15" s="267"/>
      <c r="H15" s="267"/>
      <c r="I15" s="233"/>
    </row>
    <row r="16" spans="1:72" ht="15" customHeight="1" x14ac:dyDescent="0.25">
      <c r="A16" s="562"/>
      <c r="B16" s="562"/>
      <c r="C16" s="356"/>
      <c r="D16" s="267"/>
      <c r="E16" s="267"/>
      <c r="F16" s="267"/>
      <c r="G16" s="267"/>
      <c r="H16" s="1154"/>
      <c r="I16" s="1155"/>
    </row>
    <row r="17" spans="1:17" x14ac:dyDescent="0.25">
      <c r="A17" s="1123" t="s">
        <v>582</v>
      </c>
      <c r="B17" s="562"/>
      <c r="C17" s="1156">
        <f>5783750/1000000</f>
        <v>5.7837500000000004</v>
      </c>
      <c r="D17" s="1124">
        <f>5618166/1000000</f>
        <v>5.6181660000000004</v>
      </c>
      <c r="E17" s="1156">
        <f>5595606/1000000</f>
        <v>5.5956060000000001</v>
      </c>
      <c r="F17" s="1124">
        <f>5607484/1000000</f>
        <v>5.6074840000000004</v>
      </c>
      <c r="G17" s="1156">
        <f>5963742/1000000</f>
        <v>5.9637419999999999</v>
      </c>
      <c r="H17" s="1157">
        <f>6411777/1000000</f>
        <v>6.4117769999999998</v>
      </c>
      <c r="I17" s="1158">
        <f>5723817/1000000</f>
        <v>5.7238170000000004</v>
      </c>
      <c r="J17" s="1127">
        <f>6009802/1000000</f>
        <v>6.0098019999999996</v>
      </c>
      <c r="K17" s="1128">
        <f>6291117/1000000</f>
        <v>6.2911169999999998</v>
      </c>
      <c r="L17" s="1128">
        <f>6363388/1000000</f>
        <v>6.3633879999999996</v>
      </c>
      <c r="M17" s="1129">
        <f>6593136/1000000</f>
        <v>6.5931360000000003</v>
      </c>
      <c r="N17" s="1130">
        <f>6826035/1000000</f>
        <v>6.8260350000000001</v>
      </c>
      <c r="O17" s="1130">
        <f>6951379/1000000</f>
        <v>6.9513790000000002</v>
      </c>
      <c r="P17" s="1159">
        <f>7109358/1000000</f>
        <v>7.1093580000000003</v>
      </c>
      <c r="Q17" s="1159">
        <f>7054224/1000000</f>
        <v>7.0542239999999996</v>
      </c>
    </row>
    <row r="18" spans="1:17" ht="18" customHeight="1" x14ac:dyDescent="0.25">
      <c r="A18" s="1123" t="s">
        <v>582</v>
      </c>
      <c r="B18" s="562"/>
      <c r="C18" s="1156">
        <f>5783750/1000000</f>
        <v>5.7837500000000004</v>
      </c>
      <c r="D18" s="1124">
        <f>5618166/1000000</f>
        <v>5.6181660000000004</v>
      </c>
      <c r="E18" s="1156">
        <f>5595606/1000000</f>
        <v>5.5956060000000001</v>
      </c>
      <c r="F18" s="1124">
        <f>5607484/1000000</f>
        <v>5.6074840000000004</v>
      </c>
      <c r="G18" s="1156">
        <f>5963742/1000000</f>
        <v>5.9637419999999999</v>
      </c>
      <c r="H18" s="1157">
        <f>6411777/1000000</f>
        <v>6.4117769999999998</v>
      </c>
      <c r="I18" s="1158"/>
      <c r="J18" s="1127"/>
      <c r="K18" s="1128"/>
      <c r="L18" s="1128"/>
      <c r="M18" s="1129"/>
      <c r="N18" s="1130"/>
      <c r="O18" s="1130"/>
      <c r="P18" s="1159"/>
      <c r="Q18" s="1159"/>
    </row>
    <row r="19" spans="1:17" ht="15" customHeight="1" x14ac:dyDescent="0.25">
      <c r="A19" s="1123" t="s">
        <v>582</v>
      </c>
      <c r="B19" s="562"/>
      <c r="C19" s="1156"/>
      <c r="D19" s="1124"/>
      <c r="E19" s="1156"/>
      <c r="F19" s="1124"/>
      <c r="G19" s="1156"/>
      <c r="H19" s="1158">
        <f>5723817/1000000</f>
        <v>5.7238170000000004</v>
      </c>
      <c r="I19" s="1127">
        <f>6009802/1000000</f>
        <v>6.0098019999999996</v>
      </c>
      <c r="J19" s="1128">
        <f>6291117/1000000</f>
        <v>6.2911169999999998</v>
      </c>
      <c r="K19" s="1128">
        <f>6363388/1000000</f>
        <v>6.3633879999999996</v>
      </c>
      <c r="L19" s="1129">
        <f>6593136/1000000</f>
        <v>6.5931360000000003</v>
      </c>
      <c r="M19" s="1130">
        <f>6826035/1000000</f>
        <v>6.8260350000000001</v>
      </c>
      <c r="N19" s="1130">
        <f>6951379/1000000</f>
        <v>6.9513790000000002</v>
      </c>
      <c r="O19" s="1159">
        <f>7109358/1000000</f>
        <v>7.1093580000000003</v>
      </c>
      <c r="P19" s="1159">
        <f>7054224/1000000</f>
        <v>7.0542239999999996</v>
      </c>
      <c r="Q19" s="1159"/>
    </row>
    <row r="20" spans="1:17" ht="15" customHeight="1" x14ac:dyDescent="0.25">
      <c r="A20" s="925" t="s">
        <v>575</v>
      </c>
      <c r="B20" s="562"/>
      <c r="C20" s="1132">
        <v>0.94756780976717914</v>
      </c>
      <c r="D20" s="1132">
        <v>0.94656187141177361</v>
      </c>
      <c r="E20" s="1132">
        <v>0.948581619202433</v>
      </c>
      <c r="F20" s="1132">
        <v>0.94760349278650813</v>
      </c>
      <c r="G20" s="1132">
        <v>0.95054579485147772</v>
      </c>
      <c r="H20" s="1134">
        <v>0.95289289026855672</v>
      </c>
      <c r="I20" s="1160">
        <v>0.9491543842159873</v>
      </c>
      <c r="J20" s="1132">
        <v>0.9516</v>
      </c>
      <c r="K20" s="1132">
        <v>0.95489999999999997</v>
      </c>
      <c r="L20" s="1132">
        <v>0.95650000000000002</v>
      </c>
      <c r="M20" s="1132">
        <v>0.95789999999999997</v>
      </c>
      <c r="N20" s="1137">
        <v>0.95850000000000002</v>
      </c>
      <c r="O20" s="1137">
        <v>0.9607</v>
      </c>
      <c r="P20" s="1136">
        <v>0.96050000000000002</v>
      </c>
      <c r="Q20" s="1136">
        <v>0.96120000000000005</v>
      </c>
    </row>
    <row r="21" spans="1:17" ht="16.5" customHeight="1" x14ac:dyDescent="0.25">
      <c r="A21" s="562" t="s">
        <v>579</v>
      </c>
      <c r="B21" s="562"/>
      <c r="C21" s="1161">
        <v>33.456565546794309</v>
      </c>
      <c r="D21" s="1161">
        <v>33.885491759478363</v>
      </c>
      <c r="E21" s="1161">
        <v>33.646748229643457</v>
      </c>
      <c r="F21" s="1162">
        <v>33.631944570558957</v>
      </c>
      <c r="G21" s="1162">
        <v>32.812823750123755</v>
      </c>
      <c r="H21" s="1142">
        <v>32.448659204893161</v>
      </c>
      <c r="I21" s="1163">
        <v>33.824360604467714</v>
      </c>
      <c r="J21" s="1140">
        <v>34.1</v>
      </c>
      <c r="K21" s="1140">
        <v>34.299999999999997</v>
      </c>
      <c r="L21" s="1162">
        <v>34.6</v>
      </c>
      <c r="M21" s="1162">
        <v>34.700000000000003</v>
      </c>
      <c r="N21" s="1164">
        <v>34.4</v>
      </c>
      <c r="O21" s="1164">
        <v>34.6</v>
      </c>
      <c r="P21" s="1164">
        <v>34.799999999999997</v>
      </c>
      <c r="Q21" s="1164">
        <v>34.700000000000003</v>
      </c>
    </row>
    <row r="22" spans="1:17" ht="16.5" customHeight="1" x14ac:dyDescent="0.25">
      <c r="A22" s="562" t="s">
        <v>580</v>
      </c>
      <c r="B22" s="562"/>
      <c r="C22" s="1161"/>
      <c r="D22" s="1161"/>
      <c r="E22" s="1161"/>
      <c r="F22" s="1162"/>
      <c r="G22" s="1162"/>
      <c r="H22" s="1142"/>
      <c r="I22" s="1163"/>
      <c r="J22" s="1140"/>
      <c r="K22" s="1140"/>
      <c r="L22" s="1162"/>
      <c r="M22" s="1162"/>
      <c r="N22" s="1164"/>
      <c r="O22" s="1164"/>
      <c r="P22" s="1164"/>
      <c r="Q22" s="1164"/>
    </row>
    <row r="23" spans="1:17" x14ac:dyDescent="0.25">
      <c r="A23" s="233"/>
      <c r="B23" s="233"/>
      <c r="C23" s="1161"/>
      <c r="D23" s="1161"/>
      <c r="E23" s="1161"/>
      <c r="F23" s="1162"/>
      <c r="G23" s="1162"/>
      <c r="H23" s="1142"/>
      <c r="I23" s="1163"/>
      <c r="J23" s="1140"/>
      <c r="K23" s="1140"/>
      <c r="L23" s="1162"/>
      <c r="M23" s="1162"/>
      <c r="N23" s="1164"/>
      <c r="O23" s="1164"/>
      <c r="P23" s="1164"/>
      <c r="Q23" s="1164"/>
    </row>
    <row r="24" spans="1:17" x14ac:dyDescent="0.25">
      <c r="A24" s="1123" t="s">
        <v>583</v>
      </c>
      <c r="B24" s="1123"/>
      <c r="C24" s="1161"/>
      <c r="D24" s="1161"/>
      <c r="E24" s="1161"/>
      <c r="F24" s="1162"/>
      <c r="G24" s="1162"/>
      <c r="H24" s="1142"/>
      <c r="I24" s="1163"/>
      <c r="J24" s="1140"/>
      <c r="K24" s="1140"/>
      <c r="L24" s="1162"/>
      <c r="M24" s="1162"/>
      <c r="N24" s="1164"/>
      <c r="O24" s="1164"/>
      <c r="P24" s="1164"/>
      <c r="Q24" s="1164"/>
    </row>
    <row r="25" spans="1:17" x14ac:dyDescent="0.25">
      <c r="A25" s="562" t="s">
        <v>579</v>
      </c>
      <c r="B25" s="1123"/>
      <c r="C25" s="267"/>
      <c r="D25" s="267"/>
      <c r="E25" s="267"/>
      <c r="F25" s="267"/>
      <c r="G25" s="267"/>
      <c r="H25" s="267"/>
      <c r="I25" s="233"/>
    </row>
    <row r="26" spans="1:17" ht="15" customHeight="1" x14ac:dyDescent="0.25">
      <c r="A26" s="562" t="s">
        <v>580</v>
      </c>
      <c r="B26" s="1123"/>
      <c r="C26" s="1165">
        <f t="shared" ref="C26:H26" si="0">SUM(C9,C18)</f>
        <v>11.210816000000001</v>
      </c>
      <c r="D26" s="1165">
        <f t="shared" si="0"/>
        <v>11.105745000000001</v>
      </c>
      <c r="E26" s="1165">
        <f t="shared" si="0"/>
        <v>11.075239</v>
      </c>
      <c r="F26" s="1165">
        <f t="shared" si="0"/>
        <v>10.994059</v>
      </c>
      <c r="G26" s="1165">
        <f t="shared" si="0"/>
        <v>11.541834999999999</v>
      </c>
      <c r="H26" s="1166">
        <f t="shared" si="0"/>
        <v>12.148108000000001</v>
      </c>
      <c r="I26" s="1167">
        <f>SUM(I8,I17)</f>
        <v>12.125336000000001</v>
      </c>
      <c r="J26" s="1165">
        <f>SUM(J10,K19)</f>
        <v>13.228</v>
      </c>
      <c r="K26" s="1165">
        <f t="shared" ref="K26:Q26" si="1">SUM(K10,K19)</f>
        <v>13.558084999999998</v>
      </c>
      <c r="L26" s="1165">
        <f t="shared" si="1"/>
        <v>14.191932000000001</v>
      </c>
      <c r="M26" s="1165">
        <f t="shared" si="1"/>
        <v>14.974264000000002</v>
      </c>
      <c r="N26" s="1165">
        <f t="shared" si="1"/>
        <v>15.417135999999999</v>
      </c>
      <c r="O26" s="1165">
        <f t="shared" si="1"/>
        <v>15.864439000000001</v>
      </c>
      <c r="P26" s="1165">
        <f t="shared" si="1"/>
        <v>16.001358</v>
      </c>
      <c r="Q26" s="1165">
        <f t="shared" si="1"/>
        <v>0</v>
      </c>
    </row>
    <row r="27" spans="1:17" ht="15" customHeight="1" x14ac:dyDescent="0.25">
      <c r="A27" s="1917"/>
      <c r="B27" s="1123"/>
      <c r="C27" s="1223">
        <f>(C11*C9+C18*C20)/C26</f>
        <v>0.96955140192388334</v>
      </c>
      <c r="D27" s="1223">
        <f>(D11*D9+D18*D20)/D26</f>
        <v>0.9697293288185117</v>
      </c>
      <c r="E27" s="1223">
        <f>(E11*E9+E18*E20)/E26</f>
        <v>0.97096051602859534</v>
      </c>
      <c r="F27" s="1223">
        <f>(F11*F9+F18*F20)/F26</f>
        <v>0.97039797257618921</v>
      </c>
      <c r="G27" s="1223">
        <f>(G11*G9+G18*G20)/G26</f>
        <v>0.97167864959506645</v>
      </c>
      <c r="H27" s="1223">
        <f>(H11*H9+H19*H20)/H26</f>
        <v>0.91871066945813618</v>
      </c>
      <c r="I27" s="1223">
        <f t="shared" ref="I27:Q27" si="2">(I11*I10+I19*I20)/I26</f>
        <v>0.99765060340812628</v>
      </c>
      <c r="J27" s="1223">
        <f t="shared" si="2"/>
        <v>0.96830044925914727</v>
      </c>
      <c r="K27" s="1223">
        <f t="shared" si="2"/>
        <v>0.97602016118795532</v>
      </c>
      <c r="L27" s="1223">
        <f t="shared" si="2"/>
        <v>0.97716762478850649</v>
      </c>
      <c r="M27" s="1223">
        <f t="shared" si="2"/>
        <v>0.97928505102487839</v>
      </c>
      <c r="N27" s="1223">
        <f t="shared" si="2"/>
        <v>0.97986051386586992</v>
      </c>
      <c r="O27" s="1223">
        <f t="shared" si="2"/>
        <v>0.98106394031330069</v>
      </c>
      <c r="P27" s="1223">
        <f t="shared" si="2"/>
        <v>0.98135623596447263</v>
      </c>
      <c r="Q27" s="1223" t="e">
        <f t="shared" si="2"/>
        <v>#DIV/0!</v>
      </c>
    </row>
    <row r="28" spans="1:17" x14ac:dyDescent="0.25">
      <c r="A28" s="1917"/>
      <c r="B28" s="1123"/>
      <c r="C28" s="1165">
        <f t="shared" ref="C28:H28" si="3">(C21*C19+C12*C9)/C26</f>
        <v>12.253211933350283</v>
      </c>
      <c r="D28" s="1165">
        <f t="shared" si="3"/>
        <v>12.271614259650072</v>
      </c>
      <c r="E28" s="1165">
        <f t="shared" si="3"/>
        <v>12.06923554552248</v>
      </c>
      <c r="F28" s="1165">
        <f t="shared" si="3"/>
        <v>11.837305801178433</v>
      </c>
      <c r="G28" s="1165">
        <f t="shared" si="3"/>
        <v>11.579146616309412</v>
      </c>
      <c r="H28" s="1165">
        <f t="shared" si="3"/>
        <v>26.45753548511118</v>
      </c>
      <c r="I28" s="1165">
        <f t="shared" ref="I28:Q28" si="4">(I21*I19+I12*I10)/I26</f>
        <v>29.257809155849746</v>
      </c>
      <c r="J28" s="1165">
        <f t="shared" si="4"/>
        <v>28.540224993145983</v>
      </c>
      <c r="K28" s="1165">
        <f t="shared" si="4"/>
        <v>28.649310166597495</v>
      </c>
      <c r="L28" s="1165">
        <f t="shared" si="4"/>
        <v>28.706007972259027</v>
      </c>
      <c r="M28" s="1165">
        <f t="shared" si="4"/>
        <v>28.418639555319498</v>
      </c>
      <c r="N28" s="1165">
        <f t="shared" si="4"/>
        <v>28.249929169723874</v>
      </c>
      <c r="O28" s="1165">
        <f t="shared" si="4"/>
        <v>28.419075026857236</v>
      </c>
      <c r="P28" s="1165">
        <f t="shared" si="4"/>
        <v>28.425708043029843</v>
      </c>
      <c r="Q28" s="1165" t="e">
        <f t="shared" si="4"/>
        <v>#DIV/0!</v>
      </c>
    </row>
    <row r="29" spans="1:17" ht="9.75" customHeight="1" x14ac:dyDescent="0.25">
      <c r="A29" s="1123" t="s">
        <v>584</v>
      </c>
      <c r="B29" s="1123"/>
      <c r="C29" s="1165"/>
      <c r="D29" s="1165"/>
      <c r="E29" s="1165"/>
      <c r="F29" s="1165"/>
      <c r="G29" s="1165"/>
      <c r="H29" s="1166"/>
      <c r="I29" s="1167"/>
      <c r="J29" s="1165"/>
      <c r="K29" s="1165"/>
      <c r="L29" s="1165"/>
      <c r="M29" s="1165"/>
      <c r="N29" s="1165"/>
      <c r="O29" s="1165"/>
      <c r="P29" s="1165"/>
      <c r="Q29" s="1165"/>
    </row>
    <row r="30" spans="1:17" ht="30" customHeight="1" x14ac:dyDescent="0.25">
      <c r="A30" s="233"/>
      <c r="B30" s="233"/>
      <c r="C30" s="1165"/>
      <c r="D30" s="1165"/>
      <c r="E30" s="1165"/>
      <c r="F30" s="1165"/>
      <c r="G30" s="1165"/>
      <c r="H30" s="1166"/>
      <c r="I30" s="1167"/>
      <c r="J30" s="1165"/>
      <c r="K30" s="1165"/>
      <c r="L30" s="1165"/>
      <c r="M30" s="1165"/>
      <c r="N30" s="1165"/>
      <c r="O30" s="1165"/>
      <c r="P30" s="1165"/>
      <c r="Q30" s="1165"/>
    </row>
    <row r="31" spans="1:17" ht="15" customHeight="1" x14ac:dyDescent="0.25">
      <c r="A31" s="1122" t="s">
        <v>149</v>
      </c>
      <c r="B31" s="1122"/>
      <c r="C31" s="1165">
        <v>100</v>
      </c>
      <c r="D31" s="1168">
        <f>(D26/$C$26)*100</f>
        <v>99.062771166701864</v>
      </c>
      <c r="E31" s="1168">
        <f>(E26/$C$26)*100</f>
        <v>98.790658949357464</v>
      </c>
      <c r="F31" s="1168">
        <f>(F26/$C$26)*100</f>
        <v>98.066536815874954</v>
      </c>
      <c r="G31" s="1168">
        <f>(G26/$C$26)*100</f>
        <v>102.95267534495255</v>
      </c>
      <c r="H31" s="1166"/>
      <c r="I31" s="1169">
        <f t="shared" ref="I31:Q31" si="5">(I26/$C$26)*100</f>
        <v>108.15747934851485</v>
      </c>
      <c r="J31" s="1168">
        <f t="shared" si="5"/>
        <v>117.99319514297619</v>
      </c>
      <c r="K31" s="1168">
        <f t="shared" si="5"/>
        <v>120.93753924781208</v>
      </c>
      <c r="L31" s="1168">
        <f t="shared" si="5"/>
        <v>126.59142742151866</v>
      </c>
      <c r="M31" s="1168">
        <f t="shared" si="5"/>
        <v>133.56979545467519</v>
      </c>
      <c r="N31" s="1168">
        <f t="shared" si="5"/>
        <v>137.52019478332352</v>
      </c>
      <c r="O31" s="1168">
        <f t="shared" si="5"/>
        <v>141.51011844276098</v>
      </c>
      <c r="P31" s="1168">
        <f t="shared" si="5"/>
        <v>142.73143007609792</v>
      </c>
      <c r="Q31" s="1168">
        <f t="shared" si="5"/>
        <v>0</v>
      </c>
    </row>
    <row r="32" spans="1:17" ht="15" customHeight="1" x14ac:dyDescent="0.25">
      <c r="A32" s="925" t="s">
        <v>575</v>
      </c>
      <c r="B32" s="1122"/>
      <c r="C32" s="267"/>
      <c r="D32" s="267"/>
      <c r="E32" s="267"/>
      <c r="F32" s="267"/>
      <c r="G32" s="267"/>
      <c r="H32" s="267"/>
      <c r="I32" s="233"/>
    </row>
    <row r="33" spans="1:72" ht="15" customHeight="1" x14ac:dyDescent="0.25">
      <c r="A33" s="562" t="s">
        <v>586</v>
      </c>
      <c r="B33" s="1122"/>
      <c r="C33" s="1982" t="s">
        <v>585</v>
      </c>
      <c r="D33" s="1983"/>
      <c r="E33" s="1983"/>
      <c r="F33" s="1983"/>
      <c r="G33" s="1983"/>
      <c r="H33" s="1984"/>
      <c r="I33" s="1170"/>
      <c r="J33" s="1171"/>
      <c r="K33" s="1172"/>
      <c r="L33" s="1172"/>
      <c r="M33" s="1172"/>
      <c r="N33" s="1172"/>
      <c r="O33" s="1172"/>
      <c r="P33" s="1172"/>
      <c r="Q33" s="1173"/>
    </row>
    <row r="34" spans="1:72" ht="15" customHeight="1" x14ac:dyDescent="0.25">
      <c r="A34" s="1991" t="s">
        <v>587</v>
      </c>
      <c r="B34" s="1122"/>
      <c r="C34" s="1985"/>
      <c r="D34" s="1986"/>
      <c r="E34" s="1986"/>
      <c r="F34" s="1986"/>
      <c r="G34" s="1986"/>
      <c r="H34" s="1987"/>
      <c r="I34" s="1170"/>
      <c r="J34" s="1123" t="s">
        <v>578</v>
      </c>
      <c r="K34" s="1172"/>
      <c r="L34" s="1172"/>
      <c r="M34" s="1172"/>
      <c r="N34" s="1172"/>
      <c r="O34" s="1172"/>
      <c r="P34" s="1172"/>
    </row>
    <row r="35" spans="1:72" ht="15" customHeight="1" x14ac:dyDescent="0.25">
      <c r="A35" s="1991"/>
      <c r="B35" s="1122"/>
      <c r="C35" s="1985"/>
      <c r="D35" s="1986"/>
      <c r="E35" s="1986"/>
      <c r="F35" s="1986"/>
      <c r="G35" s="1986"/>
      <c r="H35" s="1987"/>
      <c r="I35" s="1170"/>
      <c r="J35" s="1123" t="s">
        <v>582</v>
      </c>
      <c r="K35" s="1172"/>
      <c r="L35" s="1172"/>
      <c r="M35" s="1172"/>
      <c r="N35" s="1172"/>
      <c r="O35" s="1172"/>
      <c r="P35" s="1172"/>
    </row>
    <row r="36" spans="1:72" ht="15" customHeight="1" x14ac:dyDescent="0.25">
      <c r="A36" s="1174"/>
      <c r="B36" s="233"/>
      <c r="C36" s="1985"/>
      <c r="D36" s="1986"/>
      <c r="E36" s="1986"/>
      <c r="F36" s="1986"/>
      <c r="G36" s="1986"/>
      <c r="H36" s="1987"/>
      <c r="I36" s="1170"/>
      <c r="J36" s="1123" t="s">
        <v>583</v>
      </c>
      <c r="K36" s="1172"/>
      <c r="L36" s="1172"/>
      <c r="M36" s="1172"/>
      <c r="N36" s="1172"/>
      <c r="O36" s="1172"/>
      <c r="P36" s="1172"/>
    </row>
    <row r="37" spans="1:72" ht="15" customHeight="1" x14ac:dyDescent="0.25">
      <c r="A37" s="1122" t="s">
        <v>588</v>
      </c>
      <c r="B37" s="1122"/>
      <c r="C37" s="1985"/>
      <c r="D37" s="1986"/>
      <c r="E37" s="1986"/>
      <c r="F37" s="1986"/>
      <c r="G37" s="1986"/>
      <c r="H37" s="1987"/>
      <c r="I37" s="1170"/>
      <c r="J37" s="1171"/>
      <c r="K37" s="1172"/>
      <c r="L37" s="1172"/>
      <c r="M37" s="1172"/>
      <c r="N37" s="1172"/>
      <c r="O37" s="1172"/>
      <c r="P37" s="1172"/>
    </row>
    <row r="38" spans="1:72" ht="15" customHeight="1" x14ac:dyDescent="0.25">
      <c r="A38" s="1123" t="s">
        <v>589</v>
      </c>
      <c r="B38" s="1123"/>
      <c r="C38" s="1985"/>
      <c r="D38" s="1986"/>
      <c r="E38" s="1986"/>
      <c r="F38" s="1986"/>
      <c r="G38" s="1986"/>
      <c r="H38" s="1987"/>
    </row>
    <row r="39" spans="1:72" x14ac:dyDescent="0.25">
      <c r="A39" s="1123"/>
      <c r="B39" s="1123"/>
      <c r="C39" s="1985"/>
      <c r="D39" s="1986"/>
      <c r="E39" s="1986"/>
      <c r="F39" s="1986"/>
      <c r="G39" s="1986"/>
      <c r="H39" s="1987"/>
    </row>
    <row r="40" spans="1:72" x14ac:dyDescent="0.25">
      <c r="A40" s="1123" t="s">
        <v>590</v>
      </c>
      <c r="B40" s="1123"/>
      <c r="C40" s="1985"/>
      <c r="D40" s="1986"/>
      <c r="E40" s="1986"/>
      <c r="F40" s="1986"/>
      <c r="G40" s="1986"/>
      <c r="H40" s="1987"/>
    </row>
    <row r="41" spans="1:72" x14ac:dyDescent="0.25">
      <c r="A41" s="233"/>
      <c r="B41" s="1123"/>
      <c r="C41" s="1985"/>
      <c r="D41" s="1986"/>
      <c r="E41" s="1986"/>
      <c r="F41" s="1986"/>
      <c r="G41" s="1986"/>
      <c r="H41" s="1987"/>
    </row>
    <row r="42" spans="1:72" x14ac:dyDescent="0.25">
      <c r="A42" s="1122" t="s">
        <v>231</v>
      </c>
      <c r="B42" s="1123"/>
      <c r="C42" s="1985"/>
      <c r="D42" s="1986"/>
      <c r="E42" s="1986"/>
      <c r="F42" s="1986"/>
      <c r="G42" s="1986"/>
      <c r="H42" s="1987"/>
    </row>
    <row r="43" spans="1:72" s="387" customFormat="1" x14ac:dyDescent="0.25">
      <c r="A43" s="925"/>
      <c r="B43" s="1123"/>
      <c r="C43" s="1985"/>
      <c r="D43" s="1986"/>
      <c r="E43" s="1986"/>
      <c r="F43" s="1986"/>
      <c r="G43" s="1986"/>
      <c r="H43" s="1987"/>
      <c r="I43" s="267"/>
      <c r="J43" s="267"/>
      <c r="K43" s="267"/>
      <c r="L43" s="267"/>
      <c r="M43" s="267"/>
      <c r="N43" s="267"/>
      <c r="O43" s="267"/>
      <c r="P43" s="267"/>
      <c r="Q43" s="267"/>
      <c r="R43" s="267"/>
      <c r="S43" s="267"/>
      <c r="T43" s="267"/>
      <c r="U43" s="267"/>
      <c r="V43" s="267"/>
      <c r="W43" s="267"/>
      <c r="X43" s="267"/>
      <c r="Y43" s="267"/>
      <c r="Z43" s="267"/>
      <c r="AA43" s="267"/>
      <c r="AB43" s="267"/>
      <c r="AC43" s="267"/>
      <c r="AD43" s="267"/>
      <c r="AE43" s="267"/>
      <c r="AF43" s="267"/>
      <c r="AG43" s="267"/>
      <c r="AH43" s="267"/>
      <c r="AI43" s="267"/>
      <c r="AJ43" s="267"/>
      <c r="AK43" s="267"/>
      <c r="AL43" s="267"/>
      <c r="AM43" s="267"/>
      <c r="AN43" s="267"/>
      <c r="AO43" s="267"/>
      <c r="AP43" s="267"/>
      <c r="AQ43" s="267"/>
      <c r="AR43" s="267"/>
      <c r="AS43" s="521"/>
      <c r="AT43" s="521"/>
      <c r="AU43" s="521"/>
      <c r="AV43" s="521"/>
      <c r="AW43" s="521"/>
      <c r="AX43" s="521"/>
      <c r="AY43" s="521"/>
      <c r="AZ43" s="521"/>
      <c r="BA43" s="521"/>
      <c r="BB43" s="521"/>
      <c r="BC43" s="521"/>
      <c r="BD43" s="521"/>
      <c r="BE43" s="521"/>
      <c r="BF43" s="521"/>
      <c r="BG43" s="521"/>
      <c r="BH43" s="521"/>
      <c r="BI43" s="521"/>
      <c r="BJ43" s="521"/>
      <c r="BK43" s="521"/>
      <c r="BL43" s="521"/>
      <c r="BM43" s="521"/>
      <c r="BN43" s="521"/>
      <c r="BO43" s="521"/>
      <c r="BP43" s="521"/>
      <c r="BQ43" s="521"/>
      <c r="BR43" s="521"/>
      <c r="BS43" s="521"/>
      <c r="BT43" s="521"/>
    </row>
    <row r="44" spans="1:72" s="1121" customFormat="1" ht="36" customHeight="1" x14ac:dyDescent="0.25">
      <c r="A44" s="1122" t="s">
        <v>591</v>
      </c>
      <c r="B44" s="1123"/>
      <c r="C44" s="1985"/>
      <c r="D44" s="1986"/>
      <c r="E44" s="1986"/>
      <c r="F44" s="1986"/>
      <c r="G44" s="1986"/>
      <c r="H44" s="1987"/>
      <c r="I44" s="267"/>
      <c r="J44" s="267"/>
      <c r="K44" s="267"/>
      <c r="L44" s="267"/>
      <c r="M44" s="267"/>
      <c r="N44" s="267"/>
      <c r="O44" s="267"/>
      <c r="P44" s="267"/>
      <c r="Q44" s="267"/>
      <c r="R44" s="267"/>
      <c r="S44" s="267"/>
      <c r="T44" s="267"/>
      <c r="U44" s="267"/>
      <c r="V44" s="267"/>
      <c r="W44" s="267"/>
      <c r="X44" s="267"/>
      <c r="Y44" s="267"/>
      <c r="Z44" s="267"/>
      <c r="AA44" s="267"/>
      <c r="AB44" s="267"/>
      <c r="AC44" s="267"/>
      <c r="AD44" s="267"/>
      <c r="AE44" s="267"/>
      <c r="AF44" s="267"/>
      <c r="AG44" s="267"/>
      <c r="AH44" s="267"/>
      <c r="AI44" s="267"/>
      <c r="AJ44" s="267"/>
      <c r="AK44" s="267"/>
      <c r="AL44" s="267"/>
      <c r="AM44" s="267"/>
      <c r="AN44" s="267"/>
      <c r="AO44" s="267"/>
      <c r="AP44" s="267"/>
      <c r="AQ44" s="267"/>
      <c r="AR44" s="267"/>
      <c r="AS44" s="1120"/>
      <c r="AT44" s="1120"/>
      <c r="AU44" s="1120"/>
      <c r="AV44" s="1120"/>
      <c r="AW44" s="1120"/>
      <c r="AX44" s="1120"/>
      <c r="AY44" s="1120"/>
      <c r="AZ44" s="1120"/>
      <c r="BA44" s="1120"/>
      <c r="BB44" s="1120"/>
      <c r="BC44" s="1120"/>
      <c r="BD44" s="1120"/>
      <c r="BE44" s="1120"/>
      <c r="BF44" s="1120"/>
      <c r="BG44" s="1120"/>
      <c r="BH44" s="1120"/>
      <c r="BI44" s="1120"/>
      <c r="BJ44" s="1120"/>
      <c r="BK44" s="1120"/>
      <c r="BL44" s="1120"/>
      <c r="BM44" s="1120"/>
      <c r="BN44" s="1120"/>
      <c r="BO44" s="1120"/>
      <c r="BP44" s="1120"/>
      <c r="BQ44" s="1120"/>
      <c r="BR44" s="1120"/>
      <c r="BS44" s="1120"/>
      <c r="BT44" s="1120"/>
    </row>
    <row r="45" spans="1:72" ht="9.9499999999999993" customHeight="1" x14ac:dyDescent="0.25">
      <c r="A45" s="1123"/>
      <c r="B45" s="1123"/>
      <c r="C45" s="1985"/>
      <c r="D45" s="1986"/>
      <c r="E45" s="1986"/>
      <c r="F45" s="1986"/>
      <c r="G45" s="1986"/>
      <c r="H45" s="1987"/>
    </row>
    <row r="46" spans="1:72" x14ac:dyDescent="0.25">
      <c r="C46" s="1988"/>
      <c r="D46" s="1989"/>
      <c r="E46" s="1989"/>
      <c r="F46" s="1989"/>
      <c r="G46" s="1989"/>
      <c r="H46" s="1990"/>
    </row>
    <row r="47" spans="1:72" x14ac:dyDescent="0.25">
      <c r="C47" s="1175"/>
      <c r="D47" s="1175"/>
      <c r="E47" s="1175"/>
      <c r="F47" s="1175"/>
      <c r="G47" s="1175"/>
      <c r="H47" s="1175"/>
      <c r="AC47" s="521"/>
      <c r="AD47" s="521"/>
      <c r="AE47" s="521"/>
      <c r="AF47" s="521"/>
      <c r="AG47" s="521"/>
      <c r="AH47" s="521"/>
      <c r="AI47" s="521"/>
      <c r="AJ47" s="521"/>
      <c r="AK47" s="521"/>
      <c r="AL47" s="521"/>
      <c r="AM47" s="521"/>
      <c r="AN47" s="521"/>
      <c r="AO47" s="521"/>
      <c r="AP47" s="521"/>
      <c r="AQ47" s="521"/>
      <c r="AR47" s="521"/>
    </row>
    <row r="48" spans="1:72" x14ac:dyDescent="0.25">
      <c r="C48" s="657">
        <v>11.210816000000001</v>
      </c>
      <c r="D48" s="233">
        <v>11.105745000000001</v>
      </c>
      <c r="E48" s="233">
        <v>11.075239</v>
      </c>
      <c r="F48" s="233">
        <v>10.994059</v>
      </c>
      <c r="G48" s="233">
        <v>11.541834999999999</v>
      </c>
      <c r="H48" s="233">
        <v>12.148108000000001</v>
      </c>
      <c r="R48" s="521"/>
      <c r="S48" s="521"/>
      <c r="T48" s="521"/>
      <c r="U48" s="521"/>
      <c r="V48" s="521"/>
      <c r="W48" s="521"/>
      <c r="X48" s="521"/>
      <c r="Y48" s="521"/>
      <c r="Z48" s="521"/>
      <c r="AA48" s="521"/>
      <c r="AB48" s="521"/>
      <c r="AC48" s="1120"/>
      <c r="AD48" s="1120"/>
      <c r="AE48" s="1120"/>
      <c r="AF48" s="1120"/>
      <c r="AG48" s="1120"/>
      <c r="AH48" s="1120"/>
      <c r="AI48" s="1120"/>
      <c r="AJ48" s="1120"/>
      <c r="AK48" s="1120"/>
      <c r="AL48" s="1120"/>
      <c r="AM48" s="1120"/>
      <c r="AN48" s="1120"/>
      <c r="AO48" s="1120"/>
      <c r="AP48" s="1120"/>
      <c r="AQ48" s="1120"/>
      <c r="AR48" s="1120"/>
    </row>
    <row r="49" spans="1:28" x14ac:dyDescent="0.25">
      <c r="H49" s="267">
        <v>12.125336000000001</v>
      </c>
      <c r="I49" s="267">
        <v>12.443735</v>
      </c>
      <c r="J49" s="267">
        <v>13.155729000000001</v>
      </c>
      <c r="K49" s="267">
        <v>13.558084999999998</v>
      </c>
      <c r="L49" s="267">
        <v>14.191932000000001</v>
      </c>
      <c r="M49" s="267">
        <v>14.974264000000002</v>
      </c>
      <c r="N49" s="267">
        <v>15.417135999999999</v>
      </c>
      <c r="O49" s="267">
        <v>15.864439000000001</v>
      </c>
      <c r="P49" s="267">
        <v>16.001358</v>
      </c>
      <c r="R49" s="1120"/>
      <c r="S49" s="1120"/>
      <c r="T49" s="1120"/>
      <c r="U49" s="1120"/>
      <c r="V49" s="1120"/>
      <c r="W49" s="1120"/>
      <c r="X49" s="1120"/>
      <c r="Y49" s="1120"/>
      <c r="Z49" s="1120"/>
      <c r="AA49" s="1120"/>
      <c r="AB49" s="1120"/>
    </row>
    <row r="50" spans="1:28" x14ac:dyDescent="0.25">
      <c r="A50" s="1979" t="s">
        <v>574</v>
      </c>
      <c r="B50" s="1111"/>
    </row>
    <row r="51" spans="1:28" x14ac:dyDescent="0.25">
      <c r="A51" s="1980"/>
      <c r="B51" s="1116"/>
    </row>
    <row r="52" spans="1:28" x14ac:dyDescent="0.25">
      <c r="A52" s="233"/>
      <c r="B52" s="233"/>
      <c r="C52" s="1176" t="s">
        <v>73</v>
      </c>
      <c r="D52" s="1114" t="s">
        <v>74</v>
      </c>
      <c r="E52" s="1114" t="s">
        <v>75</v>
      </c>
      <c r="F52" s="1114" t="s">
        <v>76</v>
      </c>
      <c r="G52" s="1114" t="s">
        <v>4</v>
      </c>
      <c r="H52" s="1114" t="s">
        <v>5</v>
      </c>
      <c r="I52" s="1114" t="s">
        <v>6</v>
      </c>
      <c r="J52" s="1114" t="s">
        <v>572</v>
      </c>
      <c r="K52" s="1114" t="s">
        <v>573</v>
      </c>
      <c r="L52" s="521"/>
      <c r="M52" s="521"/>
      <c r="N52" s="521"/>
      <c r="O52" s="521"/>
      <c r="P52" s="521"/>
      <c r="Q52" s="521"/>
    </row>
    <row r="53" spans="1:28" ht="30" x14ac:dyDescent="0.25">
      <c r="A53" s="1122" t="s">
        <v>576</v>
      </c>
      <c r="B53" s="1122"/>
      <c r="C53" s="1117" t="s">
        <v>575</v>
      </c>
      <c r="D53" s="1118" t="s">
        <v>575</v>
      </c>
      <c r="E53" s="1118" t="s">
        <v>575</v>
      </c>
      <c r="F53" s="1118" t="s">
        <v>575</v>
      </c>
      <c r="G53" s="1118" t="s">
        <v>575</v>
      </c>
      <c r="H53" s="1118" t="s">
        <v>575</v>
      </c>
      <c r="I53" s="1118" t="s">
        <v>575</v>
      </c>
      <c r="J53" s="1118" t="s">
        <v>575</v>
      </c>
      <c r="K53" s="1118" t="s">
        <v>575</v>
      </c>
      <c r="L53" s="1120"/>
      <c r="M53" s="1120"/>
      <c r="N53" s="1120"/>
      <c r="O53" s="1120"/>
      <c r="P53" s="1120"/>
      <c r="Q53" s="1120"/>
    </row>
    <row r="54" spans="1:28" ht="19.5" customHeight="1" x14ac:dyDescent="0.25">
      <c r="A54" s="1177" t="s">
        <v>578</v>
      </c>
      <c r="B54" s="1177"/>
      <c r="H54" s="267"/>
    </row>
    <row r="55" spans="1:28" x14ac:dyDescent="0.25">
      <c r="A55" s="925" t="s">
        <v>575</v>
      </c>
      <c r="H55" s="267"/>
    </row>
    <row r="56" spans="1:28" x14ac:dyDescent="0.25">
      <c r="A56" s="562" t="s">
        <v>586</v>
      </c>
      <c r="B56" s="562"/>
      <c r="H56" s="267"/>
    </row>
    <row r="57" spans="1:28" x14ac:dyDescent="0.25">
      <c r="A57" s="562" t="s">
        <v>579</v>
      </c>
      <c r="B57" s="562"/>
      <c r="C57" s="1178">
        <f>6401519/1000000</f>
        <v>6.4015190000000004</v>
      </c>
      <c r="D57" s="1127">
        <f>6433933/1000000</f>
        <v>6.4339329999999997</v>
      </c>
      <c r="E57" s="1128">
        <f>6864612/1000000</f>
        <v>6.8646120000000002</v>
      </c>
      <c r="F57" s="1128">
        <f>7194697/1000000</f>
        <v>7.1946969999999997</v>
      </c>
      <c r="G57" s="1129">
        <f>7598796/1000000</f>
        <v>7.5987960000000001</v>
      </c>
      <c r="H57" s="1130">
        <f>8148229/1000000</f>
        <v>8.1482290000000006</v>
      </c>
      <c r="I57" s="1130">
        <f>8465757/1000000</f>
        <v>8.465757</v>
      </c>
      <c r="J57" s="1130">
        <f>8755081/1000000</f>
        <v>8.7550810000000006</v>
      </c>
      <c r="K57" s="1130">
        <f>8947134/1000000</f>
        <v>8.9471340000000001</v>
      </c>
      <c r="O57" s="267">
        <v>8148229</v>
      </c>
      <c r="P57" s="267">
        <v>8465757</v>
      </c>
      <c r="Q57" s="267">
        <v>8947134</v>
      </c>
    </row>
    <row r="58" spans="1:28" x14ac:dyDescent="0.25">
      <c r="A58" s="562" t="s">
        <v>580</v>
      </c>
      <c r="B58" s="562"/>
      <c r="C58" s="1150">
        <v>936.82427679393004</v>
      </c>
      <c r="D58" s="1179">
        <v>1031</v>
      </c>
      <c r="E58" s="1173">
        <v>1041</v>
      </c>
      <c r="F58" s="1173">
        <v>1036</v>
      </c>
      <c r="G58" s="1172">
        <v>1091</v>
      </c>
      <c r="H58" s="1173">
        <v>1147</v>
      </c>
      <c r="I58" s="1173">
        <v>1227</v>
      </c>
      <c r="J58" s="1173">
        <v>1263</v>
      </c>
      <c r="K58" s="1173">
        <v>1287</v>
      </c>
      <c r="O58" s="267">
        <v>1147</v>
      </c>
      <c r="P58" s="267">
        <v>1227</v>
      </c>
      <c r="Q58" s="267">
        <v>1287</v>
      </c>
    </row>
    <row r="59" spans="1:28" ht="30" x14ac:dyDescent="0.25">
      <c r="A59" s="562" t="s">
        <v>581</v>
      </c>
      <c r="B59" s="562"/>
      <c r="C59" s="1133">
        <v>0.99357871155267996</v>
      </c>
      <c r="D59" s="1136">
        <v>0.99380000000000002</v>
      </c>
      <c r="E59" s="1137">
        <v>0.99470000000000003</v>
      </c>
      <c r="F59" s="1137">
        <v>0.99509999999999998</v>
      </c>
      <c r="G59" s="1138">
        <v>0.99719999999999998</v>
      </c>
      <c r="H59" s="1137">
        <v>0.99739999999999995</v>
      </c>
      <c r="I59" s="1137">
        <v>0.99760000000000004</v>
      </c>
      <c r="J59" s="1137">
        <v>0.99780000000000002</v>
      </c>
      <c r="K59" s="1137">
        <v>0.99780000000000002</v>
      </c>
      <c r="O59" s="267">
        <v>0.99739999999999995</v>
      </c>
      <c r="P59" s="267">
        <v>0.99760000000000004</v>
      </c>
      <c r="Q59" s="267">
        <v>0.99780000000000002</v>
      </c>
    </row>
    <row r="60" spans="1:28" ht="14.25" customHeight="1" x14ac:dyDescent="0.25">
      <c r="A60" s="562" t="s">
        <v>592</v>
      </c>
      <c r="B60" s="562"/>
      <c r="C60" s="1144">
        <v>23.544394482986274</v>
      </c>
      <c r="D60" s="1144">
        <v>23.745407097929938</v>
      </c>
      <c r="E60" s="1144">
        <v>23.651527511178436</v>
      </c>
      <c r="F60" s="1144">
        <v>23.592054258827055</v>
      </c>
      <c r="G60" s="1145">
        <v>23.156540730776808</v>
      </c>
      <c r="H60" s="1146">
        <v>23.2</v>
      </c>
      <c r="I60" s="1146">
        <v>23.4</v>
      </c>
      <c r="J60" s="1147">
        <v>23.4</v>
      </c>
      <c r="K60" s="1147">
        <v>23.3</v>
      </c>
    </row>
    <row r="61" spans="1:28" x14ac:dyDescent="0.25">
      <c r="A61" s="233"/>
      <c r="B61" s="233"/>
      <c r="C61" s="1180">
        <v>118.76313325009268</v>
      </c>
      <c r="D61" s="1180">
        <v>103.99765609930971</v>
      </c>
      <c r="E61" s="1180">
        <v>94.660675213690155</v>
      </c>
      <c r="F61" s="1180">
        <v>88.82571357765309</v>
      </c>
      <c r="G61" s="1181">
        <v>73.561353508047787</v>
      </c>
      <c r="H61" s="1146">
        <v>60</v>
      </c>
      <c r="I61" s="1146">
        <v>65</v>
      </c>
      <c r="J61" s="1147">
        <v>76</v>
      </c>
      <c r="K61" s="1147">
        <v>85</v>
      </c>
    </row>
    <row r="62" spans="1:28" x14ac:dyDescent="0.25">
      <c r="A62" s="1177" t="s">
        <v>582</v>
      </c>
      <c r="B62" s="1177"/>
      <c r="C62" s="1182">
        <v>77.848804008815989</v>
      </c>
      <c r="D62" s="1147">
        <v>71</v>
      </c>
      <c r="E62" s="1146">
        <v>67</v>
      </c>
      <c r="F62" s="1146">
        <v>65</v>
      </c>
      <c r="G62" s="1153">
        <v>57</v>
      </c>
      <c r="H62" s="1146">
        <v>51</v>
      </c>
      <c r="I62" s="1146">
        <v>57</v>
      </c>
      <c r="J62" s="1147">
        <v>62</v>
      </c>
      <c r="K62" s="1147">
        <v>67</v>
      </c>
    </row>
    <row r="63" spans="1:28" x14ac:dyDescent="0.25">
      <c r="A63" s="925" t="s">
        <v>575</v>
      </c>
      <c r="I63" s="1183"/>
    </row>
    <row r="64" spans="1:28" ht="30" customHeight="1" x14ac:dyDescent="0.25">
      <c r="A64" s="562" t="s">
        <v>586</v>
      </c>
      <c r="B64" s="562"/>
      <c r="H64" s="267"/>
    </row>
    <row r="65" spans="1:11" x14ac:dyDescent="0.25">
      <c r="A65" s="562" t="s">
        <v>579</v>
      </c>
      <c r="B65" s="562"/>
      <c r="C65" s="1184">
        <f>5723817/1000000</f>
        <v>5.7238170000000004</v>
      </c>
      <c r="D65" s="1127">
        <f>6009802/1000000</f>
        <v>6.0098019999999996</v>
      </c>
      <c r="E65" s="1128">
        <f>6291117/1000000</f>
        <v>6.2911169999999998</v>
      </c>
      <c r="F65" s="1128">
        <f>6363388/1000000</f>
        <v>6.3633879999999996</v>
      </c>
      <c r="G65" s="1129">
        <f>6593136/1000000</f>
        <v>6.5931360000000003</v>
      </c>
      <c r="H65" s="1130">
        <f>6826035/1000000</f>
        <v>6.8260350000000001</v>
      </c>
      <c r="I65" s="1130">
        <f>6951379/1000000</f>
        <v>6.9513790000000002</v>
      </c>
      <c r="J65" s="1159">
        <f>7109358/1000000</f>
        <v>7.1093580000000003</v>
      </c>
      <c r="K65" s="1159">
        <f>7054224/1000000</f>
        <v>7.0542239999999996</v>
      </c>
    </row>
    <row r="66" spans="1:11" ht="15" customHeight="1" x14ac:dyDescent="0.25">
      <c r="A66" s="562" t="s">
        <v>580</v>
      </c>
      <c r="B66" s="562"/>
      <c r="C66" s="1185">
        <v>1119.9951208146492</v>
      </c>
      <c r="D66" s="1147">
        <v>1210</v>
      </c>
      <c r="E66" s="1173">
        <v>1241</v>
      </c>
      <c r="F66" s="1173">
        <v>1244</v>
      </c>
      <c r="G66" s="1172">
        <v>1237</v>
      </c>
      <c r="H66" s="1173">
        <v>1354</v>
      </c>
      <c r="I66" s="1173">
        <v>1413</v>
      </c>
      <c r="J66" s="1179">
        <v>1460</v>
      </c>
      <c r="K66" s="1179">
        <v>1506</v>
      </c>
    </row>
    <row r="67" spans="1:11" x14ac:dyDescent="0.25">
      <c r="A67" s="233"/>
      <c r="B67" s="233"/>
      <c r="C67" s="1186">
        <v>0.9491543842159873</v>
      </c>
      <c r="D67" s="1136">
        <v>0.9516</v>
      </c>
      <c r="E67" s="1137">
        <v>0.95489999999999997</v>
      </c>
      <c r="F67" s="1137">
        <v>0.95650000000000002</v>
      </c>
      <c r="G67" s="1138">
        <v>0.95789999999999997</v>
      </c>
      <c r="H67" s="1137">
        <v>0.95850000000000002</v>
      </c>
      <c r="I67" s="1137">
        <v>0.9607</v>
      </c>
      <c r="J67" s="1136">
        <v>0.96050000000000002</v>
      </c>
      <c r="K67" s="1136">
        <v>0.96120000000000005</v>
      </c>
    </row>
    <row r="68" spans="1:11" ht="15" customHeight="1" x14ac:dyDescent="0.25">
      <c r="A68" s="1122" t="s">
        <v>149</v>
      </c>
      <c r="B68" s="1122"/>
      <c r="C68" s="1187">
        <v>33.824360604467714</v>
      </c>
      <c r="D68" s="1147">
        <v>34.1</v>
      </c>
      <c r="E68" s="1146">
        <v>34.299999999999997</v>
      </c>
      <c r="F68" s="1146">
        <v>34.6</v>
      </c>
      <c r="G68" s="1153">
        <v>34.700000000000003</v>
      </c>
      <c r="H68" s="1147">
        <v>34.4</v>
      </c>
      <c r="I68" s="1147">
        <v>34.6</v>
      </c>
      <c r="J68" s="1147">
        <v>34.799999999999997</v>
      </c>
      <c r="K68" s="1147">
        <v>34.700000000000003</v>
      </c>
    </row>
    <row r="69" spans="1:11" ht="15" customHeight="1" x14ac:dyDescent="0.25">
      <c r="A69" s="925" t="s">
        <v>575</v>
      </c>
      <c r="B69" s="1122"/>
      <c r="I69" s="1183"/>
    </row>
    <row r="70" spans="1:11" ht="15" customHeight="1" x14ac:dyDescent="0.25">
      <c r="A70" s="562" t="s">
        <v>586</v>
      </c>
      <c r="B70" s="1122"/>
      <c r="H70" s="267"/>
    </row>
    <row r="71" spans="1:11" ht="15" customHeight="1" x14ac:dyDescent="0.25">
      <c r="A71" s="1918" t="s">
        <v>587</v>
      </c>
      <c r="B71" s="1122"/>
      <c r="C71" s="1170">
        <v>50205073</v>
      </c>
      <c r="D71" s="1171">
        <v>52724302</v>
      </c>
      <c r="E71" s="1172">
        <v>60541477</v>
      </c>
      <c r="F71" s="1172">
        <v>63453507</v>
      </c>
      <c r="G71" s="1172">
        <v>69678564</v>
      </c>
      <c r="H71" s="1172">
        <v>74421017</v>
      </c>
      <c r="I71" s="1172">
        <v>76761100</v>
      </c>
      <c r="J71" s="1172">
        <v>81263904</v>
      </c>
      <c r="K71" s="1173">
        <v>75863819</v>
      </c>
    </row>
    <row r="72" spans="1:11" ht="15" customHeight="1" x14ac:dyDescent="0.25">
      <c r="A72" s="1918"/>
      <c r="B72" s="1122"/>
      <c r="C72" s="1188">
        <v>98.100088157645317</v>
      </c>
      <c r="D72" s="1147">
        <v>106</v>
      </c>
      <c r="E72" s="1146">
        <v>103</v>
      </c>
      <c r="F72" s="1146">
        <v>93</v>
      </c>
      <c r="G72" s="1153">
        <v>94</v>
      </c>
      <c r="H72" s="1146">
        <v>98</v>
      </c>
      <c r="I72" s="1146">
        <v>99</v>
      </c>
      <c r="J72" s="1147">
        <v>105</v>
      </c>
      <c r="K72" s="1189">
        <v>108</v>
      </c>
    </row>
    <row r="73" spans="1:11" ht="15" customHeight="1" x14ac:dyDescent="0.25">
      <c r="A73" s="233"/>
      <c r="B73" s="233"/>
      <c r="C73" s="1190">
        <v>8.3171414300353241</v>
      </c>
      <c r="D73" s="1147">
        <v>7.4</v>
      </c>
      <c r="E73" s="1146">
        <v>6.5</v>
      </c>
      <c r="F73" s="1146">
        <v>5.9</v>
      </c>
      <c r="G73" s="1191">
        <v>3.4</v>
      </c>
      <c r="H73" s="1191">
        <v>3.1</v>
      </c>
      <c r="I73" s="1191">
        <v>3.4</v>
      </c>
      <c r="J73" s="233"/>
    </row>
    <row r="74" spans="1:11" ht="18" customHeight="1" x14ac:dyDescent="0.25">
      <c r="A74" s="1122" t="s">
        <v>588</v>
      </c>
      <c r="B74" s="1122"/>
      <c r="C74" s="1190"/>
      <c r="D74" s="1147"/>
      <c r="E74" s="1146"/>
      <c r="F74" s="1146"/>
      <c r="G74" s="1191">
        <v>5.3</v>
      </c>
      <c r="H74" s="1191">
        <v>4.8</v>
      </c>
      <c r="I74" s="1191">
        <v>5.0999999999999996</v>
      </c>
      <c r="J74" s="267">
        <v>5.3</v>
      </c>
      <c r="K74" s="1189">
        <v>5.3</v>
      </c>
    </row>
    <row r="75" spans="1:11" ht="15" customHeight="1" x14ac:dyDescent="0.25">
      <c r="A75" s="1123" t="s">
        <v>589</v>
      </c>
      <c r="B75" s="1123"/>
    </row>
    <row r="76" spans="1:11" ht="15" customHeight="1" x14ac:dyDescent="0.25">
      <c r="A76" s="925" t="s">
        <v>575</v>
      </c>
    </row>
    <row r="77" spans="1:11" ht="15" customHeight="1" x14ac:dyDescent="0.25">
      <c r="A77" s="562" t="s">
        <v>586</v>
      </c>
      <c r="B77" s="562"/>
    </row>
    <row r="78" spans="1:11" ht="15" customHeight="1" x14ac:dyDescent="0.25">
      <c r="A78" s="562" t="s">
        <v>579</v>
      </c>
      <c r="B78" s="562"/>
      <c r="C78" s="1192">
        <v>47384</v>
      </c>
      <c r="D78" s="1179">
        <v>45624</v>
      </c>
      <c r="E78" s="1173">
        <v>41439</v>
      </c>
      <c r="F78" s="1173">
        <v>38408</v>
      </c>
      <c r="G78" s="1173">
        <v>33993</v>
      </c>
      <c r="H78" s="1173">
        <v>25792</v>
      </c>
      <c r="I78" s="1193">
        <v>28143</v>
      </c>
      <c r="J78" s="1193">
        <v>30714</v>
      </c>
      <c r="K78" s="1193">
        <v>30882</v>
      </c>
    </row>
    <row r="79" spans="1:11" ht="15" customHeight="1" x14ac:dyDescent="0.25">
      <c r="A79" s="562" t="s">
        <v>580</v>
      </c>
      <c r="B79" s="562"/>
      <c r="C79" s="1192">
        <v>676.31744384765625</v>
      </c>
      <c r="D79" s="1147">
        <v>689</v>
      </c>
      <c r="E79" s="1146">
        <v>673</v>
      </c>
      <c r="F79" s="1146">
        <v>656</v>
      </c>
      <c r="G79" s="1173">
        <v>1141</v>
      </c>
      <c r="H79" s="1173">
        <v>1133</v>
      </c>
      <c r="I79" s="1193">
        <v>1195</v>
      </c>
      <c r="J79" s="1193">
        <v>1297</v>
      </c>
      <c r="K79" s="1193">
        <v>1318</v>
      </c>
    </row>
    <row r="80" spans="1:11" ht="18" customHeight="1" x14ac:dyDescent="0.25">
      <c r="A80" s="562" t="s">
        <v>581</v>
      </c>
      <c r="B80" s="562"/>
      <c r="C80" s="1186">
        <v>0.97781951713658621</v>
      </c>
      <c r="D80" s="1136">
        <v>0.97719999999999996</v>
      </c>
      <c r="E80" s="1137">
        <v>0.98009999999999997</v>
      </c>
      <c r="F80" s="1137">
        <v>0.98150000000000004</v>
      </c>
      <c r="G80" s="1137">
        <v>0.98640000000000005</v>
      </c>
      <c r="H80" s="1137">
        <v>0.98709999999999998</v>
      </c>
      <c r="I80" s="1133">
        <v>0.98609999999999998</v>
      </c>
      <c r="J80" s="1133">
        <v>0.98850000000000005</v>
      </c>
      <c r="K80" s="1133">
        <v>0.98899999999999999</v>
      </c>
    </row>
    <row r="81" spans="1:11" ht="15" customHeight="1" x14ac:dyDescent="0.25">
      <c r="A81" s="233"/>
      <c r="B81" s="233"/>
      <c r="C81" s="1187">
        <v>29.714760497677837</v>
      </c>
      <c r="D81" s="1147">
        <v>30.1</v>
      </c>
      <c r="E81" s="1146">
        <v>30</v>
      </c>
      <c r="F81" s="1146">
        <v>30.6</v>
      </c>
      <c r="G81" s="1146">
        <v>29.9</v>
      </c>
      <c r="H81" s="1146">
        <v>29</v>
      </c>
      <c r="I81" s="267">
        <v>29.4</v>
      </c>
      <c r="J81" s="267">
        <v>30.2</v>
      </c>
      <c r="K81" s="267">
        <v>31.2</v>
      </c>
    </row>
    <row r="82" spans="1:11" ht="15" customHeight="1" x14ac:dyDescent="0.25">
      <c r="A82" s="1123" t="s">
        <v>590</v>
      </c>
      <c r="B82" s="1123"/>
      <c r="C82" s="1188">
        <v>159.88211210535201</v>
      </c>
      <c r="D82" s="1147">
        <v>40</v>
      </c>
      <c r="E82" s="1146">
        <v>265</v>
      </c>
      <c r="F82" s="1146">
        <v>257</v>
      </c>
      <c r="G82" s="1146">
        <v>28</v>
      </c>
      <c r="H82" s="1146">
        <v>42</v>
      </c>
      <c r="I82" s="267">
        <v>28</v>
      </c>
      <c r="J82" s="267">
        <v>37</v>
      </c>
      <c r="K82" s="267">
        <v>37</v>
      </c>
    </row>
    <row r="83" spans="1:11" ht="15" customHeight="1" x14ac:dyDescent="0.25">
      <c r="A83" s="925" t="s">
        <v>575</v>
      </c>
      <c r="I83" s="1183"/>
    </row>
    <row r="84" spans="1:11" ht="15" customHeight="1" x14ac:dyDescent="0.25">
      <c r="A84" s="562" t="s">
        <v>586</v>
      </c>
      <c r="B84" s="562"/>
      <c r="C84" s="1194"/>
      <c r="D84" s="1194"/>
      <c r="E84" s="1194"/>
    </row>
    <row r="85" spans="1:11" ht="9.9499999999999993" customHeight="1" x14ac:dyDescent="0.25">
      <c r="A85" s="562" t="s">
        <v>579</v>
      </c>
      <c r="B85" s="562"/>
      <c r="C85" s="1192">
        <v>120789</v>
      </c>
      <c r="D85" s="1171">
        <v>123983</v>
      </c>
      <c r="E85" s="1172">
        <v>120203</v>
      </c>
      <c r="F85" s="1172">
        <v>115560</v>
      </c>
      <c r="G85" s="1172">
        <v>112475</v>
      </c>
      <c r="H85" s="1172">
        <v>109636</v>
      </c>
      <c r="I85" s="1193">
        <v>121610</v>
      </c>
      <c r="J85" s="1193">
        <v>125823</v>
      </c>
      <c r="K85" s="1193">
        <v>130654</v>
      </c>
    </row>
    <row r="86" spans="1:11" x14ac:dyDescent="0.25">
      <c r="A86" s="562" t="s">
        <v>580</v>
      </c>
      <c r="B86" s="562"/>
      <c r="C86" s="1192">
        <v>936.877197265625</v>
      </c>
      <c r="D86" s="1171">
        <v>1012</v>
      </c>
      <c r="E86" s="1172">
        <v>1012</v>
      </c>
      <c r="F86" s="1172">
        <v>1012</v>
      </c>
      <c r="G86" s="1172">
        <v>1364</v>
      </c>
      <c r="H86" s="1172">
        <v>1319</v>
      </c>
      <c r="I86" s="1195">
        <v>1365</v>
      </c>
      <c r="J86" s="1193">
        <v>1445</v>
      </c>
      <c r="K86" s="1195">
        <v>1489</v>
      </c>
    </row>
    <row r="87" spans="1:11" x14ac:dyDescent="0.25">
      <c r="A87" s="233"/>
      <c r="B87" s="233"/>
      <c r="C87" s="1186">
        <v>0.96743908799642353</v>
      </c>
      <c r="D87" s="1196">
        <v>0.96960000000000002</v>
      </c>
      <c r="E87" s="1138">
        <v>0.97219999999999995</v>
      </c>
      <c r="F87" s="1138">
        <v>0.9738</v>
      </c>
      <c r="G87" s="1138">
        <v>0.97650000000000003</v>
      </c>
      <c r="H87" s="1138">
        <v>0.97560000000000002</v>
      </c>
      <c r="I87" s="267">
        <v>0.9768</v>
      </c>
      <c r="J87" s="1193">
        <v>0.97629999999999995</v>
      </c>
      <c r="K87" s="267">
        <v>0.97699999999999998</v>
      </c>
    </row>
    <row r="88" spans="1:11" x14ac:dyDescent="0.25">
      <c r="A88" s="1177" t="s">
        <v>593</v>
      </c>
      <c r="B88" s="562"/>
      <c r="C88" s="1187">
        <v>28.060343564637844</v>
      </c>
      <c r="D88" s="1197">
        <v>28.7</v>
      </c>
      <c r="E88" s="1198">
        <v>28.9</v>
      </c>
      <c r="F88" s="1198">
        <v>29</v>
      </c>
      <c r="G88" s="1198">
        <v>27.7</v>
      </c>
      <c r="H88" s="1198">
        <v>27.3</v>
      </c>
      <c r="I88" s="267">
        <v>27.7</v>
      </c>
      <c r="J88" s="267">
        <v>27.8</v>
      </c>
      <c r="K88" s="267">
        <v>27.8</v>
      </c>
    </row>
    <row r="89" spans="1:11" ht="9.9499999999999993" customHeight="1" x14ac:dyDescent="0.25">
      <c r="A89" s="1918" t="s">
        <v>575</v>
      </c>
      <c r="B89" s="562"/>
      <c r="I89" s="1183"/>
    </row>
    <row r="90" spans="1:11" x14ac:dyDescent="0.25">
      <c r="A90" s="1918"/>
      <c r="B90" s="562"/>
      <c r="C90" s="1194"/>
      <c r="D90" s="1194"/>
      <c r="E90" s="1194"/>
      <c r="F90" s="1194"/>
    </row>
    <row r="91" spans="1:11" x14ac:dyDescent="0.25">
      <c r="A91" s="562" t="s">
        <v>586</v>
      </c>
      <c r="B91" s="562"/>
      <c r="C91" s="1199">
        <v>15168410</v>
      </c>
      <c r="D91" s="1200">
        <v>16389891</v>
      </c>
      <c r="E91" s="1201">
        <v>17738894</v>
      </c>
      <c r="F91" s="1201">
        <v>19259205</v>
      </c>
      <c r="G91" s="1201">
        <v>21751043</v>
      </c>
      <c r="H91" s="1201">
        <v>22674811</v>
      </c>
      <c r="I91" s="1193">
        <v>23440616</v>
      </c>
      <c r="J91" s="1193">
        <v>24341950</v>
      </c>
    </row>
    <row r="92" spans="1:11" x14ac:dyDescent="0.25">
      <c r="A92" s="233"/>
      <c r="B92" s="233"/>
      <c r="C92" s="1199"/>
      <c r="D92" s="1200"/>
      <c r="E92" s="1201"/>
      <c r="F92" s="1201"/>
      <c r="G92" s="1201"/>
      <c r="H92" s="1201"/>
      <c r="K92" s="1193">
        <v>222985622</v>
      </c>
    </row>
    <row r="93" spans="1:11" ht="14.25" customHeight="1" x14ac:dyDescent="0.25">
      <c r="A93" s="1122" t="s">
        <v>231</v>
      </c>
      <c r="B93" s="1122"/>
      <c r="C93" s="1202">
        <v>151.38751661466554</v>
      </c>
      <c r="D93" s="1147">
        <v>164</v>
      </c>
      <c r="E93" s="1146">
        <v>170</v>
      </c>
      <c r="F93" s="1146">
        <v>167</v>
      </c>
      <c r="G93" s="1146">
        <v>153</v>
      </c>
      <c r="H93" s="1146">
        <v>157</v>
      </c>
      <c r="I93" s="267">
        <v>161</v>
      </c>
      <c r="J93" s="267">
        <v>159</v>
      </c>
      <c r="K93" s="267">
        <v>27</v>
      </c>
    </row>
    <row r="94" spans="1:11" x14ac:dyDescent="0.25">
      <c r="A94" s="562" t="s">
        <v>575</v>
      </c>
      <c r="B94" s="1122"/>
    </row>
    <row r="95" spans="1:11" x14ac:dyDescent="0.25">
      <c r="A95" s="562" t="s">
        <v>586</v>
      </c>
      <c r="B95" s="1122"/>
    </row>
    <row r="96" spans="1:11" x14ac:dyDescent="0.25">
      <c r="A96" s="233"/>
      <c r="B96" s="233"/>
      <c r="C96" s="1170">
        <v>31342436</v>
      </c>
      <c r="D96" s="1179">
        <v>75673792</v>
      </c>
      <c r="E96" s="1173">
        <v>85092838</v>
      </c>
      <c r="F96" s="1173">
        <v>83895139</v>
      </c>
      <c r="G96" s="1173">
        <v>85470688</v>
      </c>
      <c r="H96" s="1173">
        <v>88513663</v>
      </c>
      <c r="I96" s="252">
        <v>92412727</v>
      </c>
      <c r="J96" s="267">
        <v>90724524</v>
      </c>
      <c r="K96" s="267">
        <v>78315576</v>
      </c>
    </row>
    <row r="97" spans="1:72" ht="9.9499999999999993" customHeight="1" x14ac:dyDescent="0.25">
      <c r="A97" s="1122" t="s">
        <v>591</v>
      </c>
      <c r="B97" s="1122"/>
      <c r="C97" s="1188">
        <v>88.640708544824221</v>
      </c>
      <c r="D97" s="1147">
        <v>39</v>
      </c>
      <c r="E97" s="1146">
        <v>38</v>
      </c>
      <c r="F97" s="1146">
        <v>40</v>
      </c>
      <c r="G97" s="1146">
        <v>42</v>
      </c>
      <c r="H97" s="1146">
        <v>45</v>
      </c>
      <c r="I97" s="1183">
        <v>46</v>
      </c>
      <c r="J97" s="267">
        <v>47</v>
      </c>
      <c r="K97" s="267">
        <v>50</v>
      </c>
    </row>
    <row r="98" spans="1:72" x14ac:dyDescent="0.25">
      <c r="A98" s="562" t="s">
        <v>575</v>
      </c>
      <c r="B98" s="1122"/>
      <c r="I98" s="1183"/>
    </row>
    <row r="99" spans="1:72" x14ac:dyDescent="0.25">
      <c r="A99" s="562" t="s">
        <v>586</v>
      </c>
      <c r="B99" s="1122"/>
      <c r="I99" s="1183"/>
    </row>
    <row r="100" spans="1:72" x14ac:dyDescent="0.25">
      <c r="A100" s="233"/>
      <c r="B100" s="233"/>
      <c r="C100" s="1170">
        <v>196620122</v>
      </c>
      <c r="D100" s="1170">
        <v>230116689</v>
      </c>
      <c r="E100" s="1170">
        <v>271833567</v>
      </c>
      <c r="F100" s="1170">
        <v>338198807</v>
      </c>
      <c r="G100" s="1203">
        <v>322095422</v>
      </c>
      <c r="H100" s="1203">
        <v>353159440</v>
      </c>
      <c r="I100" s="1203">
        <v>363730696</v>
      </c>
      <c r="J100" s="1203">
        <v>377563641</v>
      </c>
      <c r="K100" s="1203">
        <v>403539135</v>
      </c>
    </row>
    <row r="101" spans="1:72" ht="14.25" customHeight="1" x14ac:dyDescent="0.25">
      <c r="A101" s="1122" t="s">
        <v>218</v>
      </c>
      <c r="B101" s="1122"/>
      <c r="G101" s="1182"/>
      <c r="H101" s="1182"/>
      <c r="I101" s="1182"/>
      <c r="J101" s="1182"/>
      <c r="K101" s="1182"/>
    </row>
    <row r="102" spans="1:72" x14ac:dyDescent="0.25">
      <c r="A102" s="562" t="s">
        <v>594</v>
      </c>
      <c r="B102" s="1122"/>
      <c r="I102" s="1183"/>
    </row>
    <row r="103" spans="1:72" x14ac:dyDescent="0.25">
      <c r="A103" s="562" t="s">
        <v>586</v>
      </c>
      <c r="B103" s="1122"/>
      <c r="G103" s="1182"/>
      <c r="H103" s="1182"/>
      <c r="I103" s="1182"/>
      <c r="J103" s="1182"/>
      <c r="K103" s="1182"/>
    </row>
    <row r="104" spans="1:72" s="778" customFormat="1" x14ac:dyDescent="0.25">
      <c r="A104" s="233"/>
      <c r="B104" s="233"/>
      <c r="C104" s="1204">
        <v>262100</v>
      </c>
      <c r="D104" s="1205">
        <v>265600</v>
      </c>
      <c r="E104" s="1205">
        <v>283100</v>
      </c>
      <c r="F104" s="1206">
        <v>293000</v>
      </c>
      <c r="G104" s="1203">
        <f>292500000/1000</f>
        <v>292500</v>
      </c>
      <c r="H104" s="1207">
        <v>300400</v>
      </c>
      <c r="I104" s="1207">
        <v>300400</v>
      </c>
      <c r="J104" s="1207">
        <v>290041</v>
      </c>
      <c r="K104" s="1207">
        <v>303820</v>
      </c>
      <c r="L104" s="267"/>
      <c r="M104" s="267"/>
      <c r="N104" s="267"/>
      <c r="O104" s="267"/>
      <c r="P104" s="267"/>
      <c r="Q104" s="267"/>
      <c r="R104" s="267"/>
      <c r="S104" s="267"/>
      <c r="T104" s="267"/>
      <c r="U104" s="267"/>
      <c r="V104" s="267"/>
      <c r="W104" s="267"/>
      <c r="X104" s="267"/>
      <c r="Y104" s="267"/>
      <c r="Z104" s="267"/>
      <c r="AA104" s="267"/>
      <c r="AB104" s="267"/>
      <c r="AC104" s="267"/>
      <c r="AD104" s="267"/>
      <c r="AE104" s="267"/>
      <c r="AF104" s="267"/>
      <c r="AG104" s="267"/>
      <c r="AH104" s="267"/>
      <c r="AI104" s="267"/>
      <c r="AJ104" s="267"/>
      <c r="AK104" s="267"/>
      <c r="AL104" s="267"/>
      <c r="AM104" s="267"/>
      <c r="AN104" s="267"/>
      <c r="AO104" s="267"/>
      <c r="AP104" s="267"/>
      <c r="AQ104" s="267"/>
      <c r="AR104" s="267"/>
      <c r="AS104" s="1208"/>
      <c r="AT104" s="1208"/>
      <c r="AU104" s="1208"/>
      <c r="AV104" s="1208"/>
      <c r="AW104" s="1208"/>
      <c r="AX104" s="1208"/>
      <c r="AY104" s="1208"/>
      <c r="AZ104" s="1208"/>
      <c r="BA104" s="1208"/>
      <c r="BB104" s="1208"/>
      <c r="BC104" s="1208"/>
      <c r="BD104" s="1208"/>
      <c r="BE104" s="1208"/>
      <c r="BF104" s="1208"/>
      <c r="BG104" s="1208"/>
      <c r="BH104" s="1208"/>
      <c r="BI104" s="1208"/>
      <c r="BJ104" s="1208"/>
      <c r="BK104" s="1208"/>
      <c r="BL104" s="1208"/>
      <c r="BM104" s="1208"/>
      <c r="BN104" s="1208"/>
      <c r="BO104" s="1208"/>
      <c r="BP104" s="1208"/>
      <c r="BQ104" s="1208"/>
      <c r="BR104" s="1208"/>
      <c r="BS104" s="1208"/>
      <c r="BT104" s="1208"/>
    </row>
    <row r="105" spans="1:72" x14ac:dyDescent="0.25">
      <c r="A105" s="1122" t="s">
        <v>136</v>
      </c>
      <c r="C105" s="657">
        <v>18</v>
      </c>
      <c r="D105" s="1205">
        <v>20</v>
      </c>
      <c r="E105" s="1205">
        <v>20</v>
      </c>
      <c r="F105" s="1206">
        <v>25</v>
      </c>
      <c r="G105" s="1208">
        <v>26</v>
      </c>
      <c r="H105" s="1208">
        <v>27</v>
      </c>
      <c r="I105" s="1208">
        <v>28</v>
      </c>
      <c r="J105" s="1208">
        <v>29</v>
      </c>
      <c r="K105" s="1208">
        <v>33</v>
      </c>
    </row>
    <row r="106" spans="1:72" x14ac:dyDescent="0.25">
      <c r="A106" s="562" t="s">
        <v>594</v>
      </c>
      <c r="I106" s="1183"/>
    </row>
    <row r="107" spans="1:72" x14ac:dyDescent="0.25">
      <c r="A107" s="1211" t="s">
        <v>586</v>
      </c>
      <c r="B107" s="1197"/>
      <c r="G107" s="885"/>
    </row>
    <row r="108" spans="1:72" ht="15.75" thickBot="1" x14ac:dyDescent="0.3">
      <c r="A108" s="1214"/>
      <c r="B108" s="1214"/>
      <c r="C108" s="1204">
        <v>659400</v>
      </c>
      <c r="D108" s="1209">
        <v>691949</v>
      </c>
      <c r="E108" s="1210">
        <v>733011</v>
      </c>
      <c r="F108" s="1210">
        <v>762632</v>
      </c>
      <c r="G108" s="1210">
        <v>803297</v>
      </c>
      <c r="H108" s="1210">
        <v>852482</v>
      </c>
      <c r="I108" s="1210">
        <v>897727</v>
      </c>
      <c r="J108" s="1209">
        <v>936744</v>
      </c>
      <c r="K108" s="1210">
        <v>973382</v>
      </c>
      <c r="AC108" s="1208"/>
      <c r="AD108" s="1208"/>
      <c r="AE108" s="1208"/>
      <c r="AF108" s="1208"/>
      <c r="AG108" s="1208"/>
      <c r="AH108" s="1208"/>
      <c r="AI108" s="1208"/>
      <c r="AJ108" s="1208"/>
      <c r="AK108" s="1208"/>
      <c r="AL108" s="1208"/>
      <c r="AM108" s="1208"/>
      <c r="AN108" s="1208"/>
      <c r="AO108" s="1208"/>
      <c r="AP108" s="1208"/>
      <c r="AQ108" s="1208"/>
      <c r="AR108" s="1208"/>
    </row>
    <row r="109" spans="1:72" ht="15.75" thickTop="1" x14ac:dyDescent="0.25">
      <c r="C109" s="898">
        <v>12</v>
      </c>
      <c r="D109" s="1212">
        <v>12</v>
      </c>
      <c r="E109" s="1213">
        <v>11</v>
      </c>
      <c r="F109" s="1213">
        <v>11</v>
      </c>
      <c r="G109" s="1213">
        <v>10</v>
      </c>
      <c r="H109" s="1213">
        <v>10</v>
      </c>
      <c r="I109" s="1213">
        <v>10</v>
      </c>
      <c r="J109" s="1212">
        <v>9</v>
      </c>
      <c r="K109" s="1212">
        <v>9</v>
      </c>
      <c r="R109" s="778"/>
      <c r="S109" s="1208"/>
      <c r="T109" s="1208"/>
      <c r="U109" s="1208"/>
      <c r="V109" s="1208"/>
      <c r="W109" s="1208"/>
      <c r="X109" s="1208"/>
      <c r="Y109" s="1208"/>
      <c r="Z109" s="1208"/>
      <c r="AA109" s="1208"/>
      <c r="AB109" s="1208"/>
    </row>
    <row r="110" spans="1:72" ht="15.75" thickBot="1" x14ac:dyDescent="0.3">
      <c r="C110" s="1215"/>
      <c r="D110" s="1214"/>
      <c r="E110" s="1214"/>
      <c r="F110" s="1214"/>
      <c r="G110" s="1214"/>
      <c r="H110" s="1214"/>
      <c r="I110" s="1216"/>
      <c r="J110" s="1214"/>
      <c r="K110" s="1214"/>
    </row>
    <row r="111" spans="1:72" ht="15.75" thickTop="1" x14ac:dyDescent="0.25">
      <c r="A111" s="1220"/>
      <c r="B111" s="1220"/>
      <c r="D111" s="1217"/>
    </row>
    <row r="112" spans="1:72" x14ac:dyDescent="0.25">
      <c r="C112" s="1218"/>
      <c r="D112" s="1219"/>
      <c r="E112" s="1219"/>
      <c r="F112" s="1219"/>
      <c r="G112" s="1219"/>
      <c r="H112" s="1219"/>
      <c r="I112" s="1219"/>
      <c r="J112" s="1193"/>
    </row>
    <row r="113" spans="3:17" x14ac:dyDescent="0.25">
      <c r="C113" s="777"/>
      <c r="D113" s="778"/>
      <c r="E113" s="778"/>
      <c r="F113" s="778"/>
      <c r="G113" s="778"/>
      <c r="H113" s="778"/>
      <c r="I113" s="778"/>
      <c r="J113" s="778"/>
      <c r="K113" s="778"/>
      <c r="L113" s="778"/>
      <c r="M113" s="1208"/>
      <c r="N113" s="778"/>
      <c r="O113" s="778"/>
      <c r="P113" s="778"/>
      <c r="Q113" s="778"/>
    </row>
    <row r="114" spans="3:17" x14ac:dyDescent="0.25">
      <c r="L114" s="1193"/>
      <c r="M114" s="1193"/>
    </row>
    <row r="115" spans="3:17" x14ac:dyDescent="0.25">
      <c r="C115" s="898"/>
      <c r="D115" s="267"/>
      <c r="E115" s="267"/>
      <c r="F115" s="267"/>
      <c r="G115" s="1221"/>
      <c r="H115" s="1221"/>
      <c r="I115" s="1221"/>
      <c r="J115" s="1221"/>
      <c r="K115" s="1221"/>
    </row>
    <row r="116" spans="3:17" x14ac:dyDescent="0.25">
      <c r="C116" s="1218"/>
      <c r="D116" s="1219"/>
      <c r="E116" s="1219"/>
      <c r="F116" s="1219"/>
      <c r="G116" s="1221"/>
      <c r="H116" s="1221"/>
      <c r="I116" s="1221"/>
      <c r="J116" s="1221"/>
      <c r="K116" s="1221"/>
    </row>
    <row r="117" spans="3:17" x14ac:dyDescent="0.25">
      <c r="C117" s="1222"/>
      <c r="D117" s="1193"/>
      <c r="E117" s="1193"/>
      <c r="F117" s="1193"/>
      <c r="G117" s="1193"/>
      <c r="H117" s="1193"/>
      <c r="I117" s="1193"/>
    </row>
    <row r="118" spans="3:17" x14ac:dyDescent="0.25">
      <c r="C118" s="898"/>
      <c r="D118" s="267"/>
      <c r="E118" s="267"/>
      <c r="F118" s="267"/>
      <c r="G118" s="267"/>
      <c r="H118" s="267"/>
    </row>
  </sheetData>
  <mergeCells count="9">
    <mergeCell ref="A27:A28"/>
    <mergeCell ref="A71:A72"/>
    <mergeCell ref="A89:A90"/>
    <mergeCell ref="A3:A4"/>
    <mergeCell ref="H6:I7"/>
    <mergeCell ref="A11:A12"/>
    <mergeCell ref="C33:H46"/>
    <mergeCell ref="A34:A35"/>
    <mergeCell ref="A50:A51"/>
  </mergeCell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1"/>
  <dimension ref="A1:L95"/>
  <sheetViews>
    <sheetView showGridLines="0" showRowColHeaders="0" topLeftCell="A3" zoomScaleNormal="100" workbookViewId="0">
      <selection activeCell="Q15" sqref="Q15:R15"/>
    </sheetView>
  </sheetViews>
  <sheetFormatPr defaultRowHeight="15" x14ac:dyDescent="0.25"/>
  <cols>
    <col min="1" max="1" width="9.140625" style="233"/>
    <col min="2" max="2" width="20.7109375" style="233" customWidth="1"/>
    <col min="3" max="3" width="16.7109375" style="233" customWidth="1"/>
    <col min="4" max="4" width="8.7109375" style="233" customWidth="1"/>
    <col min="5" max="8" width="16.42578125" style="233" customWidth="1"/>
    <col min="9" max="9" width="17" style="233" customWidth="1"/>
    <col min="10" max="10" width="15.42578125" style="233" customWidth="1"/>
    <col min="11" max="11" width="28.28515625" style="233" customWidth="1"/>
    <col min="12" max="12" width="32.7109375" style="233" customWidth="1"/>
    <col min="13" max="13" width="16.28515625" style="233" customWidth="1"/>
    <col min="14" max="14" width="26.28515625" style="233" bestFit="1" customWidth="1"/>
    <col min="15" max="15" width="16.28515625" style="233" bestFit="1" customWidth="1"/>
    <col min="16" max="16" width="22.5703125" style="233" bestFit="1" customWidth="1"/>
    <col min="17" max="17" width="21.28515625" style="233" bestFit="1" customWidth="1"/>
    <col min="18" max="18" width="22.28515625" style="233" bestFit="1" customWidth="1"/>
    <col min="19" max="16384" width="9.140625" style="233"/>
  </cols>
  <sheetData>
    <row r="1" spans="1:11" x14ac:dyDescent="0.25">
      <c r="B1" s="658"/>
      <c r="C1" s="658"/>
      <c r="D1" s="658"/>
      <c r="E1" s="658"/>
    </row>
    <row r="2" spans="1:11" x14ac:dyDescent="0.25">
      <c r="B2" s="658"/>
      <c r="C2" s="658"/>
      <c r="D2" s="658"/>
      <c r="E2" s="658"/>
    </row>
    <row r="4" spans="1:11" ht="31.5" x14ac:dyDescent="0.5">
      <c r="B4" s="1224" t="s">
        <v>596</v>
      </c>
      <c r="C4" s="658"/>
      <c r="D4" s="658"/>
      <c r="E4" s="658"/>
      <c r="F4"/>
    </row>
    <row r="5" spans="1:11" x14ac:dyDescent="0.25">
      <c r="B5" s="276"/>
      <c r="C5" s="276"/>
      <c r="D5" s="276"/>
      <c r="E5" s="276"/>
      <c r="F5" s="276"/>
    </row>
    <row r="6" spans="1:11" ht="23.25" customHeight="1" x14ac:dyDescent="0.25">
      <c r="B6" s="627" t="s">
        <v>240</v>
      </c>
      <c r="C6" s="276"/>
      <c r="D6" s="276"/>
      <c r="E6" s="276"/>
      <c r="F6" s="276"/>
      <c r="H6" s="376"/>
      <c r="I6" s="376"/>
      <c r="J6" s="376"/>
    </row>
    <row r="7" spans="1:11" x14ac:dyDescent="0.25">
      <c r="B7" s="276"/>
      <c r="C7" s="276"/>
      <c r="D7" s="276"/>
      <c r="E7" s="276"/>
      <c r="F7" s="276"/>
      <c r="H7" s="376"/>
      <c r="I7" s="376"/>
      <c r="J7" s="376"/>
    </row>
    <row r="8" spans="1:11" ht="23.25" customHeight="1" x14ac:dyDescent="0.25">
      <c r="B8" s="627" t="s">
        <v>239</v>
      </c>
      <c r="C8" s="276"/>
      <c r="D8" s="276"/>
      <c r="E8" s="276"/>
      <c r="F8" s="276"/>
      <c r="G8" s="259"/>
      <c r="H8" s="259"/>
      <c r="I8" s="259"/>
      <c r="J8" s="259"/>
      <c r="K8" s="259"/>
    </row>
    <row r="9" spans="1:11" x14ac:dyDescent="0.25">
      <c r="B9" s="276" t="s">
        <v>238</v>
      </c>
      <c r="C9" s="276"/>
      <c r="D9" s="276"/>
      <c r="E9" s="276"/>
      <c r="F9" s="276"/>
      <c r="G9" s="259"/>
      <c r="H9" s="259"/>
      <c r="I9" s="259"/>
      <c r="J9" s="259"/>
      <c r="K9" s="259"/>
    </row>
    <row r="10" spans="1:11" x14ac:dyDescent="0.25">
      <c r="B10" s="267"/>
      <c r="C10" s="267"/>
      <c r="D10" s="267"/>
      <c r="E10" s="1257"/>
      <c r="F10" s="1257"/>
      <c r="G10" s="376"/>
      <c r="H10" s="376"/>
      <c r="I10" s="376"/>
      <c r="J10" s="376"/>
      <c r="K10" s="259"/>
    </row>
    <row r="11" spans="1:11" x14ac:dyDescent="0.25">
      <c r="A11" s="279"/>
      <c r="B11" s="676"/>
      <c r="C11" s="1260" t="s">
        <v>536</v>
      </c>
      <c r="D11" s="1261"/>
      <c r="E11" s="1262" t="s">
        <v>506</v>
      </c>
      <c r="F11" s="1262" t="s">
        <v>507</v>
      </c>
      <c r="G11" s="1262"/>
      <c r="H11" s="1018" t="s">
        <v>503</v>
      </c>
      <c r="I11" s="379"/>
      <c r="J11" s="379"/>
      <c r="K11" s="567"/>
    </row>
    <row r="12" spans="1:11" ht="39.950000000000003" customHeight="1" x14ac:dyDescent="0.25">
      <c r="A12" s="279"/>
      <c r="B12" s="1258" t="s">
        <v>576</v>
      </c>
      <c r="C12" s="1263">
        <f>'Reference Costs Output'!G73</f>
        <v>2.4447449647438058E-2</v>
      </c>
      <c r="D12" s="1266">
        <f>C12</f>
        <v>2.4447449647438058E-2</v>
      </c>
      <c r="E12" s="1250"/>
      <c r="F12" s="1250"/>
      <c r="G12" s="1018"/>
      <c r="H12" s="1018"/>
      <c r="I12" s="379"/>
      <c r="J12" s="379"/>
      <c r="K12" s="567"/>
    </row>
    <row r="13" spans="1:11" ht="39.950000000000003" customHeight="1" x14ac:dyDescent="0.25">
      <c r="A13" s="279"/>
      <c r="B13" s="1258" t="s">
        <v>614</v>
      </c>
      <c r="C13" s="1263">
        <f>H73</f>
        <v>3.0666420255953675E-2</v>
      </c>
      <c r="D13" s="1266">
        <f t="shared" ref="D13:D23" si="0">C13</f>
        <v>3.0666420255953675E-2</v>
      </c>
      <c r="E13" s="1250"/>
      <c r="F13" s="1250"/>
      <c r="G13" s="1018"/>
      <c r="H13" s="1018"/>
      <c r="I13" s="379"/>
      <c r="J13" s="379"/>
      <c r="K13" s="567"/>
    </row>
    <row r="14" spans="1:11" ht="39.950000000000003" customHeight="1" x14ac:dyDescent="0.25">
      <c r="A14" s="279"/>
      <c r="B14" s="1258" t="s">
        <v>149</v>
      </c>
      <c r="C14" s="1263">
        <f>G74</f>
        <v>-2.1093999999999946E-2</v>
      </c>
      <c r="D14" s="1266">
        <f t="shared" si="0"/>
        <v>-2.1093999999999946E-2</v>
      </c>
      <c r="E14" s="1250"/>
      <c r="F14" s="1250"/>
      <c r="G14" s="1018"/>
      <c r="H14" s="1018"/>
      <c r="I14" s="379"/>
      <c r="J14" s="379"/>
      <c r="K14" s="567"/>
    </row>
    <row r="15" spans="1:11" ht="39.950000000000003" customHeight="1" x14ac:dyDescent="0.25">
      <c r="A15" s="279"/>
      <c r="B15" s="1258" t="s">
        <v>615</v>
      </c>
      <c r="C15" s="1264">
        <f>H74</f>
        <v>0</v>
      </c>
      <c r="D15" s="1266">
        <f t="shared" si="0"/>
        <v>0</v>
      </c>
      <c r="E15" s="1251"/>
      <c r="F15" s="1252"/>
      <c r="G15" s="379"/>
      <c r="H15" s="379"/>
      <c r="I15" s="379"/>
      <c r="J15" s="379"/>
      <c r="K15" s="567"/>
    </row>
    <row r="16" spans="1:11" ht="39.950000000000003" customHeight="1" x14ac:dyDescent="0.25">
      <c r="A16" s="279"/>
      <c r="B16" s="1258" t="s">
        <v>588</v>
      </c>
      <c r="C16" s="1264">
        <f>G75</f>
        <v>0.54285910000000004</v>
      </c>
      <c r="D16" s="1266">
        <f t="shared" si="0"/>
        <v>0.54285910000000004</v>
      </c>
      <c r="E16" s="1251"/>
      <c r="F16" s="1252"/>
      <c r="G16" s="1251"/>
      <c r="H16" s="1251"/>
      <c r="I16" s="1253"/>
      <c r="J16" s="379"/>
      <c r="K16" s="567"/>
    </row>
    <row r="17" spans="1:12" ht="39.950000000000003" customHeight="1" x14ac:dyDescent="0.25">
      <c r="A17" s="279"/>
      <c r="B17" s="1258" t="s">
        <v>231</v>
      </c>
      <c r="C17" s="1264">
        <f>G76</f>
        <v>-9.9356699999999964E-2</v>
      </c>
      <c r="D17" s="1266">
        <f t="shared" si="0"/>
        <v>-9.9356699999999964E-2</v>
      </c>
      <c r="E17" s="1251"/>
      <c r="F17" s="1252"/>
      <c r="G17" s="1251"/>
      <c r="H17" s="1251"/>
      <c r="I17" s="1253"/>
      <c r="J17" s="379"/>
      <c r="K17" s="567"/>
    </row>
    <row r="18" spans="1:12" ht="39.950000000000003" customHeight="1" x14ac:dyDescent="0.25">
      <c r="A18" s="279"/>
      <c r="B18" s="1258" t="s">
        <v>591</v>
      </c>
      <c r="C18" s="1264">
        <f>G77</f>
        <v>4.7223874705979219E-2</v>
      </c>
      <c r="D18" s="1266">
        <f t="shared" si="0"/>
        <v>4.7223874705979219E-2</v>
      </c>
      <c r="E18" s="1251"/>
      <c r="F18" s="1252"/>
      <c r="G18" s="1251"/>
      <c r="H18" s="1251"/>
      <c r="I18" s="1253"/>
      <c r="J18" s="379"/>
      <c r="K18" s="567"/>
    </row>
    <row r="19" spans="1:12" ht="39.950000000000003" customHeight="1" x14ac:dyDescent="0.25">
      <c r="A19" s="279"/>
      <c r="B19" s="1258" t="s">
        <v>218</v>
      </c>
      <c r="C19" s="1264">
        <f>G78</f>
        <v>3.8461538461537215E-2</v>
      </c>
      <c r="D19" s="1266">
        <f t="shared" si="0"/>
        <v>3.8461538461537215E-2</v>
      </c>
      <c r="E19" s="1251"/>
      <c r="F19" s="1252"/>
      <c r="G19" s="1251"/>
      <c r="H19" s="1251"/>
      <c r="I19" s="1253"/>
      <c r="J19" s="379"/>
      <c r="K19" s="567"/>
    </row>
    <row r="20" spans="1:12" ht="39.950000000000003" customHeight="1" x14ac:dyDescent="0.25">
      <c r="A20" s="279"/>
      <c r="B20" s="1258" t="s">
        <v>616</v>
      </c>
      <c r="C20" s="1264">
        <f>H78</f>
        <v>3.8876198132661299E-2</v>
      </c>
      <c r="D20" s="1266">
        <f t="shared" si="0"/>
        <v>3.8876198132661299E-2</v>
      </c>
      <c r="E20" s="1251"/>
      <c r="F20" s="1252"/>
      <c r="G20" s="1251"/>
      <c r="H20" s="1251"/>
      <c r="I20" s="1253"/>
      <c r="J20" s="379"/>
      <c r="K20" s="567"/>
    </row>
    <row r="21" spans="1:12" ht="39.950000000000003" customHeight="1" x14ac:dyDescent="0.25">
      <c r="A21" s="279"/>
      <c r="B21" s="1258" t="s">
        <v>136</v>
      </c>
      <c r="C21" s="1264">
        <f>G79</f>
        <v>3.3495922606974426E-2</v>
      </c>
      <c r="D21" s="1266">
        <f t="shared" si="0"/>
        <v>3.3495922606974426E-2</v>
      </c>
      <c r="E21" s="1251"/>
      <c r="F21" s="1252"/>
      <c r="G21" s="1251"/>
      <c r="H21" s="1251"/>
      <c r="I21" s="1253"/>
      <c r="J21" s="379"/>
      <c r="K21" s="567"/>
    </row>
    <row r="22" spans="1:12" ht="39.950000000000003" customHeight="1" x14ac:dyDescent="0.25">
      <c r="A22" s="279"/>
      <c r="B22" s="1265" t="s">
        <v>605</v>
      </c>
      <c r="C22" s="727">
        <f>G81</f>
        <v>1.6799999999999999E-2</v>
      </c>
      <c r="D22" s="1266">
        <f t="shared" si="0"/>
        <v>1.6799999999999999E-2</v>
      </c>
      <c r="E22" s="379"/>
      <c r="F22" s="1254"/>
      <c r="G22" s="1251"/>
      <c r="H22" s="1251"/>
      <c r="I22" s="1253"/>
      <c r="J22" s="379"/>
      <c r="K22" s="567"/>
      <c r="L22" s="259"/>
    </row>
    <row r="23" spans="1:12" ht="30" customHeight="1" x14ac:dyDescent="0.25">
      <c r="A23" s="279"/>
      <c r="B23" s="1265" t="s">
        <v>617</v>
      </c>
      <c r="C23" s="727">
        <f>H81</f>
        <v>2.5100000000000001E-2</v>
      </c>
      <c r="D23" s="1266">
        <f t="shared" si="0"/>
        <v>2.5100000000000001E-2</v>
      </c>
      <c r="E23" s="279"/>
      <c r="F23" s="279"/>
      <c r="G23" s="567"/>
      <c r="H23" s="567"/>
      <c r="I23" s="567"/>
      <c r="J23" s="567"/>
      <c r="K23" s="960"/>
    </row>
    <row r="24" spans="1:12" ht="23.25" customHeight="1" x14ac:dyDescent="0.25">
      <c r="A24" s="279"/>
      <c r="B24" s="279"/>
      <c r="C24" s="279"/>
      <c r="D24" s="279"/>
      <c r="E24" s="279"/>
      <c r="F24" s="279"/>
      <c r="G24" s="567"/>
      <c r="H24" s="567"/>
      <c r="I24" s="960"/>
      <c r="J24" s="960"/>
      <c r="K24" s="1259"/>
    </row>
    <row r="25" spans="1:12" x14ac:dyDescent="0.25">
      <c r="A25" s="658"/>
      <c r="B25" s="658"/>
      <c r="C25" s="658"/>
      <c r="D25" s="658"/>
      <c r="E25" s="658"/>
      <c r="F25" s="658"/>
      <c r="G25" s="396"/>
      <c r="H25" s="658"/>
      <c r="I25" s="1080"/>
      <c r="J25" s="1080"/>
      <c r="K25" s="1082"/>
    </row>
    <row r="26" spans="1:12" ht="23.25" x14ac:dyDescent="0.25">
      <c r="A26" s="658"/>
      <c r="B26" s="658"/>
      <c r="C26" s="658"/>
      <c r="D26" s="658"/>
      <c r="E26" s="658"/>
      <c r="F26" s="658"/>
      <c r="G26" s="396"/>
      <c r="H26" s="658"/>
      <c r="I26" s="1081"/>
      <c r="J26" s="1082"/>
      <c r="K26" s="1082"/>
    </row>
    <row r="27" spans="1:12" ht="23.25" x14ac:dyDescent="0.25">
      <c r="A27" s="658"/>
      <c r="B27" s="658"/>
      <c r="C27" s="658"/>
      <c r="D27" s="658"/>
      <c r="E27" s="658"/>
      <c r="F27" s="658"/>
      <c r="G27" s="396"/>
      <c r="H27" s="658"/>
      <c r="I27" s="1081"/>
      <c r="J27" s="1082"/>
      <c r="K27" s="1082"/>
    </row>
    <row r="28" spans="1:12" ht="23.25" x14ac:dyDescent="0.25">
      <c r="A28" s="658"/>
      <c r="B28" s="658"/>
      <c r="C28" s="658"/>
      <c r="D28" s="658"/>
      <c r="E28" s="658"/>
      <c r="F28" s="658"/>
      <c r="G28" s="396"/>
      <c r="H28" s="658"/>
      <c r="I28" s="1081"/>
      <c r="J28" s="1082"/>
      <c r="K28" s="1082"/>
    </row>
    <row r="29" spans="1:12" ht="23.25" x14ac:dyDescent="0.25">
      <c r="A29" s="658"/>
      <c r="B29" s="658"/>
      <c r="C29" s="658"/>
      <c r="D29" s="658"/>
      <c r="E29" s="658"/>
      <c r="F29" s="658"/>
      <c r="G29" s="396"/>
      <c r="H29" s="658"/>
      <c r="I29" s="1081"/>
      <c r="J29" s="1082"/>
      <c r="K29" s="1082"/>
    </row>
    <row r="30" spans="1:12" x14ac:dyDescent="0.25">
      <c r="A30" s="699"/>
      <c r="B30" s="658"/>
      <c r="C30" s="658"/>
      <c r="D30" s="658"/>
      <c r="E30" s="658"/>
      <c r="F30" s="658"/>
      <c r="G30" s="396"/>
      <c r="H30" s="658"/>
      <c r="I30" s="1082"/>
      <c r="J30" s="1082"/>
      <c r="K30" s="1082"/>
    </row>
    <row r="31" spans="1:12" ht="23.25" customHeight="1" x14ac:dyDescent="0.25">
      <c r="A31" s="669"/>
      <c r="B31" s="658"/>
      <c r="C31" s="658"/>
      <c r="D31" s="658"/>
      <c r="E31" s="658"/>
      <c r="F31" s="658"/>
      <c r="G31" s="396"/>
      <c r="H31" s="658"/>
      <c r="I31" s="1082"/>
      <c r="J31" s="1082"/>
      <c r="K31" s="1082"/>
    </row>
    <row r="32" spans="1:12" x14ac:dyDescent="0.25">
      <c r="A32" s="669"/>
      <c r="B32" s="658"/>
      <c r="C32" s="658"/>
      <c r="D32" s="658"/>
      <c r="E32" s="658"/>
      <c r="F32" s="658"/>
      <c r="G32" s="396"/>
      <c r="H32" s="658"/>
      <c r="I32" s="396"/>
      <c r="J32" s="1082"/>
      <c r="K32" s="396"/>
    </row>
    <row r="33" spans="1:12" x14ac:dyDescent="0.25">
      <c r="A33" s="669"/>
      <c r="B33" s="658"/>
      <c r="C33" s="658"/>
      <c r="D33" s="658"/>
      <c r="E33" s="658"/>
      <c r="F33" s="658"/>
      <c r="G33" s="396"/>
      <c r="H33" s="658"/>
      <c r="I33" s="396"/>
      <c r="J33" s="396"/>
      <c r="K33" s="396"/>
    </row>
    <row r="34" spans="1:12" x14ac:dyDescent="0.25">
      <c r="A34" s="669"/>
      <c r="B34" s="658"/>
      <c r="C34" s="658"/>
      <c r="D34" s="658"/>
      <c r="E34" s="658"/>
      <c r="F34" s="658"/>
      <c r="G34" s="396"/>
      <c r="H34" s="658"/>
      <c r="I34" s="396"/>
      <c r="J34" s="396"/>
      <c r="K34" s="658"/>
    </row>
    <row r="35" spans="1:12" x14ac:dyDescent="0.25">
      <c r="A35" s="669"/>
      <c r="B35" s="658"/>
      <c r="C35" s="658"/>
      <c r="D35" s="658"/>
      <c r="E35" s="658"/>
      <c r="F35" s="658"/>
      <c r="G35" s="396"/>
      <c r="H35" s="658"/>
      <c r="I35" s="658"/>
      <c r="J35" s="658"/>
      <c r="K35" s="658"/>
    </row>
    <row r="36" spans="1:12" x14ac:dyDescent="0.25">
      <c r="A36" s="669"/>
      <c r="B36" s="658"/>
      <c r="C36" s="658"/>
      <c r="D36" s="658"/>
      <c r="E36" s="658"/>
      <c r="F36" s="658"/>
      <c r="G36" s="396"/>
      <c r="H36" s="658"/>
      <c r="I36" s="658"/>
      <c r="J36" s="658"/>
      <c r="K36" s="658"/>
    </row>
    <row r="37" spans="1:12" x14ac:dyDescent="0.25">
      <c r="A37" s="669"/>
      <c r="B37" s="658"/>
      <c r="C37" s="658"/>
      <c r="D37" s="658"/>
      <c r="E37" s="658"/>
      <c r="F37" s="658"/>
      <c r="G37" s="396"/>
      <c r="H37" s="658"/>
      <c r="I37" s="658"/>
      <c r="J37" s="658"/>
      <c r="K37" s="658"/>
    </row>
    <row r="38" spans="1:12" ht="23.25" customHeight="1" x14ac:dyDescent="0.25">
      <c r="A38" s="669"/>
      <c r="B38" s="658"/>
      <c r="C38" s="658"/>
      <c r="D38" s="658"/>
      <c r="E38" s="658"/>
      <c r="F38" s="658"/>
      <c r="G38" s="396"/>
      <c r="H38" s="658"/>
      <c r="I38" s="658"/>
      <c r="J38" s="658"/>
      <c r="K38" s="658"/>
    </row>
    <row r="39" spans="1:12" x14ac:dyDescent="0.25">
      <c r="A39" s="669"/>
      <c r="B39" s="658"/>
      <c r="C39" s="658"/>
      <c r="D39" s="658"/>
      <c r="E39" s="658"/>
      <c r="F39" s="658"/>
      <c r="G39" s="396"/>
      <c r="H39" s="658"/>
      <c r="I39" s="658"/>
      <c r="J39" s="658"/>
      <c r="K39" s="658"/>
    </row>
    <row r="40" spans="1:12" x14ac:dyDescent="0.25">
      <c r="A40" s="669"/>
      <c r="B40" s="658"/>
      <c r="C40" s="658"/>
      <c r="D40" s="658"/>
      <c r="E40" s="658"/>
      <c r="F40" s="658"/>
      <c r="G40" s="658"/>
      <c r="H40" s="658"/>
      <c r="I40" s="658"/>
      <c r="J40" s="658"/>
      <c r="K40" s="658"/>
      <c r="L40" s="925"/>
    </row>
    <row r="41" spans="1:12" x14ac:dyDescent="0.25">
      <c r="A41" s="658"/>
      <c r="B41" s="658"/>
      <c r="C41" s="658"/>
      <c r="D41" s="658"/>
      <c r="E41" s="658"/>
      <c r="F41" s="658"/>
      <c r="G41" s="658"/>
      <c r="H41" s="658"/>
      <c r="I41" s="658"/>
      <c r="J41" s="658"/>
      <c r="K41" s="925"/>
      <c r="L41" s="1255"/>
    </row>
    <row r="42" spans="1:12" x14ac:dyDescent="0.25">
      <c r="A42" s="658"/>
      <c r="B42" s="1225"/>
      <c r="C42" s="925"/>
      <c r="D42" s="925"/>
      <c r="E42" s="925"/>
      <c r="F42" s="925"/>
      <c r="G42" s="925"/>
      <c r="H42" s="925"/>
      <c r="I42" s="925"/>
      <c r="J42" s="925"/>
      <c r="K42" s="1255" t="s">
        <v>601</v>
      </c>
      <c r="L42" s="1227" t="s">
        <v>603</v>
      </c>
    </row>
    <row r="43" spans="1:12" x14ac:dyDescent="0.25">
      <c r="A43" s="658"/>
      <c r="B43" s="1111" t="s">
        <v>574</v>
      </c>
      <c r="C43" s="1992" t="s">
        <v>597</v>
      </c>
      <c r="D43" s="1992"/>
      <c r="E43" s="1992" t="s">
        <v>598</v>
      </c>
      <c r="F43" s="1992"/>
      <c r="G43" s="1992" t="s">
        <v>599</v>
      </c>
      <c r="H43" s="1992"/>
      <c r="I43" s="1992" t="s">
        <v>600</v>
      </c>
      <c r="J43" s="1992"/>
      <c r="K43" s="1227" t="s">
        <v>602</v>
      </c>
      <c r="L43" s="1229">
        <v>7.26712654415127E-2</v>
      </c>
    </row>
    <row r="44" spans="1:12" ht="45" x14ac:dyDescent="0.25">
      <c r="A44" s="658"/>
      <c r="B44" s="1226"/>
      <c r="C44" s="1227" t="s">
        <v>602</v>
      </c>
      <c r="D44" s="1227" t="s">
        <v>603</v>
      </c>
      <c r="E44" s="1227" t="s">
        <v>602</v>
      </c>
      <c r="F44" s="1227" t="s">
        <v>603</v>
      </c>
      <c r="G44" s="1227" t="s">
        <v>602</v>
      </c>
      <c r="H44" s="1227" t="s">
        <v>603</v>
      </c>
      <c r="I44" s="1227" t="s">
        <v>602</v>
      </c>
      <c r="J44" s="1227" t="s">
        <v>603</v>
      </c>
      <c r="K44" s="1229">
        <v>5.8062098914157811E-2</v>
      </c>
      <c r="L44" s="1232">
        <v>5.2477676111431393E-2</v>
      </c>
    </row>
    <row r="45" spans="1:12" ht="23.25" customHeight="1" x14ac:dyDescent="0.25">
      <c r="A45" s="658"/>
      <c r="B45" s="1228" t="s">
        <v>576</v>
      </c>
      <c r="C45" s="1229">
        <v>1.873602696231691E-2</v>
      </c>
      <c r="D45" s="1229">
        <v>1.0160244939989349E-2</v>
      </c>
      <c r="E45" s="1229">
        <v>9.108797210934938E-3</v>
      </c>
      <c r="F45" s="1229">
        <v>1.2632336897897599E-2</v>
      </c>
      <c r="G45" s="1229">
        <v>9.4591026031158876E-3</v>
      </c>
      <c r="H45" s="1229">
        <v>6.5447193794447855E-3</v>
      </c>
      <c r="I45" s="1230">
        <v>4.4404300293176879E-2</v>
      </c>
      <c r="J45" s="1229">
        <v>6.4913168332380256E-2</v>
      </c>
      <c r="K45" s="1232">
        <v>5.2455408262192416E-2</v>
      </c>
      <c r="L45" s="1232">
        <v>-3.1023467686383088E-2</v>
      </c>
    </row>
    <row r="46" spans="1:12" x14ac:dyDescent="0.25">
      <c r="A46" s="658"/>
      <c r="B46" s="1231" t="s">
        <v>149</v>
      </c>
      <c r="C46" s="1232">
        <v>0.34405834405834401</v>
      </c>
      <c r="D46" s="1233" t="s">
        <v>604</v>
      </c>
      <c r="E46" s="1232">
        <v>4.0935368387547966E-2</v>
      </c>
      <c r="F46" s="1232">
        <v>4.0941830225659226E-2</v>
      </c>
      <c r="G46" s="1230">
        <v>3.2835420218831679E-2</v>
      </c>
      <c r="H46" s="1232">
        <v>3.2829772430213566E-2</v>
      </c>
      <c r="I46" s="1234">
        <v>5.1046557468587217E-2</v>
      </c>
      <c r="J46" s="1234">
        <v>5.1089408812237558E-2</v>
      </c>
      <c r="K46" s="1232">
        <v>-3.1048601628816175E-2</v>
      </c>
      <c r="L46" s="1233" t="s">
        <v>604</v>
      </c>
    </row>
    <row r="47" spans="1:12" ht="60" x14ac:dyDescent="0.25">
      <c r="A47" s="658"/>
      <c r="B47" s="1231" t="s">
        <v>588</v>
      </c>
      <c r="C47" s="1232">
        <v>8.3003164545874641E-2</v>
      </c>
      <c r="D47" s="1232">
        <v>7.1526917499364462E-2</v>
      </c>
      <c r="E47" s="1232">
        <v>3.3154770598104566E-2</v>
      </c>
      <c r="F47" s="1232">
        <v>4.0117208713358332E-2</v>
      </c>
      <c r="G47" s="1232">
        <v>0.13914319809246978</v>
      </c>
      <c r="H47" s="1232">
        <v>0.13886769311524838</v>
      </c>
      <c r="I47" s="1234">
        <v>-2.5430695812534876E-2</v>
      </c>
      <c r="J47" s="1234">
        <v>-2.535242801273041E-2</v>
      </c>
      <c r="K47" s="1232">
        <v>-7.0550751994720717E-2</v>
      </c>
      <c r="L47" s="1233" t="s">
        <v>604</v>
      </c>
    </row>
    <row r="48" spans="1:12" x14ac:dyDescent="0.25">
      <c r="A48" s="658"/>
      <c r="B48" s="1231" t="s">
        <v>231</v>
      </c>
      <c r="C48" s="1233" t="s">
        <v>604</v>
      </c>
      <c r="D48" s="1233" t="s">
        <v>604</v>
      </c>
      <c r="E48" s="1233" t="s">
        <v>604</v>
      </c>
      <c r="F48" s="1233" t="s">
        <v>604</v>
      </c>
      <c r="G48" s="1232">
        <v>3.9987584829395129E-3</v>
      </c>
      <c r="H48" s="1233" t="s">
        <v>604</v>
      </c>
      <c r="I48" s="1232">
        <v>2.9611986271463664E-2</v>
      </c>
      <c r="J48" s="1233" t="s">
        <v>604</v>
      </c>
      <c r="K48" s="1232">
        <v>7.7798032443197274E-2</v>
      </c>
      <c r="L48" s="1233" t="s">
        <v>604</v>
      </c>
    </row>
    <row r="49" spans="1:12" x14ac:dyDescent="0.25">
      <c r="A49" s="658"/>
      <c r="B49" s="1231" t="s">
        <v>591</v>
      </c>
      <c r="C49" s="1232">
        <v>3.322327476556608E-2</v>
      </c>
      <c r="D49" s="1233" t="s">
        <v>604</v>
      </c>
      <c r="E49" s="1232">
        <v>2.3249628993118554E-2</v>
      </c>
      <c r="F49" s="1233" t="s">
        <v>604</v>
      </c>
      <c r="G49" s="1232">
        <v>0.11558794933073346</v>
      </c>
      <c r="H49" s="1233" t="s">
        <v>604</v>
      </c>
      <c r="I49" s="1232">
        <v>8.1390415353268075E-2</v>
      </c>
      <c r="J49" s="1233" t="s">
        <v>604</v>
      </c>
      <c r="K49" s="1232">
        <v>4.9576024919993245E-2</v>
      </c>
      <c r="L49" s="1233" t="s">
        <v>604</v>
      </c>
    </row>
    <row r="50" spans="1:12" x14ac:dyDescent="0.25">
      <c r="A50" s="658"/>
      <c r="B50" s="1231" t="s">
        <v>218</v>
      </c>
      <c r="C50" s="1232">
        <v>6.9124423963133896E-3</v>
      </c>
      <c r="D50" s="1233" t="s">
        <v>604</v>
      </c>
      <c r="E50" s="1232">
        <v>-1.1101418226823201E-2</v>
      </c>
      <c r="F50" s="1233" t="s">
        <v>604</v>
      </c>
      <c r="G50" s="1232">
        <v>-2.5258859784283549E-2</v>
      </c>
      <c r="H50" s="1233" t="s">
        <v>604</v>
      </c>
      <c r="I50" s="1234">
        <v>0.10267422749291177</v>
      </c>
      <c r="J50" s="1233" t="s">
        <v>604</v>
      </c>
      <c r="K50" s="1235">
        <v>7.7868262721560777E-2</v>
      </c>
      <c r="L50" s="1226"/>
    </row>
    <row r="51" spans="1:12" ht="15.75" thickBot="1" x14ac:dyDescent="0.3">
      <c r="A51" s="658"/>
      <c r="B51" s="1231" t="s">
        <v>136</v>
      </c>
      <c r="C51" s="1232">
        <v>5.0295686603556433E-2</v>
      </c>
      <c r="D51" s="1233" t="s">
        <v>604</v>
      </c>
      <c r="E51" s="1232">
        <v>6.2830155287749712E-2</v>
      </c>
      <c r="F51" s="1233" t="s">
        <v>604</v>
      </c>
      <c r="G51" s="1232">
        <v>7.5196742071585554E-2</v>
      </c>
      <c r="H51" s="1233" t="s">
        <v>604</v>
      </c>
      <c r="I51" s="1235">
        <v>7.7857899716810453E-2</v>
      </c>
      <c r="J51" s="1233" t="s">
        <v>604</v>
      </c>
      <c r="K51" s="1226"/>
      <c r="L51" s="1237">
        <v>4.9130458686592604E-2</v>
      </c>
    </row>
    <row r="52" spans="1:12" ht="16.5" thickTop="1" thickBot="1" x14ac:dyDescent="0.3">
      <c r="A52" s="658"/>
      <c r="B52" s="1231"/>
      <c r="C52" s="1226"/>
      <c r="D52" s="1226"/>
      <c r="E52" s="1226"/>
      <c r="F52" s="1226"/>
      <c r="G52" s="1226"/>
      <c r="H52" s="1226"/>
      <c r="I52" s="1226"/>
      <c r="J52" s="1226"/>
      <c r="K52" s="1238">
        <v>4.4349747293614739E-2</v>
      </c>
      <c r="L52" s="1229"/>
    </row>
    <row r="53" spans="1:12" ht="31.5" thickTop="1" thickBot="1" x14ac:dyDescent="0.3">
      <c r="A53" s="658"/>
      <c r="B53" s="1236" t="s">
        <v>605</v>
      </c>
      <c r="C53" s="1237">
        <v>2.6141586544053297E-2</v>
      </c>
      <c r="D53" s="1237">
        <v>2.2231649310092472E-2</v>
      </c>
      <c r="E53" s="1237">
        <v>2.1106339642627425E-2</v>
      </c>
      <c r="F53" s="1237">
        <v>2.2575680483144511E-2</v>
      </c>
      <c r="G53" s="1238">
        <v>3.8510808202477653E-2</v>
      </c>
      <c r="H53" s="1237">
        <v>3.7442776427267566E-2</v>
      </c>
      <c r="I53" s="1238">
        <v>5.2555402934154394E-2</v>
      </c>
      <c r="J53" s="1237">
        <v>5.9779005624033266E-2</v>
      </c>
      <c r="K53" s="1232"/>
      <c r="L53" s="1229"/>
    </row>
    <row r="54" spans="1:12" ht="15.75" thickTop="1" x14ac:dyDescent="0.25">
      <c r="A54" s="658"/>
      <c r="B54" s="1231"/>
      <c r="C54" s="1229"/>
      <c r="D54" s="1229"/>
      <c r="E54" s="1229"/>
      <c r="F54" s="1229"/>
      <c r="G54" s="1232"/>
      <c r="H54" s="1229"/>
      <c r="I54" s="1232"/>
      <c r="J54" s="1229"/>
      <c r="K54" s="1232"/>
      <c r="L54" s="925"/>
    </row>
    <row r="55" spans="1:12" x14ac:dyDescent="0.25">
      <c r="A55" s="658"/>
      <c r="B55" s="1231"/>
      <c r="C55" s="1229"/>
      <c r="D55" s="1229"/>
      <c r="E55" s="1229"/>
      <c r="F55" s="1229"/>
      <c r="G55" s="1232"/>
      <c r="H55" s="1229"/>
      <c r="I55" s="1232"/>
      <c r="J55" s="1229"/>
      <c r="K55" s="925"/>
      <c r="L55" s="1256"/>
    </row>
    <row r="56" spans="1:12" x14ac:dyDescent="0.25">
      <c r="A56" s="658"/>
      <c r="B56" s="1225"/>
      <c r="C56" s="925"/>
      <c r="D56" s="925"/>
      <c r="E56" s="925"/>
      <c r="F56" s="925"/>
      <c r="G56" s="925"/>
      <c r="H56" s="925"/>
      <c r="I56" s="925"/>
      <c r="J56" s="925"/>
      <c r="K56" s="1256" t="s">
        <v>610</v>
      </c>
      <c r="L56" s="1227" t="s">
        <v>603</v>
      </c>
    </row>
    <row r="57" spans="1:12" x14ac:dyDescent="0.25">
      <c r="A57" s="658"/>
      <c r="B57" s="1111" t="s">
        <v>574</v>
      </c>
      <c r="C57" s="1992" t="s">
        <v>606</v>
      </c>
      <c r="D57" s="1992"/>
      <c r="E57" s="1992" t="s">
        <v>607</v>
      </c>
      <c r="F57" s="1992"/>
      <c r="G57" s="1992" t="s">
        <v>608</v>
      </c>
      <c r="H57" s="1992"/>
      <c r="I57" s="1992" t="s">
        <v>609</v>
      </c>
      <c r="J57" s="1992"/>
      <c r="K57" s="1227" t="s">
        <v>602</v>
      </c>
      <c r="L57" s="1232">
        <v>4.2393881491018082E-2</v>
      </c>
    </row>
    <row r="58" spans="1:12" ht="45" x14ac:dyDescent="0.25">
      <c r="A58" s="658"/>
      <c r="B58" s="1231"/>
      <c r="C58" s="1227" t="s">
        <v>602</v>
      </c>
      <c r="D58" s="1227" t="s">
        <v>603</v>
      </c>
      <c r="E58" s="1227" t="s">
        <v>602</v>
      </c>
      <c r="F58" s="1227" t="s">
        <v>603</v>
      </c>
      <c r="G58" s="1227" t="s">
        <v>602</v>
      </c>
      <c r="H58" s="1227" t="s">
        <v>603</v>
      </c>
      <c r="I58" s="1227" t="s">
        <v>602</v>
      </c>
      <c r="J58" s="1227" t="s">
        <v>603</v>
      </c>
      <c r="K58" s="1232">
        <v>3.0685314279900178E-2</v>
      </c>
      <c r="L58" s="1239"/>
    </row>
    <row r="59" spans="1:12" ht="23.25" customHeight="1" x14ac:dyDescent="0.25">
      <c r="A59" s="658"/>
      <c r="B59" s="1231" t="s">
        <v>576</v>
      </c>
      <c r="C59" s="1229">
        <v>2.5616856205384897E-2</v>
      </c>
      <c r="D59" s="1229">
        <v>5.6628411567296144E-2</v>
      </c>
      <c r="E59" s="1229">
        <v>5.4807702853551854E-2</v>
      </c>
      <c r="F59" s="1229">
        <v>7.4830090932752835E-2</v>
      </c>
      <c r="G59" s="1229">
        <v>2.8043645772247716E-2</v>
      </c>
      <c r="H59" s="1229">
        <v>4.8796547606567264E-2</v>
      </c>
      <c r="I59" s="1229">
        <v>4.1873879162783068E-2</v>
      </c>
      <c r="J59" s="1232">
        <v>5.1397782208088882E-2</v>
      </c>
      <c r="K59" s="1232">
        <v>7.2870800000000013E-2</v>
      </c>
      <c r="L59" s="1240"/>
    </row>
    <row r="60" spans="1:12" x14ac:dyDescent="0.25">
      <c r="A60" s="658"/>
      <c r="B60" s="1231" t="s">
        <v>149</v>
      </c>
      <c r="C60" s="1229">
        <v>0.10142546919528872</v>
      </c>
      <c r="D60" s="1229">
        <v>0.10228616433299975</v>
      </c>
      <c r="E60" s="1232">
        <v>9.8719895811427483E-2</v>
      </c>
      <c r="F60" s="1229">
        <v>9.955852290494005E-2</v>
      </c>
      <c r="G60" s="1229">
        <v>-6.8552823741646063E-2</v>
      </c>
      <c r="H60" s="1229">
        <v>-6.8132104071234045E-2</v>
      </c>
      <c r="I60" s="1232">
        <v>8.1592493501527752E-2</v>
      </c>
      <c r="J60" s="1232">
        <v>8.4054458452162528E-2</v>
      </c>
      <c r="K60" s="1232">
        <v>-0.13181359999999998</v>
      </c>
      <c r="L60" s="1233" t="s">
        <v>604</v>
      </c>
    </row>
    <row r="61" spans="1:12" ht="60" x14ac:dyDescent="0.25">
      <c r="A61" s="658"/>
      <c r="B61" s="1231" t="s">
        <v>588</v>
      </c>
      <c r="C61" s="1229">
        <v>0.11440118978675162</v>
      </c>
      <c r="D61" s="1229">
        <v>0.11831101204632977</v>
      </c>
      <c r="E61" s="1229">
        <v>9.4964329865828034E-2</v>
      </c>
      <c r="F61" s="1229">
        <v>9.4209018537058542E-2</v>
      </c>
      <c r="G61" s="1229">
        <v>4.8324125846418209E-2</v>
      </c>
      <c r="H61" s="1229">
        <v>4.8236747307323524E-2</v>
      </c>
      <c r="I61" s="1232">
        <v>0.21131027801563063</v>
      </c>
      <c r="J61" s="1229">
        <v>0.24646786052871961</v>
      </c>
      <c r="K61" s="1232">
        <v>4.0391400000000077E-2</v>
      </c>
      <c r="L61" s="1233" t="s">
        <v>604</v>
      </c>
    </row>
    <row r="62" spans="1:12" x14ac:dyDescent="0.25">
      <c r="A62" s="658"/>
      <c r="B62" s="1231" t="s">
        <v>231</v>
      </c>
      <c r="C62" s="1229">
        <v>3.1552645719505072</v>
      </c>
      <c r="D62" s="1233" t="s">
        <v>604</v>
      </c>
      <c r="E62" s="1229">
        <v>0.10252939146392093</v>
      </c>
      <c r="F62" s="1233" t="s">
        <v>604</v>
      </c>
      <c r="G62" s="1229">
        <v>-6.4643553990297864E-3</v>
      </c>
      <c r="H62" s="1233" t="s">
        <v>604</v>
      </c>
      <c r="I62" s="1229">
        <v>3.4645651236723252E-2</v>
      </c>
      <c r="J62" s="1233" t="s">
        <v>604</v>
      </c>
      <c r="K62" s="1232">
        <v>0.17039852774632869</v>
      </c>
      <c r="L62" s="1232">
        <v>2.792041212388563E-2</v>
      </c>
    </row>
    <row r="63" spans="1:12" x14ac:dyDescent="0.25">
      <c r="A63" s="658"/>
      <c r="B63" s="1231" t="s">
        <v>591</v>
      </c>
      <c r="C63" s="1229">
        <v>0.17128562058348273</v>
      </c>
      <c r="D63" s="1233" t="s">
        <v>604</v>
      </c>
      <c r="E63" s="1229">
        <v>3.1434904997695634E-2</v>
      </c>
      <c r="F63" s="1233" t="s">
        <v>604</v>
      </c>
      <c r="G63" s="1229">
        <v>0.22072684357009109</v>
      </c>
      <c r="H63" s="1233" t="s">
        <v>604</v>
      </c>
      <c r="I63" s="1229">
        <v>-4.6564384684544491E-2</v>
      </c>
      <c r="J63" s="1233" t="s">
        <v>604</v>
      </c>
      <c r="K63" s="1232">
        <v>2.7008547043914533E-2</v>
      </c>
      <c r="L63" s="1233" t="s">
        <v>604</v>
      </c>
    </row>
    <row r="64" spans="1:12" x14ac:dyDescent="0.25">
      <c r="A64" s="658"/>
      <c r="B64" s="1231" t="s">
        <v>218</v>
      </c>
      <c r="C64" s="1232">
        <v>-2.106888063749035E-3</v>
      </c>
      <c r="D64" s="1232">
        <v>4.5410964845163715E-2</v>
      </c>
      <c r="E64" s="1232">
        <v>5.6328438408597359E-2</v>
      </c>
      <c r="F64" s="1232">
        <v>8.0214336676698528E-2</v>
      </c>
      <c r="G64" s="1232">
        <v>2.7042744984006939E-2</v>
      </c>
      <c r="H64" s="1232">
        <v>4.6738488839055181E-2</v>
      </c>
      <c r="I64" s="1232">
        <v>-2.3376840230429075E-3</v>
      </c>
      <c r="J64" s="1241">
        <v>3.2550560081045843E-2</v>
      </c>
      <c r="K64" s="1232">
        <v>6.3550838522140385E-2</v>
      </c>
      <c r="L64" s="1226"/>
    </row>
    <row r="65" spans="1:12" ht="15.75" thickBot="1" x14ac:dyDescent="0.3">
      <c r="A65" s="658"/>
      <c r="B65" s="1231" t="s">
        <v>136</v>
      </c>
      <c r="C65" s="1229">
        <v>7.698839189400597E-2</v>
      </c>
      <c r="D65" s="1233" t="s">
        <v>604</v>
      </c>
      <c r="E65" s="1229">
        <v>8.0214336676698528E-2</v>
      </c>
      <c r="F65" s="1233" t="s">
        <v>604</v>
      </c>
      <c r="G65" s="1229">
        <v>5.916841944762874E-2</v>
      </c>
      <c r="H65" s="1233" t="s">
        <v>604</v>
      </c>
      <c r="I65" s="1232">
        <v>6.704788747213386E-2</v>
      </c>
      <c r="J65" s="1233" t="s">
        <v>604</v>
      </c>
      <c r="K65" s="1226"/>
      <c r="L65" s="1244">
        <v>5.7299999999999997E-2</v>
      </c>
    </row>
    <row r="66" spans="1:12" ht="23.25" customHeight="1" thickTop="1" thickBot="1" x14ac:dyDescent="0.3">
      <c r="A66" s="658"/>
      <c r="B66" s="1231"/>
      <c r="C66" s="1226"/>
      <c r="D66" s="1226"/>
      <c r="E66" s="1226"/>
      <c r="F66" s="1226"/>
      <c r="G66" s="1226"/>
      <c r="H66" s="1226"/>
      <c r="I66" s="1226"/>
      <c r="J66" s="1226"/>
      <c r="K66" s="1244">
        <v>5.3400000000000003E-2</v>
      </c>
      <c r="L66" s="925"/>
    </row>
    <row r="67" spans="1:12" ht="31.5" thickTop="1" thickBot="1" x14ac:dyDescent="0.3">
      <c r="A67" s="658"/>
      <c r="B67" s="1236" t="s">
        <v>605</v>
      </c>
      <c r="C67" s="1242">
        <v>27.9</v>
      </c>
      <c r="D67" s="1238">
        <v>0.28799999999999998</v>
      </c>
      <c r="E67" s="1238">
        <v>6.5000000000000002E-2</v>
      </c>
      <c r="F67" s="1238">
        <v>7.0999999999999994E-2</v>
      </c>
      <c r="G67" s="1238">
        <v>5.8999999999999997E-2</v>
      </c>
      <c r="H67" s="1238">
        <v>6.5000000000000002E-2</v>
      </c>
      <c r="I67" s="1243">
        <v>3.4090949472603382E-2</v>
      </c>
      <c r="J67" s="1243">
        <v>3.6553041824910038E-2</v>
      </c>
      <c r="K67" s="925"/>
      <c r="L67" s="925"/>
    </row>
    <row r="68" spans="1:12" ht="15.75" thickTop="1" x14ac:dyDescent="0.25">
      <c r="A68" s="658"/>
      <c r="B68" s="1225"/>
      <c r="C68" s="1245"/>
      <c r="D68" s="1245"/>
      <c r="E68" s="1245"/>
      <c r="F68" s="1245"/>
      <c r="G68" s="1245"/>
      <c r="H68" s="1245"/>
      <c r="I68" s="1245"/>
      <c r="J68" s="1245"/>
      <c r="K68" s="925"/>
      <c r="L68" s="925"/>
    </row>
    <row r="69" spans="1:12" x14ac:dyDescent="0.25">
      <c r="A69" s="658"/>
      <c r="B69" s="1225"/>
      <c r="C69" s="1245"/>
      <c r="D69" s="1245"/>
      <c r="E69" s="1245"/>
      <c r="F69" s="1245"/>
      <c r="G69" s="1245"/>
      <c r="H69" s="1245"/>
      <c r="I69" s="1245"/>
      <c r="J69" s="1245"/>
      <c r="K69" s="925"/>
      <c r="L69" s="925"/>
    </row>
    <row r="70" spans="1:12" x14ac:dyDescent="0.25">
      <c r="A70" s="658"/>
      <c r="B70" s="1225"/>
      <c r="C70" s="925"/>
      <c r="D70" s="925"/>
      <c r="E70" s="925"/>
      <c r="F70" s="925"/>
      <c r="G70" s="925"/>
      <c r="H70" s="925"/>
      <c r="I70" s="925"/>
      <c r="J70" s="925"/>
      <c r="K70" s="925"/>
      <c r="L70" s="1245"/>
    </row>
    <row r="71" spans="1:12" x14ac:dyDescent="0.25">
      <c r="A71" s="658"/>
      <c r="B71" s="1111" t="s">
        <v>574</v>
      </c>
      <c r="C71" s="1993" t="s">
        <v>611</v>
      </c>
      <c r="D71" s="1993"/>
      <c r="E71" s="1992" t="s">
        <v>612</v>
      </c>
      <c r="F71" s="1992"/>
      <c r="G71" s="1992" t="s">
        <v>613</v>
      </c>
      <c r="H71" s="1992"/>
      <c r="I71" s="1994"/>
      <c r="J71" s="1994"/>
      <c r="K71" s="1245"/>
      <c r="L71" s="925"/>
    </row>
    <row r="72" spans="1:12" ht="45" x14ac:dyDescent="0.25">
      <c r="A72" s="658"/>
      <c r="B72" s="1231"/>
      <c r="C72" s="1227" t="s">
        <v>602</v>
      </c>
      <c r="D72" s="1227" t="s">
        <v>603</v>
      </c>
      <c r="E72" s="1227" t="s">
        <v>602</v>
      </c>
      <c r="F72" s="1227" t="s">
        <v>603</v>
      </c>
      <c r="G72" s="1227" t="s">
        <v>602</v>
      </c>
      <c r="H72" s="1227" t="s">
        <v>603</v>
      </c>
      <c r="I72" s="1245"/>
      <c r="J72" s="1245"/>
      <c r="K72" s="925"/>
      <c r="L72" s="925"/>
    </row>
    <row r="73" spans="1:12" ht="23.25" customHeight="1" x14ac:dyDescent="0.25">
      <c r="A73" s="658"/>
      <c r="B73" s="1231" t="s">
        <v>576</v>
      </c>
      <c r="C73" s="1232">
        <v>1.3912115299726135E-2</v>
      </c>
      <c r="D73" s="1232">
        <v>1.2658458727172972E-2</v>
      </c>
      <c r="E73" s="1229">
        <v>3.835284309093967E-2</v>
      </c>
      <c r="F73" s="1232">
        <v>4.9299185410158319E-2</v>
      </c>
      <c r="G73" s="1232">
        <v>2.4447449647438058E-2</v>
      </c>
      <c r="H73" s="1232">
        <v>3.0666420255953675E-2</v>
      </c>
      <c r="I73" s="925"/>
      <c r="J73" s="925"/>
      <c r="K73" s="925"/>
      <c r="L73" s="925"/>
    </row>
    <row r="74" spans="1:12" x14ac:dyDescent="0.25">
      <c r="A74" s="658"/>
      <c r="B74" s="1231" t="s">
        <v>149</v>
      </c>
      <c r="C74" s="1232">
        <v>9.7930199999999967E-2</v>
      </c>
      <c r="D74" s="1240"/>
      <c r="E74" s="1232">
        <v>2.2731999999999974E-2</v>
      </c>
      <c r="F74" s="1240"/>
      <c r="G74" s="1232">
        <v>-2.1093999999999946E-2</v>
      </c>
      <c r="H74" s="1240"/>
      <c r="I74" s="925"/>
      <c r="J74" s="1196"/>
      <c r="K74" s="1196"/>
      <c r="L74" s="925"/>
    </row>
    <row r="75" spans="1:12" ht="60" x14ac:dyDescent="0.25">
      <c r="A75" s="658"/>
      <c r="B75" s="1231" t="s">
        <v>588</v>
      </c>
      <c r="C75" s="1232">
        <v>3.9028599999999969E-2</v>
      </c>
      <c r="D75" s="1240"/>
      <c r="E75" s="1232">
        <v>2.8686999999999907E-2</v>
      </c>
      <c r="F75" s="1240"/>
      <c r="G75" s="1232">
        <v>0.54285910000000004</v>
      </c>
      <c r="H75" s="1240"/>
      <c r="I75" s="925"/>
      <c r="J75" s="1196"/>
      <c r="K75" s="1196"/>
      <c r="L75" s="925"/>
    </row>
    <row r="76" spans="1:12" x14ac:dyDescent="0.25">
      <c r="A76" s="658"/>
      <c r="B76" s="1231" t="s">
        <v>231</v>
      </c>
      <c r="C76" s="1232">
        <v>6.4400800000000036E-2</v>
      </c>
      <c r="D76" s="1233" t="s">
        <v>604</v>
      </c>
      <c r="E76" s="1229">
        <v>2.4486999999999703E-3</v>
      </c>
      <c r="F76" s="1233" t="s">
        <v>604</v>
      </c>
      <c r="G76" s="1232">
        <v>-9.9356699999999964E-2</v>
      </c>
      <c r="H76" s="1233" t="s">
        <v>604</v>
      </c>
      <c r="I76" s="925"/>
      <c r="J76" s="1196"/>
      <c r="K76" s="1196"/>
      <c r="L76" s="925"/>
    </row>
    <row r="77" spans="1:12" x14ac:dyDescent="0.25">
      <c r="A77" s="658"/>
      <c r="B77" s="1231" t="s">
        <v>591</v>
      </c>
      <c r="C77" s="1229">
        <v>0.10773125181203436</v>
      </c>
      <c r="D77" s="1233" t="s">
        <v>604</v>
      </c>
      <c r="E77" s="1232">
        <v>3.0178678205015963E-2</v>
      </c>
      <c r="F77" s="1233" t="s">
        <v>604</v>
      </c>
      <c r="G77" s="1232">
        <v>4.7223874705979219E-2</v>
      </c>
      <c r="H77" s="1233" t="s">
        <v>604</v>
      </c>
      <c r="I77" s="925"/>
      <c r="J77" s="1246"/>
      <c r="K77" s="1196"/>
      <c r="L77" s="1247"/>
    </row>
    <row r="78" spans="1:12" x14ac:dyDescent="0.25">
      <c r="A78" s="658"/>
      <c r="B78" s="1231" t="s">
        <v>218</v>
      </c>
      <c r="C78" s="1232">
        <v>0</v>
      </c>
      <c r="D78" s="1232">
        <v>5.5135423142793627E-4</v>
      </c>
      <c r="E78" s="1232">
        <v>-3.4482758563470384E-2</v>
      </c>
      <c r="F78" s="1232">
        <v>-3.3862776931691152E-2</v>
      </c>
      <c r="G78" s="1232">
        <v>3.8461538461537215E-2</v>
      </c>
      <c r="H78" s="1232">
        <v>3.8876198132661299E-2</v>
      </c>
      <c r="I78" s="925"/>
      <c r="J78" s="1246"/>
      <c r="K78" s="1247"/>
      <c r="L78" s="925"/>
    </row>
    <row r="79" spans="1:12" x14ac:dyDescent="0.25">
      <c r="A79" s="658"/>
      <c r="B79" s="1231" t="s">
        <v>136</v>
      </c>
      <c r="C79" s="1232">
        <v>6.9284082575049366E-2</v>
      </c>
      <c r="D79" s="1233" t="s">
        <v>604</v>
      </c>
      <c r="E79" s="1232">
        <v>4.7608884492738923E-2</v>
      </c>
      <c r="F79" s="1233" t="s">
        <v>604</v>
      </c>
      <c r="G79" s="1232">
        <v>3.3495922606974426E-2</v>
      </c>
      <c r="H79" s="1233" t="s">
        <v>604</v>
      </c>
      <c r="I79" s="925"/>
      <c r="J79" s="925"/>
      <c r="K79" s="925"/>
      <c r="L79" s="925"/>
    </row>
    <row r="80" spans="1:12" ht="23.25" customHeight="1" x14ac:dyDescent="0.25">
      <c r="A80" s="658"/>
      <c r="B80" s="1231"/>
      <c r="C80" s="1226"/>
      <c r="D80" s="1226"/>
      <c r="E80" s="1226"/>
      <c r="F80" s="1226"/>
      <c r="G80" s="1226"/>
      <c r="H80" s="1226"/>
      <c r="I80" s="925"/>
      <c r="J80" s="925"/>
      <c r="K80" s="925"/>
      <c r="L80" s="925"/>
    </row>
    <row r="81" spans="1:11" ht="30.75" thickBot="1" x14ac:dyDescent="0.3">
      <c r="A81" s="658"/>
      <c r="B81" s="1236" t="s">
        <v>605</v>
      </c>
      <c r="C81" s="1238">
        <v>3.44E-2</v>
      </c>
      <c r="D81" s="1238">
        <v>4.1099999999999998E-2</v>
      </c>
      <c r="E81" s="1238">
        <v>3.61E-2</v>
      </c>
      <c r="F81" s="1242">
        <v>4.57</v>
      </c>
      <c r="G81" s="1248">
        <v>1.6799999999999999E-2</v>
      </c>
      <c r="H81" s="1248">
        <v>2.5100000000000001E-2</v>
      </c>
      <c r="I81" s="925"/>
      <c r="J81" s="925"/>
      <c r="K81" s="925"/>
    </row>
    <row r="82" spans="1:11" ht="15.75" thickTop="1" x14ac:dyDescent="0.25">
      <c r="A82" s="658"/>
      <c r="B82" s="1225"/>
      <c r="C82" s="925"/>
      <c r="D82" s="925"/>
      <c r="E82" s="925"/>
      <c r="F82" s="925"/>
      <c r="G82" s="1245"/>
      <c r="H82" s="1245"/>
      <c r="I82" s="925"/>
      <c r="J82" s="925"/>
      <c r="K82" s="658"/>
    </row>
    <row r="83" spans="1:11" x14ac:dyDescent="0.25">
      <c r="A83" s="658"/>
      <c r="B83" s="658"/>
      <c r="C83" s="658"/>
      <c r="D83" s="658"/>
      <c r="E83" s="658"/>
      <c r="F83" s="658"/>
      <c r="G83" s="658"/>
      <c r="H83" s="658"/>
      <c r="I83" s="658"/>
      <c r="J83" s="658"/>
    </row>
    <row r="87" spans="1:11" ht="23.25" customHeight="1" x14ac:dyDescent="0.25"/>
    <row r="95" spans="1:11" ht="23.25" customHeight="1" x14ac:dyDescent="0.25"/>
  </sheetData>
  <dataConsolidate/>
  <customSheetViews>
    <customSheetView guid="{9EA95E61-FCA5-4867-AEB4-B8C24058ACDD}" showGridLines="0" showRowCol="0">
      <selection activeCell="H21" sqref="H21"/>
      <pageMargins left="0.7" right="0.7" top="0.75" bottom="0.75" header="0.3" footer="0.3"/>
      <pageSetup paperSize="9" orientation="portrait" r:id="rId1"/>
    </customSheetView>
  </customSheetViews>
  <mergeCells count="12">
    <mergeCell ref="C43:D43"/>
    <mergeCell ref="E43:F43"/>
    <mergeCell ref="G43:H43"/>
    <mergeCell ref="I43:J43"/>
    <mergeCell ref="C71:D71"/>
    <mergeCell ref="E71:F71"/>
    <mergeCell ref="G71:H71"/>
    <mergeCell ref="I71:J71"/>
    <mergeCell ref="C57:D57"/>
    <mergeCell ref="E57:F57"/>
    <mergeCell ref="G57:H57"/>
    <mergeCell ref="I57:J57"/>
  </mergeCells>
  <conditionalFormatting sqref="D12:D23">
    <cfRule type="iconSet" priority="1">
      <iconSet iconSet="3Arrows" showValue="0">
        <cfvo type="percent" val="0"/>
        <cfvo type="num" val="0"/>
        <cfvo type="num" val="0" gte="0"/>
      </iconSet>
    </cfRule>
  </conditionalFormatting>
  <dataValidations count="4">
    <dataValidation allowBlank="1" showErrorMessage="1" promptTitle="Qt" prompt="Quantity_x000a_" sqref="C14"/>
    <dataValidation allowBlank="1" showInputMessage="1" showErrorMessage="1" promptTitle="QtPt" prompt="Total cost=quantity multiplied by unit cost" sqref="D13 D15"/>
    <dataValidation allowBlank="1" showErrorMessage="1" promptTitle="QtPt" prompt="Total cost=quantity multiplied by unit cost" sqref="E13:F13 E12 F12 D12 F14 E14 D14 D16 D17 D18 D19 D20 D21 D22 D23"/>
    <dataValidation allowBlank="1" showErrorMessage="1" promptTitle="Qt" prompt="Quantity_x000a_" sqref="C12:C13"/>
  </dataValidations>
  <pageMargins left="0.7" right="0.7" top="0.75" bottom="0.75" header="0.3" footer="0.3"/>
  <pageSetup paperSize="9" orientation="portrait" r:id="rId2"/>
  <drawing r:id="rId3"/>
  <legacyDrawing r:id="rId4"/>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dimension ref="A4:Y147"/>
  <sheetViews>
    <sheetView showRowColHeaders="0" topLeftCell="A73" zoomScale="60" zoomScaleNormal="60" workbookViewId="0">
      <selection activeCell="F112" sqref="F112"/>
    </sheetView>
  </sheetViews>
  <sheetFormatPr defaultRowHeight="15" x14ac:dyDescent="0.25"/>
  <cols>
    <col min="2" max="2" width="13.28515625" bestFit="1" customWidth="1"/>
    <col min="4" max="4" width="14.7109375" customWidth="1"/>
    <col min="5" max="5" width="22.28515625" customWidth="1"/>
    <col min="6" max="9" width="27.5703125" customWidth="1"/>
    <col min="10" max="10" width="43.42578125" customWidth="1"/>
    <col min="11" max="11" width="43.7109375" customWidth="1"/>
    <col min="12" max="12" width="28.28515625" customWidth="1"/>
    <col min="13" max="13" width="32.7109375" customWidth="1"/>
    <col min="14" max="14" width="16.28515625" customWidth="1"/>
    <col min="15" max="15" width="26.28515625" bestFit="1" customWidth="1"/>
    <col min="16" max="16" width="16.28515625" bestFit="1" customWidth="1"/>
    <col min="17" max="17" width="22.5703125" bestFit="1" customWidth="1"/>
    <col min="18" max="18" width="21.28515625" bestFit="1" customWidth="1"/>
    <col min="19" max="19" width="22.28515625" bestFit="1" customWidth="1"/>
  </cols>
  <sheetData>
    <row r="4" spans="2:23" ht="59.25" x14ac:dyDescent="0.75">
      <c r="D4" s="4" t="s">
        <v>154</v>
      </c>
    </row>
    <row r="5" spans="2:23" ht="59.25" x14ac:dyDescent="0.75">
      <c r="D5" s="4"/>
    </row>
    <row r="6" spans="2:23" ht="23.25" customHeight="1" x14ac:dyDescent="0.25"/>
    <row r="8" spans="2:23" ht="15" customHeight="1" thickBot="1" x14ac:dyDescent="0.3">
      <c r="B8" s="8"/>
      <c r="D8" s="1963" t="s">
        <v>143</v>
      </c>
      <c r="E8" s="1963"/>
      <c r="F8" s="1963"/>
      <c r="G8" s="1963"/>
      <c r="H8" s="1963"/>
      <c r="I8" s="1963"/>
      <c r="T8" s="8"/>
      <c r="U8" s="8"/>
      <c r="V8" s="8"/>
      <c r="W8" s="8"/>
    </row>
    <row r="9" spans="2:23" ht="22.5" x14ac:dyDescent="0.25">
      <c r="B9" s="8"/>
      <c r="D9" s="42" t="s">
        <v>1</v>
      </c>
      <c r="E9" s="43" t="s">
        <v>139</v>
      </c>
      <c r="F9" s="43" t="s">
        <v>92</v>
      </c>
      <c r="G9" s="43" t="s">
        <v>140</v>
      </c>
      <c r="H9" s="43" t="s">
        <v>141</v>
      </c>
      <c r="I9" s="16" t="s">
        <v>142</v>
      </c>
      <c r="T9" s="8"/>
      <c r="U9" s="8"/>
      <c r="V9" s="8"/>
      <c r="W9" s="8"/>
    </row>
    <row r="10" spans="2:23" ht="22.5" x14ac:dyDescent="0.25">
      <c r="B10" s="8"/>
      <c r="D10" s="85" t="s">
        <v>74</v>
      </c>
      <c r="E10" s="86">
        <v>16964603</v>
      </c>
      <c r="F10" s="109">
        <v>1364145494</v>
      </c>
      <c r="G10" s="113">
        <v>1272132638</v>
      </c>
      <c r="H10" s="113"/>
      <c r="I10" s="115"/>
      <c r="J10" t="s">
        <v>464</v>
      </c>
      <c r="T10" s="8"/>
      <c r="U10" s="8"/>
      <c r="V10" s="8"/>
      <c r="W10" s="8"/>
    </row>
    <row r="11" spans="2:23" ht="22.5" x14ac:dyDescent="0.25">
      <c r="B11" s="8"/>
      <c r="D11" s="85" t="s">
        <v>75</v>
      </c>
      <c r="E11" s="86">
        <v>18748725</v>
      </c>
      <c r="F11" s="109">
        <v>1707089624</v>
      </c>
      <c r="G11" s="113">
        <v>1662051463</v>
      </c>
      <c r="H11" s="113"/>
      <c r="I11" s="109">
        <v>1364145494</v>
      </c>
      <c r="J11" s="403">
        <f t="shared" ref="J11:J20" si="0">G11/I11-1</f>
        <v>0.21838284135401764</v>
      </c>
      <c r="T11" s="8"/>
      <c r="U11" s="8"/>
      <c r="V11" s="8"/>
      <c r="W11" s="8"/>
    </row>
    <row r="12" spans="2:23" ht="22.5" x14ac:dyDescent="0.25">
      <c r="B12" s="8"/>
      <c r="D12" s="85" t="s">
        <v>76</v>
      </c>
      <c r="E12" s="86">
        <v>19597216</v>
      </c>
      <c r="F12" s="109">
        <v>1818744438</v>
      </c>
      <c r="G12" s="505">
        <f>E12*F11/E11</f>
        <v>1784345553.7849526</v>
      </c>
      <c r="H12" s="113"/>
      <c r="I12" s="109">
        <v>1707089624</v>
      </c>
      <c r="J12" s="403">
        <f t="shared" si="0"/>
        <v>4.5255930736623595E-2</v>
      </c>
      <c r="T12" s="8"/>
      <c r="U12" s="8"/>
      <c r="V12" s="8"/>
      <c r="W12" s="8"/>
    </row>
    <row r="13" spans="2:23" ht="22.5" x14ac:dyDescent="0.25">
      <c r="B13" s="8"/>
      <c r="D13" s="85" t="s">
        <v>4</v>
      </c>
      <c r="E13" s="86">
        <v>23189303</v>
      </c>
      <c r="F13" s="109">
        <v>2653789144</v>
      </c>
      <c r="G13" s="113">
        <v>1360767225</v>
      </c>
      <c r="H13" s="113" t="s">
        <v>101</v>
      </c>
      <c r="I13" s="109">
        <v>1818744438</v>
      </c>
      <c r="J13" s="403">
        <f t="shared" si="0"/>
        <v>-0.25180954697715485</v>
      </c>
      <c r="T13" s="8"/>
      <c r="U13" s="8"/>
      <c r="V13" s="8"/>
      <c r="W13" s="8"/>
    </row>
    <row r="14" spans="2:23" ht="22.5" x14ac:dyDescent="0.25">
      <c r="B14" s="1085">
        <v>24815831</v>
      </c>
      <c r="D14" s="85" t="s">
        <v>5</v>
      </c>
      <c r="E14" s="86">
        <v>24815831</v>
      </c>
      <c r="F14" s="109">
        <v>3021863889</v>
      </c>
      <c r="G14" s="109">
        <v>2865237623</v>
      </c>
      <c r="H14" s="109">
        <v>2838116295</v>
      </c>
      <c r="I14" s="87">
        <v>2653770345</v>
      </c>
      <c r="J14" s="403">
        <f t="shared" si="0"/>
        <v>7.9685598416015191E-2</v>
      </c>
      <c r="T14" s="8"/>
      <c r="U14" s="8"/>
      <c r="V14" s="8"/>
      <c r="W14" s="8"/>
    </row>
    <row r="15" spans="2:23" ht="22.5" x14ac:dyDescent="0.25">
      <c r="B15" s="8"/>
      <c r="D15" s="85" t="s">
        <v>6</v>
      </c>
      <c r="E15" s="86">
        <v>25574685</v>
      </c>
      <c r="F15" s="109">
        <v>3296888378</v>
      </c>
      <c r="G15" s="109">
        <v>3170202617</v>
      </c>
      <c r="H15" s="109">
        <v>3177147109</v>
      </c>
      <c r="I15" s="87">
        <v>3021863889</v>
      </c>
      <c r="J15" s="403">
        <f t="shared" si="0"/>
        <v>4.9088487585418283E-2</v>
      </c>
      <c r="T15" s="8"/>
      <c r="U15" s="8"/>
      <c r="V15" s="8"/>
      <c r="W15" s="8"/>
    </row>
    <row r="16" spans="2:23" ht="26.25" thickBot="1" x14ac:dyDescent="0.4">
      <c r="B16" s="8"/>
      <c r="D16" s="88" t="s">
        <v>7</v>
      </c>
      <c r="E16" s="89">
        <v>25758593</v>
      </c>
      <c r="F16" s="111">
        <v>3431897220</v>
      </c>
      <c r="G16" s="111">
        <v>3373826177</v>
      </c>
      <c r="H16" s="111">
        <v>3358363066</v>
      </c>
      <c r="I16" s="90">
        <v>3296720381</v>
      </c>
      <c r="J16" s="403">
        <f t="shared" si="0"/>
        <v>2.3388636914548178E-2</v>
      </c>
      <c r="K16" s="264" t="s">
        <v>230</v>
      </c>
      <c r="L16" s="227"/>
      <c r="M16" s="227"/>
      <c r="N16" s="227"/>
      <c r="O16" s="227"/>
      <c r="P16" s="227"/>
      <c r="T16" s="8"/>
      <c r="U16" s="8"/>
      <c r="V16" s="8"/>
      <c r="W16" s="8"/>
    </row>
    <row r="17" spans="2:25" ht="23.25" customHeight="1" x14ac:dyDescent="0.35">
      <c r="B17" s="8"/>
      <c r="D17" s="112"/>
      <c r="E17" s="112"/>
      <c r="F17" s="112"/>
      <c r="G17" s="112"/>
      <c r="H17" s="112"/>
      <c r="I17" s="112"/>
      <c r="J17" s="403" t="e">
        <f t="shared" si="0"/>
        <v>#DIV/0!</v>
      </c>
      <c r="K17" s="264" t="s">
        <v>245</v>
      </c>
      <c r="L17" s="227"/>
      <c r="M17" s="227"/>
      <c r="N17" s="227"/>
      <c r="O17" s="227"/>
      <c r="P17" s="227"/>
      <c r="T17" s="8"/>
      <c r="U17" s="8"/>
      <c r="V17" s="8"/>
      <c r="W17" s="8"/>
    </row>
    <row r="18" spans="2:25" ht="25.5" x14ac:dyDescent="0.35">
      <c r="B18" s="8"/>
      <c r="D18" s="112"/>
      <c r="E18" s="112"/>
      <c r="F18" s="112"/>
      <c r="G18" s="112"/>
      <c r="H18" s="112"/>
      <c r="I18" s="112"/>
      <c r="J18" s="403" t="e">
        <f t="shared" si="0"/>
        <v>#DIV/0!</v>
      </c>
      <c r="K18" s="264" t="s">
        <v>231</v>
      </c>
      <c r="L18" s="227"/>
      <c r="M18" s="227"/>
      <c r="N18" s="227"/>
      <c r="O18" s="227"/>
      <c r="P18" s="227"/>
      <c r="T18" s="8"/>
      <c r="U18" s="8"/>
      <c r="V18" s="8"/>
      <c r="W18" s="8"/>
    </row>
    <row r="19" spans="2:25" ht="26.25" thickBot="1" x14ac:dyDescent="0.4">
      <c r="B19" s="8"/>
      <c r="D19" s="1963" t="s">
        <v>144</v>
      </c>
      <c r="E19" s="1963"/>
      <c r="F19" s="1963"/>
      <c r="G19" s="1963"/>
      <c r="H19" s="1963"/>
      <c r="I19" s="1963"/>
      <c r="J19" s="403" t="e">
        <f t="shared" si="0"/>
        <v>#DIV/0!</v>
      </c>
      <c r="K19" s="264" t="s">
        <v>232</v>
      </c>
      <c r="L19" s="227"/>
      <c r="M19" s="227"/>
      <c r="N19" s="227"/>
      <c r="O19" s="227"/>
      <c r="P19" s="227"/>
      <c r="T19" s="8"/>
      <c r="U19" s="8"/>
      <c r="V19" s="8"/>
      <c r="W19" s="8"/>
    </row>
    <row r="20" spans="2:25" ht="51" x14ac:dyDescent="0.25">
      <c r="B20" s="8"/>
      <c r="D20" s="42" t="s">
        <v>1</v>
      </c>
      <c r="E20" s="43" t="s">
        <v>139</v>
      </c>
      <c r="F20" s="43" t="s">
        <v>92</v>
      </c>
      <c r="G20" s="43" t="s">
        <v>140</v>
      </c>
      <c r="H20" s="43" t="s">
        <v>141</v>
      </c>
      <c r="I20" s="16" t="s">
        <v>142</v>
      </c>
      <c r="J20" s="403" t="e">
        <f t="shared" si="0"/>
        <v>#VALUE!</v>
      </c>
      <c r="K20" s="265" t="s">
        <v>233</v>
      </c>
      <c r="L20" s="227"/>
      <c r="M20" s="227"/>
      <c r="N20" s="227"/>
      <c r="O20" s="227"/>
      <c r="P20" s="227"/>
      <c r="T20" s="8"/>
      <c r="U20" s="8"/>
      <c r="V20" s="8"/>
      <c r="W20" s="8"/>
    </row>
    <row r="21" spans="2:25" ht="25.5" x14ac:dyDescent="0.25">
      <c r="B21" s="8"/>
      <c r="D21" s="85" t="s">
        <v>74</v>
      </c>
      <c r="E21" s="86">
        <v>1622278</v>
      </c>
      <c r="F21" s="109">
        <v>159086654</v>
      </c>
      <c r="G21" s="113"/>
      <c r="H21" s="113"/>
      <c r="I21" s="115"/>
      <c r="J21" s="403" t="s">
        <v>464</v>
      </c>
      <c r="K21" s="266" t="s">
        <v>234</v>
      </c>
      <c r="L21" s="227"/>
      <c r="M21" s="227"/>
      <c r="N21" s="227"/>
      <c r="O21" s="227"/>
      <c r="P21" s="227"/>
      <c r="T21" s="8"/>
      <c r="U21" s="8"/>
      <c r="V21" s="8"/>
      <c r="W21" s="8"/>
    </row>
    <row r="22" spans="2:25" ht="25.5" x14ac:dyDescent="0.35">
      <c r="B22" s="8"/>
      <c r="D22" s="85" t="s">
        <v>75</v>
      </c>
      <c r="E22" s="86">
        <v>1634156</v>
      </c>
      <c r="F22" s="109">
        <v>182991643</v>
      </c>
      <c r="G22" s="113">
        <v>183163352</v>
      </c>
      <c r="H22" s="113"/>
      <c r="I22" s="109">
        <v>159086654</v>
      </c>
      <c r="J22" s="403">
        <f t="shared" ref="J22:J27" si="1">G22/I22-1</f>
        <v>0.15134329244236921</v>
      </c>
      <c r="K22" s="264" t="s">
        <v>109</v>
      </c>
      <c r="L22" s="227"/>
      <c r="M22" s="227"/>
      <c r="N22" s="227"/>
      <c r="O22" s="227"/>
      <c r="P22" s="227"/>
      <c r="T22" s="8"/>
      <c r="U22" s="8"/>
      <c r="V22" s="8"/>
      <c r="W22" s="8"/>
    </row>
    <row r="23" spans="2:25" ht="25.5" x14ac:dyDescent="0.35">
      <c r="B23" s="8"/>
      <c r="D23" s="85" t="s">
        <v>76</v>
      </c>
      <c r="E23" s="86">
        <v>28135809</v>
      </c>
      <c r="F23" s="109">
        <v>1220417056</v>
      </c>
      <c r="G23" s="507">
        <f>E23*F22/E22</f>
        <v>3150628162.8217788</v>
      </c>
      <c r="H23" s="113"/>
      <c r="I23" s="109">
        <v>182991643</v>
      </c>
      <c r="J23" s="403">
        <f t="shared" si="1"/>
        <v>16.217333596058147</v>
      </c>
      <c r="K23" s="264" t="s">
        <v>149</v>
      </c>
      <c r="L23" s="227"/>
      <c r="M23" s="227"/>
      <c r="N23" s="227"/>
      <c r="O23" s="227"/>
      <c r="P23" s="227"/>
      <c r="T23" s="8"/>
      <c r="U23" s="8"/>
      <c r="V23" s="8"/>
      <c r="W23" s="8"/>
    </row>
    <row r="24" spans="2:25" ht="25.5" x14ac:dyDescent="0.35">
      <c r="B24" s="8"/>
      <c r="D24" s="85" t="s">
        <v>4</v>
      </c>
      <c r="E24" s="86">
        <v>11851877</v>
      </c>
      <c r="F24" s="109">
        <v>976800940</v>
      </c>
      <c r="G24" s="505">
        <f>E24*F23/E23</f>
        <v>514086260.55195755</v>
      </c>
      <c r="H24" s="113" t="s">
        <v>101</v>
      </c>
      <c r="I24" s="109">
        <v>1220417056</v>
      </c>
      <c r="J24" s="403">
        <f t="shared" si="1"/>
        <v>-0.57876181914655445</v>
      </c>
      <c r="K24" s="264" t="s">
        <v>150</v>
      </c>
      <c r="L24" s="227"/>
      <c r="M24" s="227"/>
      <c r="N24" s="227" t="s">
        <v>233</v>
      </c>
      <c r="O24" s="227"/>
      <c r="P24" s="227"/>
      <c r="T24" s="8"/>
      <c r="U24" s="8"/>
      <c r="V24" s="8"/>
      <c r="W24" s="8"/>
    </row>
    <row r="25" spans="2:25" ht="25.5" x14ac:dyDescent="0.35">
      <c r="B25" s="1086">
        <v>16598539</v>
      </c>
      <c r="D25" s="85" t="s">
        <v>5</v>
      </c>
      <c r="E25" s="86">
        <v>16598539</v>
      </c>
      <c r="F25" s="109">
        <v>1530911288</v>
      </c>
      <c r="G25" s="109">
        <v>1512169327</v>
      </c>
      <c r="H25" s="109">
        <v>1072585519</v>
      </c>
      <c r="I25" s="87">
        <v>976220878</v>
      </c>
      <c r="J25" s="403">
        <f t="shared" si="1"/>
        <v>0.54900326460750004</v>
      </c>
      <c r="K25" s="264" t="s">
        <v>151</v>
      </c>
      <c r="L25" s="227"/>
      <c r="M25" s="227"/>
      <c r="N25" s="227" t="s">
        <v>149</v>
      </c>
      <c r="O25" s="227"/>
      <c r="P25" s="227"/>
      <c r="T25" s="8"/>
      <c r="U25" s="8"/>
      <c r="V25" s="8"/>
      <c r="W25" s="8"/>
    </row>
    <row r="26" spans="2:25" ht="25.5" x14ac:dyDescent="0.35">
      <c r="B26" s="8"/>
      <c r="D26" s="85" t="s">
        <v>6</v>
      </c>
      <c r="E26" s="86">
        <v>6150933</v>
      </c>
      <c r="F26" s="109">
        <v>1970519534</v>
      </c>
      <c r="G26" s="109">
        <v>1802207058</v>
      </c>
      <c r="H26" s="109">
        <v>1758368425</v>
      </c>
      <c r="I26" s="87">
        <v>1540624303</v>
      </c>
      <c r="J26" s="403">
        <f t="shared" si="1"/>
        <v>0.16979010034479503</v>
      </c>
      <c r="K26" s="264" t="s">
        <v>235</v>
      </c>
      <c r="L26" s="227"/>
      <c r="M26" s="227"/>
      <c r="N26" s="264" t="s">
        <v>231</v>
      </c>
      <c r="O26" s="227"/>
      <c r="P26" s="227"/>
      <c r="T26" s="8"/>
      <c r="U26" s="8"/>
      <c r="V26" s="8"/>
      <c r="W26" s="8"/>
    </row>
    <row r="27" spans="2:25" ht="26.25" thickBot="1" x14ac:dyDescent="0.3">
      <c r="B27" s="8"/>
      <c r="D27" s="88" t="s">
        <v>7</v>
      </c>
      <c r="E27" s="89">
        <v>5342811</v>
      </c>
      <c r="F27" s="111">
        <v>2183136937</v>
      </c>
      <c r="G27" s="111">
        <v>2382181361</v>
      </c>
      <c r="H27" s="111">
        <v>1895277301</v>
      </c>
      <c r="I27" s="90">
        <v>1985272951</v>
      </c>
      <c r="J27" s="403">
        <f t="shared" si="1"/>
        <v>0.19992636770680505</v>
      </c>
      <c r="K27" s="265" t="s">
        <v>236</v>
      </c>
      <c r="L27" s="227"/>
      <c r="M27" s="227"/>
      <c r="N27" s="227" t="s">
        <v>488</v>
      </c>
      <c r="O27" s="227"/>
      <c r="P27" s="227"/>
      <c r="T27" s="8"/>
      <c r="U27" s="8"/>
      <c r="V27" s="8"/>
      <c r="W27" s="8"/>
    </row>
    <row r="28" spans="2:25" ht="22.5" x14ac:dyDescent="0.3">
      <c r="B28" s="8"/>
      <c r="D28" s="112"/>
      <c r="E28" s="112"/>
      <c r="F28" s="112"/>
      <c r="G28" s="112"/>
      <c r="H28" s="112"/>
      <c r="I28" s="112"/>
      <c r="J28" s="403"/>
      <c r="K28" s="113"/>
      <c r="L28" s="227"/>
      <c r="M28" s="227"/>
      <c r="N28" s="227"/>
      <c r="O28" s="227"/>
      <c r="P28" s="227"/>
      <c r="T28" s="8"/>
      <c r="U28" s="8"/>
      <c r="V28" s="8"/>
      <c r="W28" s="8"/>
    </row>
    <row r="29" spans="2:25" ht="23.25" thickBot="1" x14ac:dyDescent="0.3">
      <c r="B29" s="8"/>
      <c r="D29" s="1963" t="s">
        <v>145</v>
      </c>
      <c r="E29" s="1963"/>
      <c r="F29" s="1963"/>
      <c r="G29" s="1963"/>
      <c r="H29" s="1963"/>
      <c r="I29" s="1963"/>
      <c r="J29" s="403"/>
      <c r="K29" s="113"/>
      <c r="L29" s="227"/>
      <c r="M29" s="227"/>
      <c r="N29" s="227"/>
      <c r="O29" s="227"/>
      <c r="P29" s="227"/>
      <c r="T29" s="8"/>
      <c r="U29" s="8"/>
      <c r="V29" s="8"/>
      <c r="W29" s="8"/>
    </row>
    <row r="30" spans="2:25" ht="25.5" x14ac:dyDescent="0.25">
      <c r="B30" s="8"/>
      <c r="D30" s="42" t="s">
        <v>1</v>
      </c>
      <c r="E30" s="43" t="s">
        <v>139</v>
      </c>
      <c r="F30" s="43" t="s">
        <v>92</v>
      </c>
      <c r="G30" s="43"/>
      <c r="H30" s="43" t="s">
        <v>140</v>
      </c>
      <c r="I30" s="43" t="s">
        <v>141</v>
      </c>
      <c r="J30" s="16" t="s">
        <v>142</v>
      </c>
      <c r="K30" s="1083"/>
      <c r="L30" s="265"/>
      <c r="M30" s="227"/>
      <c r="N30" s="227"/>
      <c r="O30" s="227"/>
      <c r="P30" s="227"/>
      <c r="Q30" s="227"/>
      <c r="U30" s="8"/>
      <c r="V30" s="8"/>
      <c r="W30" s="8"/>
      <c r="X30" s="8"/>
    </row>
    <row r="31" spans="2:25" ht="25.5" x14ac:dyDescent="0.25">
      <c r="B31" s="8"/>
      <c r="D31" s="85" t="s">
        <v>74</v>
      </c>
      <c r="E31">
        <v>75673792</v>
      </c>
      <c r="F31" s="113">
        <v>2951338037.4964309</v>
      </c>
      <c r="G31" s="113">
        <f>H31/J31-1</f>
        <v>0.17123263323525184</v>
      </c>
      <c r="H31" s="113">
        <v>3253936930.4852624</v>
      </c>
      <c r="I31" s="113"/>
      <c r="J31" s="113">
        <v>2778215734.5608063</v>
      </c>
      <c r="K31" s="113"/>
      <c r="M31" s="266"/>
      <c r="N31" s="227" t="e">
        <f t="shared" ref="N31:N37" si="2">I31/K28-1</f>
        <v>#DIV/0!</v>
      </c>
      <c r="O31" s="227"/>
      <c r="P31" s="227"/>
      <c r="Q31" s="227"/>
      <c r="R31" s="227"/>
      <c r="V31" s="8"/>
      <c r="W31" s="8"/>
      <c r="X31" s="8"/>
      <c r="Y31" s="8"/>
    </row>
    <row r="32" spans="2:25" ht="25.5" x14ac:dyDescent="0.25">
      <c r="B32" s="8"/>
      <c r="D32" s="85" t="s">
        <v>75</v>
      </c>
      <c r="E32">
        <v>85092838</v>
      </c>
      <c r="F32" s="113">
        <v>3223698366.3180714</v>
      </c>
      <c r="G32" s="113">
        <f t="shared" ref="G32:G37" si="3">H32/J32-1</f>
        <v>8.5222768007913396E-2</v>
      </c>
      <c r="H32">
        <v>3202859234.3789196</v>
      </c>
      <c r="I32" s="113"/>
      <c r="J32" s="113">
        <v>2951338037.4964309</v>
      </c>
      <c r="K32" s="113"/>
      <c r="M32" s="266"/>
      <c r="N32" s="227" t="e">
        <f t="shared" si="2"/>
        <v>#DIV/0!</v>
      </c>
      <c r="O32" s="227"/>
      <c r="P32" s="227"/>
      <c r="Q32" s="227"/>
      <c r="R32" s="227"/>
      <c r="V32" s="8"/>
      <c r="W32" s="8"/>
      <c r="X32" s="8"/>
      <c r="Y32" s="8"/>
    </row>
    <row r="33" spans="1:25" ht="25.5" x14ac:dyDescent="0.25">
      <c r="B33" s="8"/>
      <c r="D33" s="85" t="s">
        <v>76</v>
      </c>
      <c r="E33" s="86">
        <v>83895139</v>
      </c>
      <c r="F33">
        <v>3166879712.3785648</v>
      </c>
      <c r="G33" s="113">
        <f>H33/J33-1</f>
        <v>6.4045105094727273E-2</v>
      </c>
      <c r="H33">
        <v>3430160466.9826126</v>
      </c>
      <c r="I33" s="113"/>
      <c r="J33" s="113">
        <v>3223698366.3180714</v>
      </c>
      <c r="K33" s="113"/>
      <c r="M33" s="266"/>
      <c r="N33" s="227" t="e">
        <f t="shared" si="2"/>
        <v>#DIV/0!</v>
      </c>
      <c r="O33" s="227"/>
      <c r="P33" s="227"/>
      <c r="Q33" s="227"/>
      <c r="R33" s="227"/>
      <c r="V33" s="8"/>
      <c r="W33" s="8"/>
      <c r="X33" s="8"/>
      <c r="Y33" s="8"/>
    </row>
    <row r="34" spans="1:25" ht="25.5" x14ac:dyDescent="0.25">
      <c r="B34" s="8"/>
      <c r="D34" s="85" t="s">
        <v>4</v>
      </c>
      <c r="E34" s="86">
        <v>85519767</v>
      </c>
      <c r="F34" s="87">
        <v>3630325787</v>
      </c>
      <c r="G34" s="113">
        <f t="shared" si="3"/>
        <v>1.936498370900841E-2</v>
      </c>
      <c r="H34">
        <f>E34*(F33/E33)</f>
        <v>3228206286.4171653</v>
      </c>
      <c r="I34" s="113"/>
      <c r="J34">
        <v>3166879712.3785648</v>
      </c>
      <c r="K34" s="113"/>
      <c r="M34" s="266" t="s">
        <v>237</v>
      </c>
      <c r="N34" s="227" t="e">
        <f t="shared" si="2"/>
        <v>#DIV/0!</v>
      </c>
      <c r="O34" s="227"/>
      <c r="P34" s="227"/>
      <c r="Q34" s="227"/>
      <c r="R34" s="227"/>
      <c r="V34" s="8"/>
      <c r="W34" s="8"/>
      <c r="X34" s="8"/>
      <c r="Y34" s="8"/>
    </row>
    <row r="35" spans="1:25" ht="22.5" x14ac:dyDescent="0.25">
      <c r="A35" s="5"/>
      <c r="B35" s="52"/>
      <c r="C35" s="6"/>
      <c r="D35" s="85" t="s">
        <v>5</v>
      </c>
      <c r="E35" s="86">
        <v>88513663</v>
      </c>
      <c r="F35" s="109">
        <v>3945710493</v>
      </c>
      <c r="G35" s="113">
        <f t="shared" si="3"/>
        <v>3.8200583676706756E-2</v>
      </c>
      <c r="H35" s="109">
        <v>3769006351</v>
      </c>
      <c r="I35" s="109">
        <v>3769006351</v>
      </c>
      <c r="J35" s="87">
        <v>3630325787</v>
      </c>
      <c r="N35" s="227" t="e">
        <f t="shared" si="2"/>
        <v>#DIV/0!</v>
      </c>
      <c r="V35" s="8"/>
      <c r="W35" s="8"/>
      <c r="X35" s="8"/>
      <c r="Y35" s="8"/>
    </row>
    <row r="36" spans="1:25" ht="22.5" x14ac:dyDescent="0.25">
      <c r="A36" s="5"/>
      <c r="B36" s="52"/>
      <c r="C36" s="5"/>
      <c r="D36" s="85" t="s">
        <v>6</v>
      </c>
      <c r="E36" s="86">
        <v>92412727</v>
      </c>
      <c r="F36" s="109">
        <v>4208381075</v>
      </c>
      <c r="G36" s="113">
        <f t="shared" si="3"/>
        <v>6.3652717931528713E-2</v>
      </c>
      <c r="H36" s="109">
        <v>4197202384</v>
      </c>
      <c r="I36" s="109">
        <v>4197202384</v>
      </c>
      <c r="J36" s="87">
        <v>3946027038</v>
      </c>
      <c r="N36" s="227" t="e">
        <f t="shared" si="2"/>
        <v>#DIV/0!</v>
      </c>
      <c r="V36" s="8"/>
      <c r="W36" s="8"/>
      <c r="X36" s="8"/>
      <c r="Y36" s="8"/>
    </row>
    <row r="37" spans="1:25" ht="23.25" thickBot="1" x14ac:dyDescent="0.3">
      <c r="B37" s="8"/>
      <c r="C37" s="5"/>
      <c r="D37" s="88" t="s">
        <v>7</v>
      </c>
      <c r="E37" s="89">
        <v>90724524</v>
      </c>
      <c r="F37" s="111">
        <v>4234047152</v>
      </c>
      <c r="G37" s="113">
        <f t="shared" si="3"/>
        <v>-1.2626246939035246E-2</v>
      </c>
      <c r="H37" s="111">
        <v>4158732063</v>
      </c>
      <c r="I37" s="111">
        <v>4158732063</v>
      </c>
      <c r="J37" s="90">
        <v>4211912713</v>
      </c>
      <c r="N37" s="504" t="e">
        <f t="shared" si="2"/>
        <v>#DIV/0!</v>
      </c>
      <c r="V37" s="8"/>
      <c r="W37" s="8"/>
      <c r="X37" s="8"/>
      <c r="Y37" s="8"/>
    </row>
    <row r="38" spans="1:25" ht="22.5" x14ac:dyDescent="0.3">
      <c r="C38" s="5"/>
      <c r="D38" s="112"/>
      <c r="E38" s="112"/>
      <c r="F38" s="112"/>
      <c r="G38" s="112"/>
      <c r="H38" s="112"/>
      <c r="I38" s="112"/>
      <c r="J38" s="403"/>
      <c r="K38" s="403"/>
    </row>
    <row r="39" spans="1:25" ht="23.25" thickBot="1" x14ac:dyDescent="0.3">
      <c r="C39" s="5"/>
      <c r="D39" s="1963" t="s">
        <v>146</v>
      </c>
      <c r="E39" s="1963"/>
      <c r="F39" s="1963"/>
      <c r="G39" s="1963"/>
      <c r="H39" s="1963"/>
      <c r="I39" s="1963"/>
      <c r="J39" s="403"/>
      <c r="K39" s="403"/>
    </row>
    <row r="40" spans="1:25" ht="22.5" x14ac:dyDescent="0.25">
      <c r="C40" s="5"/>
      <c r="D40" s="42" t="s">
        <v>1</v>
      </c>
      <c r="E40" s="43" t="s">
        <v>139</v>
      </c>
      <c r="F40" s="43" t="s">
        <v>92</v>
      </c>
      <c r="G40" s="43" t="s">
        <v>140</v>
      </c>
      <c r="H40" s="43" t="s">
        <v>141</v>
      </c>
      <c r="I40" s="16" t="s">
        <v>142</v>
      </c>
      <c r="J40" s="403"/>
      <c r="K40" s="403"/>
    </row>
    <row r="41" spans="1:25" ht="22.5" x14ac:dyDescent="0.25">
      <c r="C41" s="5"/>
      <c r="D41" s="85" t="s">
        <v>74</v>
      </c>
      <c r="E41" s="86" t="s">
        <v>464</v>
      </c>
      <c r="F41" s="86" t="s">
        <v>464</v>
      </c>
      <c r="G41" s="113"/>
      <c r="H41" s="113"/>
      <c r="I41" s="115"/>
      <c r="J41" s="86" t="s">
        <v>464</v>
      </c>
      <c r="K41" s="403">
        <v>0.12085078383044756</v>
      </c>
    </row>
    <row r="42" spans="1:25" ht="22.5" x14ac:dyDescent="0.25">
      <c r="C42" s="5"/>
      <c r="D42" s="85" t="s">
        <v>75</v>
      </c>
      <c r="E42" s="86" t="s">
        <v>464</v>
      </c>
      <c r="F42" s="86" t="s">
        <v>464</v>
      </c>
      <c r="G42" s="113"/>
      <c r="H42" s="113"/>
      <c r="I42" s="115"/>
      <c r="J42" s="86" t="s">
        <v>464</v>
      </c>
      <c r="K42" s="403">
        <v>0.10298501254586756</v>
      </c>
    </row>
    <row r="43" spans="1:25" ht="22.5" x14ac:dyDescent="0.25">
      <c r="C43" s="5"/>
      <c r="D43" s="85" t="s">
        <v>76</v>
      </c>
      <c r="E43" s="86" t="s">
        <v>464</v>
      </c>
      <c r="F43" s="86" t="s">
        <v>464</v>
      </c>
      <c r="G43" s="113"/>
      <c r="H43" s="113"/>
      <c r="I43" s="115"/>
      <c r="J43" s="86" t="s">
        <v>464</v>
      </c>
      <c r="K43" s="403">
        <v>5.2963851653517358E-2</v>
      </c>
    </row>
    <row r="44" spans="1:25" ht="22.5" x14ac:dyDescent="0.25">
      <c r="C44" s="5"/>
      <c r="D44" s="85" t="s">
        <v>4</v>
      </c>
      <c r="E44" s="86">
        <v>258217386</v>
      </c>
      <c r="F44" s="109">
        <v>714025656</v>
      </c>
      <c r="G44" s="113">
        <v>0</v>
      </c>
      <c r="H44" s="113" t="s">
        <v>101</v>
      </c>
      <c r="I44" s="115" t="s">
        <v>101</v>
      </c>
      <c r="J44" s="86" t="s">
        <v>464</v>
      </c>
      <c r="K44" s="403">
        <v>0.22439940300482353</v>
      </c>
    </row>
    <row r="45" spans="1:25" ht="22.5" x14ac:dyDescent="0.25">
      <c r="B45" s="1086">
        <v>279722459</v>
      </c>
      <c r="C45" s="5"/>
      <c r="D45" s="85" t="s">
        <v>5</v>
      </c>
      <c r="E45" s="86">
        <v>279722459</v>
      </c>
      <c r="F45" s="109">
        <v>686042927</v>
      </c>
      <c r="G45" s="109">
        <v>697181685</v>
      </c>
      <c r="H45" s="109">
        <v>711516461</v>
      </c>
      <c r="I45" s="87">
        <v>714025656</v>
      </c>
      <c r="J45" s="403">
        <f>G45/I45-1</f>
        <v>-2.3590148138878608E-2</v>
      </c>
      <c r="K45" s="403">
        <v>4.8981315076582099E-2</v>
      </c>
    </row>
    <row r="46" spans="1:25" ht="23.25" customHeight="1" x14ac:dyDescent="0.25">
      <c r="A46" s="5"/>
      <c r="B46" s="5"/>
      <c r="C46" s="5"/>
      <c r="D46" s="85" t="s">
        <v>6</v>
      </c>
      <c r="E46" s="86">
        <v>301073413</v>
      </c>
      <c r="F46" s="109">
        <v>758266445</v>
      </c>
      <c r="G46" s="109">
        <v>725952384</v>
      </c>
      <c r="H46" s="109">
        <v>725683415</v>
      </c>
      <c r="I46" s="87">
        <v>686042927</v>
      </c>
      <c r="J46" s="403">
        <f>G46/I46-1</f>
        <v>5.8173410772588641E-2</v>
      </c>
      <c r="K46" s="403">
        <v>3.4600052487566035E-2</v>
      </c>
    </row>
    <row r="47" spans="1:25" ht="23.25" thickBot="1" x14ac:dyDescent="0.3">
      <c r="C47" s="5"/>
      <c r="D47" s="88" t="s">
        <v>7</v>
      </c>
      <c r="E47" s="89">
        <v>321876384</v>
      </c>
      <c r="F47" s="111">
        <v>805583529</v>
      </c>
      <c r="G47" s="111">
        <v>802164885</v>
      </c>
      <c r="H47" s="111">
        <v>772606582</v>
      </c>
      <c r="I47" s="90">
        <v>758265178</v>
      </c>
      <c r="J47" s="403">
        <f>G47/I47-1</f>
        <v>5.7894926832575688E-2</v>
      </c>
      <c r="K47" s="403">
        <v>2.8052654467090932E-2</v>
      </c>
    </row>
    <row r="48" spans="1:25" ht="22.5" x14ac:dyDescent="0.3">
      <c r="C48" s="5"/>
      <c r="D48" s="112"/>
      <c r="E48" s="112"/>
      <c r="F48" s="112"/>
      <c r="G48" s="112"/>
      <c r="H48" s="112"/>
      <c r="I48" s="112"/>
      <c r="J48" s="403"/>
    </row>
    <row r="49" spans="4:12" ht="23.25" thickBot="1" x14ac:dyDescent="0.3">
      <c r="D49" s="1963" t="s">
        <v>147</v>
      </c>
      <c r="E49" s="1963"/>
      <c r="F49" s="1963"/>
      <c r="G49" s="1963"/>
      <c r="H49" s="1963"/>
      <c r="I49" s="1963"/>
      <c r="J49" s="403"/>
    </row>
    <row r="50" spans="4:12" ht="22.5" x14ac:dyDescent="0.25">
      <c r="D50" s="42" t="s">
        <v>1</v>
      </c>
      <c r="E50" s="43" t="s">
        <v>139</v>
      </c>
      <c r="F50" s="43" t="s">
        <v>92</v>
      </c>
      <c r="G50" s="43" t="s">
        <v>140</v>
      </c>
      <c r="H50" s="43" t="s">
        <v>141</v>
      </c>
      <c r="I50" s="16" t="s">
        <v>142</v>
      </c>
      <c r="J50" s="403"/>
    </row>
    <row r="51" spans="4:12" ht="22.5" x14ac:dyDescent="0.25">
      <c r="D51" s="85" t="s">
        <v>74</v>
      </c>
      <c r="E51" s="225">
        <v>16389891</v>
      </c>
      <c r="F51" s="113">
        <v>2693881413.4218006</v>
      </c>
      <c r="G51" s="403">
        <v>0.12085078383044756</v>
      </c>
      <c r="H51" s="113">
        <v>2573818533.0490503</v>
      </c>
      <c r="I51" s="113"/>
      <c r="J51" s="113">
        <v>2296307920.8930588</v>
      </c>
      <c r="L51" s="403"/>
    </row>
    <row r="52" spans="4:12" ht="22.5" x14ac:dyDescent="0.25">
      <c r="D52" s="85" t="s">
        <v>75</v>
      </c>
      <c r="E52" s="225">
        <v>17738894</v>
      </c>
      <c r="F52" s="113">
        <v>3007586354.8453903</v>
      </c>
      <c r="G52" s="403">
        <v>0.10298501254586756</v>
      </c>
      <c r="H52" s="113">
        <v>2971310824.5801244</v>
      </c>
      <c r="I52" s="113"/>
      <c r="J52" s="113">
        <v>2693881413.4218006</v>
      </c>
      <c r="L52" s="403"/>
    </row>
    <row r="53" spans="4:12" ht="22.5" x14ac:dyDescent="0.25">
      <c r="D53" s="85" t="s">
        <v>76</v>
      </c>
      <c r="E53" s="225">
        <v>19259205</v>
      </c>
      <c r="F53" s="113">
        <v>3212743040.872818</v>
      </c>
      <c r="G53" s="403">
        <v>5.2963851653517358E-2</v>
      </c>
      <c r="H53" s="113">
        <v>3166879712.3785648</v>
      </c>
      <c r="I53" s="113"/>
      <c r="J53" s="113">
        <v>3007586354.8453903</v>
      </c>
      <c r="L53" s="403"/>
    </row>
    <row r="54" spans="4:12" ht="22.5" x14ac:dyDescent="0.25">
      <c r="D54" s="85" t="s">
        <v>4</v>
      </c>
      <c r="E54" s="86">
        <v>21751043</v>
      </c>
      <c r="F54" s="109">
        <v>3333571276</v>
      </c>
      <c r="G54" s="403">
        <v>0.22439940300482353</v>
      </c>
      <c r="H54" s="113">
        <v>3933680661.2525797</v>
      </c>
      <c r="I54" s="113"/>
      <c r="J54" s="113">
        <v>3212743040.872818</v>
      </c>
      <c r="L54" s="403"/>
    </row>
    <row r="55" spans="4:12" ht="22.5" x14ac:dyDescent="0.25">
      <c r="D55" s="85" t="s">
        <v>5</v>
      </c>
      <c r="E55" s="86">
        <v>22674811</v>
      </c>
      <c r="F55" s="109">
        <v>3570652030</v>
      </c>
      <c r="G55" s="403">
        <v>4.8981315076582099E-2</v>
      </c>
      <c r="H55" s="109">
        <v>3496853981</v>
      </c>
      <c r="I55" s="109">
        <v>3424096327</v>
      </c>
      <c r="J55" s="87">
        <v>3333571276</v>
      </c>
      <c r="L55" s="403"/>
    </row>
    <row r="56" spans="4:12" ht="22.5" x14ac:dyDescent="0.25">
      <c r="D56" s="85" t="s">
        <v>6</v>
      </c>
      <c r="E56" s="86">
        <v>23440616</v>
      </c>
      <c r="F56" s="109">
        <v>3762869183</v>
      </c>
      <c r="G56" s="403">
        <v>3.4600052487566035E-2</v>
      </c>
      <c r="H56" s="109">
        <v>3694369560</v>
      </c>
      <c r="I56" s="109">
        <v>3663502661</v>
      </c>
      <c r="J56" s="87">
        <v>3570819034</v>
      </c>
      <c r="L56" s="403"/>
    </row>
    <row r="57" spans="4:12" ht="23.25" thickBot="1" x14ac:dyDescent="0.3">
      <c r="D57" s="88" t="s">
        <v>7</v>
      </c>
      <c r="E57" s="89">
        <v>24341950</v>
      </c>
      <c r="F57" s="111">
        <v>3863586450</v>
      </c>
      <c r="G57" s="403">
        <v>2.8052654467090932E-2</v>
      </c>
      <c r="H57" s="111">
        <v>3868161190</v>
      </c>
      <c r="I57" s="111">
        <v>3771793975</v>
      </c>
      <c r="J57" s="90">
        <v>3762609992</v>
      </c>
      <c r="L57" s="403"/>
    </row>
    <row r="58" spans="4:12" ht="22.5" x14ac:dyDescent="0.3">
      <c r="D58" s="112"/>
      <c r="E58" s="112"/>
      <c r="F58" s="112"/>
      <c r="G58" s="112"/>
      <c r="H58" s="112"/>
      <c r="I58" s="112"/>
      <c r="J58" s="403"/>
    </row>
    <row r="59" spans="4:12" ht="23.25" thickBot="1" x14ac:dyDescent="0.3">
      <c r="D59" s="1963" t="s">
        <v>148</v>
      </c>
      <c r="E59" s="1963"/>
      <c r="F59" s="1963"/>
      <c r="G59" s="1963"/>
      <c r="H59" s="1963"/>
      <c r="I59" s="1963"/>
      <c r="J59" s="403"/>
    </row>
    <row r="60" spans="4:12" ht="22.5" x14ac:dyDescent="0.25">
      <c r="D60" s="42" t="s">
        <v>1</v>
      </c>
      <c r="E60" s="43" t="s">
        <v>139</v>
      </c>
      <c r="F60" s="43" t="s">
        <v>92</v>
      </c>
      <c r="G60" s="43" t="s">
        <v>140</v>
      </c>
      <c r="H60" s="43" t="s">
        <v>141</v>
      </c>
      <c r="I60" s="16" t="s">
        <v>142</v>
      </c>
      <c r="J60" s="403"/>
    </row>
    <row r="61" spans="4:12" ht="22.5" x14ac:dyDescent="0.25">
      <c r="D61" s="85" t="s">
        <v>74</v>
      </c>
      <c r="E61" s="86" t="s">
        <v>464</v>
      </c>
      <c r="F61" s="109" t="s">
        <v>464</v>
      </c>
      <c r="G61" s="113"/>
      <c r="H61" s="113"/>
      <c r="I61" s="115"/>
      <c r="J61" s="403" t="s">
        <v>464</v>
      </c>
    </row>
    <row r="62" spans="4:12" ht="22.5" x14ac:dyDescent="0.25">
      <c r="D62" s="85" t="s">
        <v>75</v>
      </c>
      <c r="E62" s="86" t="s">
        <v>464</v>
      </c>
      <c r="F62" s="109" t="s">
        <v>464</v>
      </c>
      <c r="G62" s="113"/>
      <c r="H62" s="113"/>
      <c r="I62" s="115"/>
      <c r="J62" s="403" t="s">
        <v>464</v>
      </c>
    </row>
    <row r="63" spans="4:12" ht="22.5" x14ac:dyDescent="0.25">
      <c r="D63" s="85" t="s">
        <v>76</v>
      </c>
      <c r="E63" s="86">
        <v>6696525</v>
      </c>
      <c r="F63" s="109">
        <v>172274228</v>
      </c>
      <c r="G63" s="113"/>
      <c r="H63" s="113"/>
      <c r="I63" s="115"/>
      <c r="J63" s="403" t="s">
        <v>464</v>
      </c>
    </row>
    <row r="64" spans="4:12" ht="22.5" x14ac:dyDescent="0.25">
      <c r="D64" s="85" t="s">
        <v>4</v>
      </c>
      <c r="E64" s="86">
        <v>7654290</v>
      </c>
      <c r="F64" s="109">
        <v>214203331</v>
      </c>
      <c r="G64" s="113">
        <v>213611307</v>
      </c>
      <c r="H64" s="113" t="s">
        <v>101</v>
      </c>
      <c r="I64" s="109">
        <v>172274228</v>
      </c>
      <c r="J64" s="403">
        <f>G64/I64-1</f>
        <v>0.23994929177682911</v>
      </c>
    </row>
    <row r="65" spans="1:12" ht="22.5" x14ac:dyDescent="0.25">
      <c r="B65" s="1084">
        <v>8965833</v>
      </c>
      <c r="D65" s="85" t="s">
        <v>5</v>
      </c>
      <c r="E65" s="86">
        <v>8965833</v>
      </c>
      <c r="F65" s="109">
        <v>254832199</v>
      </c>
      <c r="G65" s="109">
        <v>249054148</v>
      </c>
      <c r="H65" s="109">
        <v>214830996</v>
      </c>
      <c r="I65" s="87">
        <v>214203331</v>
      </c>
      <c r="J65" s="403">
        <f>G65/I65-1</f>
        <v>0.16269969676615337</v>
      </c>
    </row>
    <row r="66" spans="1:12" ht="22.5" x14ac:dyDescent="0.25">
      <c r="D66" s="85" t="s">
        <v>6</v>
      </c>
      <c r="E66" s="86">
        <v>7236366</v>
      </c>
      <c r="F66" s="109">
        <v>194852225</v>
      </c>
      <c r="G66" s="109">
        <v>205969612</v>
      </c>
      <c r="H66" s="109">
        <v>240657558</v>
      </c>
      <c r="I66" s="87">
        <v>254832199</v>
      </c>
      <c r="J66" s="403">
        <f>G66/I66-1</f>
        <v>-0.19174416416663265</v>
      </c>
    </row>
    <row r="67" spans="1:12" ht="23.25" thickBot="1" x14ac:dyDescent="0.3">
      <c r="D67" s="88" t="s">
        <v>7</v>
      </c>
      <c r="E67" s="89">
        <v>435669</v>
      </c>
      <c r="F67" s="111">
        <v>5470622</v>
      </c>
      <c r="G67" s="111">
        <v>5488318</v>
      </c>
      <c r="H67" s="111">
        <v>200223916</v>
      </c>
      <c r="I67" s="90">
        <v>194852225</v>
      </c>
      <c r="J67" s="403">
        <f>G67/I67-1</f>
        <v>-0.97183343428590563</v>
      </c>
    </row>
    <row r="68" spans="1:12" ht="22.5" x14ac:dyDescent="0.3">
      <c r="D68" s="112"/>
      <c r="E68" s="112"/>
      <c r="F68" s="112"/>
      <c r="G68" s="112"/>
      <c r="H68" s="112"/>
      <c r="I68" s="112"/>
      <c r="J68" s="403"/>
    </row>
    <row r="69" spans="1:12" ht="23.25" thickBot="1" x14ac:dyDescent="0.3">
      <c r="D69" s="1963" t="s">
        <v>109</v>
      </c>
      <c r="E69" s="1963"/>
      <c r="F69" s="1963"/>
      <c r="G69" s="1963"/>
      <c r="H69" s="1963"/>
      <c r="I69" s="1963"/>
      <c r="J69" s="403"/>
    </row>
    <row r="70" spans="1:12" ht="22.5" x14ac:dyDescent="0.25">
      <c r="A70" t="s">
        <v>482</v>
      </c>
      <c r="D70" s="42" t="s">
        <v>1</v>
      </c>
      <c r="E70" s="43" t="s">
        <v>139</v>
      </c>
      <c r="F70" s="43" t="s">
        <v>92</v>
      </c>
      <c r="G70" s="43" t="s">
        <v>140</v>
      </c>
      <c r="H70" s="43" t="s">
        <v>141</v>
      </c>
      <c r="I70" s="16" t="s">
        <v>142</v>
      </c>
      <c r="J70" s="403"/>
    </row>
    <row r="71" spans="1:12" ht="22.5" x14ac:dyDescent="0.25">
      <c r="A71" t="s">
        <v>483</v>
      </c>
      <c r="D71" s="85" t="s">
        <v>74</v>
      </c>
      <c r="E71" s="86">
        <v>290850067</v>
      </c>
      <c r="F71" s="86">
        <v>9236600997</v>
      </c>
      <c r="G71" s="113"/>
      <c r="H71" s="113"/>
      <c r="I71" s="115"/>
      <c r="J71" s="403" t="s">
        <v>464</v>
      </c>
    </row>
    <row r="72" spans="1:12" ht="22.5" x14ac:dyDescent="0.25">
      <c r="A72" t="s">
        <v>484</v>
      </c>
      <c r="D72" s="85" t="s">
        <v>75</v>
      </c>
      <c r="E72" s="86">
        <v>317944597</v>
      </c>
      <c r="F72" s="86">
        <v>10239082145</v>
      </c>
      <c r="G72" s="507">
        <f>E72*F71/E71</f>
        <v>10097049011.994772</v>
      </c>
      <c r="H72" s="113"/>
      <c r="I72" s="86">
        <v>9236600997</v>
      </c>
      <c r="J72" s="403">
        <f t="shared" ref="J72:J77" si="4">G72/I72-1</f>
        <v>9.3156347803076134E-2</v>
      </c>
    </row>
    <row r="73" spans="1:12" ht="22.5" x14ac:dyDescent="0.25">
      <c r="A73" t="s">
        <v>485</v>
      </c>
      <c r="D73" s="85" t="s">
        <v>76</v>
      </c>
      <c r="E73" s="86">
        <v>359444019</v>
      </c>
      <c r="F73" s="86">
        <v>12049482351</v>
      </c>
      <c r="G73" s="507">
        <f>E73*F72/E72</f>
        <v>11575528792.741022</v>
      </c>
      <c r="H73" s="113"/>
      <c r="I73" s="86">
        <v>10239082145</v>
      </c>
      <c r="J73" s="403">
        <f t="shared" si="4"/>
        <v>0.13052406737391431</v>
      </c>
    </row>
    <row r="74" spans="1:12" ht="22.5" x14ac:dyDescent="0.25">
      <c r="A74" t="s">
        <v>486</v>
      </c>
      <c r="D74" s="85" t="s">
        <v>4</v>
      </c>
      <c r="E74" s="109">
        <f>E13+E24+E44+E144+E94+E104+E114+E124+E134</f>
        <v>361804321</v>
      </c>
      <c r="F74" s="109">
        <f>F13+F24+F44+F64+F144+F94+F104+F114+F124+F134</f>
        <v>10623346440</v>
      </c>
      <c r="G74" s="109">
        <v>11487835890</v>
      </c>
      <c r="H74" s="86">
        <v>4401019</v>
      </c>
      <c r="I74" s="86">
        <v>12049482351</v>
      </c>
      <c r="J74" s="403">
        <f t="shared" si="4"/>
        <v>-4.6611667177004379E-2</v>
      </c>
      <c r="K74" s="109">
        <v>312604566</v>
      </c>
    </row>
    <row r="75" spans="1:12" ht="22.5" x14ac:dyDescent="0.25">
      <c r="A75" t="s">
        <v>487</v>
      </c>
      <c r="D75" s="85" t="s">
        <v>5</v>
      </c>
      <c r="E75" s="109">
        <f>E14+E25+E45+E65+E95+E105+E115+E125+E135+E145</f>
        <v>401864132</v>
      </c>
      <c r="F75" s="109">
        <f>F14+F25+F45+F65+F145+F95+F105+F115+F125+F135</f>
        <v>12162031638.5</v>
      </c>
      <c r="G75" s="109">
        <f>G14+G25+G45+G65+G145+G95+G105+G115+G125+G135</f>
        <v>11886326270.5</v>
      </c>
      <c r="H75" s="86">
        <v>4782324</v>
      </c>
      <c r="I75" s="109">
        <f>I14+I25+I45+I65+I145+I95+I105+I115+I125+I135</f>
        <v>10622599460</v>
      </c>
      <c r="J75" s="403">
        <f t="shared" si="4"/>
        <v>0.11896587226682453</v>
      </c>
      <c r="K75" s="109">
        <v>346684042</v>
      </c>
      <c r="L75" s="87">
        <v>312462521</v>
      </c>
    </row>
    <row r="76" spans="1:12" ht="23.25" customHeight="1" x14ac:dyDescent="0.25">
      <c r="D76" s="85" t="s">
        <v>6</v>
      </c>
      <c r="E76" s="109">
        <f>E15+E26+E46+E146+E96+E106+E116+E126+E136</f>
        <v>406887567</v>
      </c>
      <c r="F76" s="109">
        <f>F15+F26+F46+F66+F146+F96+F106+F116+F126+F136</f>
        <v>13307869308</v>
      </c>
      <c r="G76" s="109">
        <f>G15+G26+G46+G66+G146+G96+G106+G116+G126+G136</f>
        <v>12856836494</v>
      </c>
      <c r="H76" s="86">
        <v>4767718</v>
      </c>
      <c r="I76" s="109">
        <f>I15+I26+I46+I66+I146+I96+I106+I116+I126+I136</f>
        <v>12171570125.5</v>
      </c>
      <c r="J76" s="403">
        <f t="shared" si="4"/>
        <v>5.630057268160793E-2</v>
      </c>
      <c r="K76" s="109">
        <v>343509280</v>
      </c>
      <c r="L76" s="87">
        <v>346530256</v>
      </c>
    </row>
    <row r="77" spans="1:12" ht="23.25" thickBot="1" x14ac:dyDescent="0.3">
      <c r="D77" s="88" t="s">
        <v>7</v>
      </c>
      <c r="E77" s="109">
        <f>E16+E27+E47+E147+E97+E107+E117+E127+E137</f>
        <v>428310401</v>
      </c>
      <c r="F77" s="109">
        <f>F16+F27+F47+F67+F147+F97+F107+F117+F127+F137</f>
        <v>13629397236.9</v>
      </c>
      <c r="G77" s="109">
        <f>G16+G27+G47+G67+G147+G97+G107+G117+G127+G137</f>
        <v>13803182674.9</v>
      </c>
      <c r="H77" s="89">
        <v>4789366</v>
      </c>
      <c r="I77" s="109">
        <f>I16+I27+I47+I67+I147+I97+I107+I117+I127+I137</f>
        <v>13323627800</v>
      </c>
      <c r="J77" s="403">
        <f t="shared" si="4"/>
        <v>3.5992815327669181E-2</v>
      </c>
      <c r="K77" s="111">
        <v>358130706</v>
      </c>
      <c r="L77" s="90">
        <v>344237891</v>
      </c>
    </row>
    <row r="78" spans="1:12" ht="22.5" x14ac:dyDescent="0.3">
      <c r="D78" s="112"/>
      <c r="E78" s="112"/>
      <c r="F78" s="112"/>
      <c r="G78" s="112"/>
      <c r="H78" s="112"/>
      <c r="I78" s="112"/>
      <c r="J78" s="403"/>
    </row>
    <row r="79" spans="1:12" ht="23.25" thickBot="1" x14ac:dyDescent="0.3">
      <c r="D79" s="1963" t="s">
        <v>149</v>
      </c>
      <c r="E79" s="1963"/>
      <c r="F79" s="1963"/>
      <c r="G79" s="1963"/>
      <c r="H79" s="1963"/>
      <c r="I79" s="1963"/>
      <c r="J79" s="403"/>
    </row>
    <row r="80" spans="1:12" ht="22.5" x14ac:dyDescent="0.25">
      <c r="D80" s="42" t="s">
        <v>1</v>
      </c>
      <c r="E80" s="43" t="s">
        <v>139</v>
      </c>
      <c r="F80" s="43" t="s">
        <v>92</v>
      </c>
      <c r="G80" s="43" t="s">
        <v>140</v>
      </c>
      <c r="H80" s="43" t="s">
        <v>141</v>
      </c>
      <c r="I80" s="16" t="s">
        <v>142</v>
      </c>
      <c r="J80" s="403"/>
    </row>
    <row r="81" spans="4:10" ht="22.5" x14ac:dyDescent="0.25">
      <c r="D81" s="85" t="s">
        <v>74</v>
      </c>
      <c r="E81" s="86">
        <v>52724302</v>
      </c>
      <c r="F81">
        <v>5569045486.7889786</v>
      </c>
      <c r="G81">
        <v>5424654905.8055468</v>
      </c>
      <c r="H81" s="113"/>
      <c r="I81" s="113">
        <v>4925122087.2610188</v>
      </c>
      <c r="J81" s="403">
        <f t="shared" ref="J81:J87" si="5">G81/I81-1</f>
        <v>0.10142546919528872</v>
      </c>
    </row>
    <row r="82" spans="4:10" ht="22.5" x14ac:dyDescent="0.25">
      <c r="D82" s="85" t="s">
        <v>75</v>
      </c>
      <c r="E82" s="86">
        <v>60541477</v>
      </c>
      <c r="F82">
        <v>6213177870.8596992</v>
      </c>
      <c r="G82">
        <v>6118821077.0138874</v>
      </c>
      <c r="H82" s="113"/>
      <c r="I82" s="113">
        <v>5569045486.7889786</v>
      </c>
      <c r="J82" s="403">
        <f t="shared" si="5"/>
        <v>9.8719895811427483E-2</v>
      </c>
    </row>
    <row r="83" spans="4:10" ht="22.5" x14ac:dyDescent="0.25">
      <c r="D83" s="85" t="s">
        <v>76</v>
      </c>
      <c r="E83" s="86">
        <v>63453507</v>
      </c>
      <c r="F83">
        <v>5880117484.2040462</v>
      </c>
      <c r="G83">
        <v>5787246983.4031582</v>
      </c>
      <c r="H83" s="113"/>
      <c r="I83" s="113">
        <v>6213177870.8596992</v>
      </c>
      <c r="J83" s="403">
        <f t="shared" si="5"/>
        <v>-6.8552823741646063E-2</v>
      </c>
    </row>
    <row r="84" spans="4:10" ht="22.5" x14ac:dyDescent="0.25">
      <c r="D84" s="85" t="s">
        <v>4</v>
      </c>
      <c r="E84" s="86">
        <v>69678564</v>
      </c>
      <c r="F84" s="109">
        <v>6552679133</v>
      </c>
      <c r="G84">
        <v>6359890931.8221846</v>
      </c>
      <c r="H84" s="113" t="s">
        <v>101</v>
      </c>
      <c r="I84">
        <v>5880117484.2040462</v>
      </c>
      <c r="J84" s="403">
        <f t="shared" si="5"/>
        <v>8.1592493501527752E-2</v>
      </c>
    </row>
    <row r="85" spans="4:10" ht="22.5" x14ac:dyDescent="0.25">
      <c r="D85" s="85" t="s">
        <v>5</v>
      </c>
      <c r="E85" s="86">
        <v>74421017</v>
      </c>
      <c r="F85" s="109">
        <v>7317052852</v>
      </c>
      <c r="G85" s="109">
        <v>7041261652</v>
      </c>
      <c r="H85" s="109">
        <v>6832343870</v>
      </c>
      <c r="I85" s="87">
        <v>6549476601</v>
      </c>
      <c r="J85" s="403">
        <f t="shared" si="5"/>
        <v>7.5087687300831485E-2</v>
      </c>
    </row>
    <row r="86" spans="4:10" ht="23.25" customHeight="1" x14ac:dyDescent="0.25">
      <c r="D86" s="85" t="s">
        <v>6</v>
      </c>
      <c r="E86" s="86">
        <v>76761100</v>
      </c>
      <c r="F86" s="109">
        <v>7623618289</v>
      </c>
      <c r="G86" s="109">
        <v>7461952695</v>
      </c>
      <c r="H86" s="109">
        <v>7815238015</v>
      </c>
      <c r="I86" s="87">
        <v>7313605504</v>
      </c>
      <c r="J86" s="403">
        <f t="shared" si="5"/>
        <v>2.0283728855605476E-2</v>
      </c>
    </row>
    <row r="87" spans="4:10" ht="23.25" thickBot="1" x14ac:dyDescent="0.3">
      <c r="D87" s="88" t="s">
        <v>7</v>
      </c>
      <c r="E87" s="89">
        <v>81263904</v>
      </c>
      <c r="F87" s="111">
        <v>8516922013</v>
      </c>
      <c r="G87" s="111">
        <v>8403055628</v>
      </c>
      <c r="H87" s="111">
        <v>7909146363</v>
      </c>
      <c r="I87" s="90">
        <v>7632229155</v>
      </c>
      <c r="J87" s="403">
        <f t="shared" si="5"/>
        <v>0.10099624334458279</v>
      </c>
    </row>
    <row r="88" spans="4:10" ht="22.5" x14ac:dyDescent="0.3">
      <c r="D88" s="112"/>
      <c r="E88" s="112"/>
      <c r="F88" s="112"/>
      <c r="G88" s="112"/>
      <c r="H88" s="112"/>
      <c r="I88" s="112"/>
      <c r="J88" s="403"/>
    </row>
    <row r="89" spans="4:10" ht="23.25" thickBot="1" x14ac:dyDescent="0.3">
      <c r="D89" s="1963" t="s">
        <v>150</v>
      </c>
      <c r="E89" s="1963"/>
      <c r="F89" s="1963"/>
      <c r="G89" s="1963"/>
      <c r="H89" s="1963"/>
      <c r="I89" s="1963"/>
      <c r="J89" s="403"/>
    </row>
    <row r="90" spans="4:10" ht="22.5" x14ac:dyDescent="0.25">
      <c r="D90" s="42" t="s">
        <v>1</v>
      </c>
      <c r="E90" s="43" t="s">
        <v>139</v>
      </c>
      <c r="F90" s="43" t="s">
        <v>92</v>
      </c>
      <c r="G90" s="43" t="s">
        <v>140</v>
      </c>
      <c r="H90" s="43" t="s">
        <v>141</v>
      </c>
      <c r="I90" s="16" t="s">
        <v>142</v>
      </c>
      <c r="J90" s="403"/>
    </row>
    <row r="91" spans="4:10" ht="22.5" x14ac:dyDescent="0.25">
      <c r="D91" s="85" t="s">
        <v>74</v>
      </c>
      <c r="E91" s="86">
        <v>5152720</v>
      </c>
      <c r="F91" s="109">
        <v>158956340</v>
      </c>
      <c r="G91" s="113">
        <v>135808394</v>
      </c>
      <c r="H91" s="113"/>
      <c r="I91" s="115"/>
      <c r="J91" s="403" t="s">
        <v>464</v>
      </c>
    </row>
    <row r="92" spans="4:10" ht="22.5" x14ac:dyDescent="0.25">
      <c r="D92" s="85" t="s">
        <v>75</v>
      </c>
      <c r="E92" s="86">
        <v>5784605</v>
      </c>
      <c r="F92" s="109">
        <v>191925663</v>
      </c>
      <c r="G92" s="113">
        <v>192436592</v>
      </c>
      <c r="H92" s="113"/>
      <c r="I92" s="109">
        <v>158956340</v>
      </c>
      <c r="J92" s="403">
        <f t="shared" ref="J92:J97" si="6">G92/I92-1</f>
        <v>0.21062545853786019</v>
      </c>
    </row>
    <row r="93" spans="4:10" ht="22.5" x14ac:dyDescent="0.25">
      <c r="D93" s="85" t="s">
        <v>76</v>
      </c>
      <c r="E93" s="86">
        <v>23918500</v>
      </c>
      <c r="F93" s="109">
        <v>1627456248</v>
      </c>
      <c r="G93" s="505">
        <f>F92*E93/E92</f>
        <v>793584690.82426548</v>
      </c>
      <c r="H93" s="113"/>
      <c r="I93" s="109">
        <v>191925663</v>
      </c>
      <c r="J93" s="403">
        <f t="shared" si="6"/>
        <v>3.1348544974116646</v>
      </c>
    </row>
    <row r="94" spans="4:10" ht="22.5" x14ac:dyDescent="0.25">
      <c r="D94" s="85" t="s">
        <v>4</v>
      </c>
      <c r="E94" s="86">
        <v>7614437</v>
      </c>
      <c r="F94" s="109">
        <v>787120593</v>
      </c>
      <c r="G94" s="113">
        <v>1141751369</v>
      </c>
      <c r="H94" s="113" t="s">
        <v>101</v>
      </c>
      <c r="I94" s="109">
        <v>1627456248</v>
      </c>
      <c r="J94" s="403">
        <f t="shared" si="6"/>
        <v>-0.29844420063328181</v>
      </c>
    </row>
    <row r="95" spans="4:10" ht="22.5" x14ac:dyDescent="0.25">
      <c r="D95" s="85" t="s">
        <v>5</v>
      </c>
      <c r="E95" s="86">
        <v>7852498</v>
      </c>
      <c r="F95" s="109">
        <v>800938521</v>
      </c>
      <c r="G95" s="109">
        <v>838950381</v>
      </c>
      <c r="H95" s="109">
        <v>783241003</v>
      </c>
      <c r="I95" s="87">
        <v>787120593</v>
      </c>
      <c r="J95" s="403">
        <f t="shared" si="6"/>
        <v>6.5847328174273745E-2</v>
      </c>
    </row>
    <row r="96" spans="4:10" ht="22.5" x14ac:dyDescent="0.25">
      <c r="D96" s="85" t="s">
        <v>6</v>
      </c>
      <c r="E96" s="86">
        <v>8347404</v>
      </c>
      <c r="F96" s="109">
        <v>865482297</v>
      </c>
      <c r="G96" s="109">
        <v>848524818</v>
      </c>
      <c r="H96" s="109">
        <v>822492238</v>
      </c>
      <c r="I96" s="87">
        <v>801176661</v>
      </c>
      <c r="J96" s="403">
        <f t="shared" si="6"/>
        <v>5.9098272958802545E-2</v>
      </c>
    </row>
    <row r="97" spans="4:11" ht="23.25" thickBot="1" x14ac:dyDescent="0.3">
      <c r="D97" s="88" t="s">
        <v>7</v>
      </c>
      <c r="E97" s="89">
        <v>8491834</v>
      </c>
      <c r="F97" s="111">
        <v>821622082</v>
      </c>
      <c r="G97" s="111">
        <v>873589758</v>
      </c>
      <c r="H97" s="111">
        <v>825689546</v>
      </c>
      <c r="I97" s="90">
        <v>865367874</v>
      </c>
      <c r="J97" s="403">
        <f t="shared" si="6"/>
        <v>9.501027536411577E-3</v>
      </c>
    </row>
    <row r="98" spans="4:11" ht="22.5" x14ac:dyDescent="0.3">
      <c r="D98" s="112"/>
      <c r="E98" s="112"/>
      <c r="F98" s="112"/>
      <c r="G98" s="112"/>
      <c r="H98" s="112"/>
      <c r="I98" s="112"/>
      <c r="J98" s="403"/>
    </row>
    <row r="99" spans="4:11" ht="23.25" thickBot="1" x14ac:dyDescent="0.3">
      <c r="D99" s="1963" t="s">
        <v>151</v>
      </c>
      <c r="E99" s="1963"/>
      <c r="F99" s="1963"/>
      <c r="G99" s="1963"/>
      <c r="H99" s="1963"/>
      <c r="I99" s="1963"/>
      <c r="J99" s="403"/>
    </row>
    <row r="100" spans="4:11" ht="22.5" x14ac:dyDescent="0.25">
      <c r="D100" s="42" t="s">
        <v>1</v>
      </c>
      <c r="E100" s="43" t="s">
        <v>139</v>
      </c>
      <c r="F100" s="43" t="s">
        <v>92</v>
      </c>
      <c r="G100" s="43" t="s">
        <v>140</v>
      </c>
      <c r="H100" s="43" t="s">
        <v>141</v>
      </c>
      <c r="I100" s="16" t="s">
        <v>142</v>
      </c>
      <c r="J100" s="403"/>
    </row>
    <row r="101" spans="4:11" ht="22.5" x14ac:dyDescent="0.25">
      <c r="D101" s="85" t="s">
        <v>74</v>
      </c>
      <c r="E101" s="86">
        <v>4095087</v>
      </c>
      <c r="F101" s="109">
        <v>728227736</v>
      </c>
      <c r="G101" s="113">
        <v>915291947</v>
      </c>
      <c r="H101" s="113"/>
      <c r="I101" s="115">
        <v>604831414</v>
      </c>
      <c r="J101" s="403" t="s">
        <v>464</v>
      </c>
    </row>
    <row r="102" spans="4:11" ht="22.5" x14ac:dyDescent="0.25">
      <c r="D102" s="85" t="s">
        <v>75</v>
      </c>
      <c r="E102" s="86">
        <v>4509489</v>
      </c>
      <c r="F102" s="109">
        <v>834995804</v>
      </c>
      <c r="G102" s="113">
        <v>788468499</v>
      </c>
      <c r="H102" s="113"/>
      <c r="I102" s="115">
        <v>728227735</v>
      </c>
      <c r="J102" s="403">
        <f>G102/I102-1</f>
        <v>8.2722424737091238E-2</v>
      </c>
    </row>
    <row r="103" spans="4:11" ht="22.5" x14ac:dyDescent="0.25">
      <c r="D103" s="85" t="s">
        <v>76</v>
      </c>
      <c r="E103" s="86">
        <v>3028598</v>
      </c>
      <c r="F103" s="109">
        <v>730089548</v>
      </c>
      <c r="G103" s="505">
        <f>E103*(F102/E102)</f>
        <v>560787845.80753875</v>
      </c>
      <c r="H103" s="113"/>
      <c r="I103" s="115">
        <v>834995804</v>
      </c>
      <c r="J103" s="403">
        <f>G103/I103-1</f>
        <v>-0.32839441453344265</v>
      </c>
    </row>
    <row r="104" spans="4:11" ht="22.5" x14ac:dyDescent="0.25">
      <c r="D104" s="85" t="s">
        <v>4</v>
      </c>
      <c r="E104" s="86">
        <v>2732048</v>
      </c>
      <c r="F104" s="109">
        <v>706962591</v>
      </c>
      <c r="G104" s="113">
        <v>397987463</v>
      </c>
      <c r="H104" s="113" t="s">
        <v>101</v>
      </c>
      <c r="I104" s="109">
        <v>730089548</v>
      </c>
      <c r="J104" s="403">
        <f>G104/I104-1</f>
        <v>-0.45487856374571745</v>
      </c>
    </row>
    <row r="105" spans="4:11" ht="22.5" x14ac:dyDescent="0.25">
      <c r="D105" s="85" t="s">
        <v>5</v>
      </c>
      <c r="E105" s="86">
        <v>3277757</v>
      </c>
      <c r="F105" s="109">
        <v>868540789</v>
      </c>
      <c r="G105" s="109">
        <v>843694019</v>
      </c>
      <c r="H105" s="109">
        <v>737796634</v>
      </c>
      <c r="I105" s="87">
        <v>706956517</v>
      </c>
      <c r="J105" s="403">
        <f>G105/I105-1</f>
        <v>0.19341713204689226</v>
      </c>
    </row>
    <row r="106" spans="4:11" ht="22.5" x14ac:dyDescent="0.25">
      <c r="D106" s="85" t="s">
        <v>6</v>
      </c>
      <c r="E106" s="86">
        <v>3277430</v>
      </c>
      <c r="F106" s="109">
        <v>915858318</v>
      </c>
      <c r="G106" s="109">
        <v>882689921</v>
      </c>
      <c r="H106" s="109">
        <v>926857897</v>
      </c>
      <c r="I106" s="87">
        <v>868281947</v>
      </c>
      <c r="J106" s="403">
        <f t="shared" ref="J106:J137" si="7">G106/I106-1</f>
        <v>1.6593658373044606E-2</v>
      </c>
    </row>
    <row r="107" spans="4:11" ht="23.25" thickBot="1" x14ac:dyDescent="0.3">
      <c r="D107" s="88" t="s">
        <v>7</v>
      </c>
      <c r="E107" s="89">
        <v>3314085</v>
      </c>
      <c r="F107" s="111">
        <v>945029495</v>
      </c>
      <c r="G107" s="111">
        <v>936162994</v>
      </c>
      <c r="H107" s="111">
        <v>927813578</v>
      </c>
      <c r="I107" s="90">
        <v>915858318</v>
      </c>
      <c r="J107" s="403">
        <f t="shared" si="7"/>
        <v>2.2170106009781199E-2</v>
      </c>
    </row>
    <row r="108" spans="4:11" ht="22.5" x14ac:dyDescent="0.3">
      <c r="D108" s="112"/>
      <c r="E108" s="112"/>
      <c r="F108" s="112"/>
      <c r="G108" s="112"/>
      <c r="H108" s="112"/>
      <c r="I108" s="112"/>
      <c r="J108" s="403"/>
    </row>
    <row r="109" spans="4:11" ht="23.25" thickBot="1" x14ac:dyDescent="0.3">
      <c r="D109" s="1963" t="s">
        <v>152</v>
      </c>
      <c r="E109" s="1963"/>
      <c r="F109" s="1963"/>
      <c r="G109" s="1963"/>
      <c r="H109" s="1963"/>
      <c r="I109" s="1963"/>
      <c r="J109" s="403"/>
    </row>
    <row r="110" spans="4:11" ht="22.5" x14ac:dyDescent="0.25">
      <c r="D110" s="42" t="s">
        <v>1</v>
      </c>
      <c r="E110" s="43" t="s">
        <v>139</v>
      </c>
      <c r="F110" s="43" t="s">
        <v>92</v>
      </c>
      <c r="G110" s="43" t="s">
        <v>140</v>
      </c>
      <c r="H110" s="43" t="s">
        <v>141</v>
      </c>
      <c r="I110" s="16" t="s">
        <v>142</v>
      </c>
      <c r="J110" s="403"/>
    </row>
    <row r="111" spans="4:11" ht="22.5" x14ac:dyDescent="0.25">
      <c r="D111" s="85" t="s">
        <v>74</v>
      </c>
      <c r="E111" s="86">
        <v>8232432</v>
      </c>
      <c r="F111" s="109">
        <v>425844411</v>
      </c>
      <c r="G111" s="113">
        <v>411622952</v>
      </c>
      <c r="H111" s="113"/>
      <c r="I111" s="115">
        <v>377545326</v>
      </c>
      <c r="J111" s="403" t="s">
        <v>464</v>
      </c>
      <c r="K111" t="s">
        <v>472</v>
      </c>
    </row>
    <row r="112" spans="4:11" ht="22.5" x14ac:dyDescent="0.25">
      <c r="D112" s="85" t="s">
        <v>75</v>
      </c>
      <c r="E112" s="86">
        <v>6819136</v>
      </c>
      <c r="F112" s="109">
        <v>435433344</v>
      </c>
      <c r="G112" s="505">
        <f>E112*(F111/E111)</f>
        <v>352737921.60674953</v>
      </c>
      <c r="H112" s="113"/>
      <c r="I112" s="109">
        <v>425844411</v>
      </c>
      <c r="J112" s="403">
        <f t="shared" si="7"/>
        <v>-0.17167417842017996</v>
      </c>
      <c r="K112" t="s">
        <v>473</v>
      </c>
    </row>
    <row r="113" spans="4:11" ht="22.5" x14ac:dyDescent="0.25">
      <c r="D113" s="85" t="s">
        <v>76</v>
      </c>
      <c r="E113" s="86">
        <v>4200298</v>
      </c>
      <c r="F113" s="109">
        <v>438326125</v>
      </c>
      <c r="G113" s="505">
        <f>E113*(F112/E112)</f>
        <v>268208436.36738026</v>
      </c>
      <c r="H113" s="113"/>
      <c r="I113" s="109">
        <v>435433344</v>
      </c>
      <c r="J113" s="403">
        <f t="shared" si="7"/>
        <v>-0.38404249453303174</v>
      </c>
      <c r="K113" t="s">
        <v>474</v>
      </c>
    </row>
    <row r="114" spans="4:11" ht="22.5" x14ac:dyDescent="0.25">
      <c r="D114" s="85" t="s">
        <v>4</v>
      </c>
      <c r="E114" s="86">
        <v>3980793</v>
      </c>
      <c r="F114" s="109">
        <v>453477771</v>
      </c>
      <c r="G114" s="113">
        <v>445459500</v>
      </c>
      <c r="H114" s="113" t="s">
        <v>101</v>
      </c>
      <c r="I114" s="109">
        <v>438326125</v>
      </c>
      <c r="J114" s="403">
        <f t="shared" si="7"/>
        <v>1.6274126941441258E-2</v>
      </c>
      <c r="K114" t="s">
        <v>475</v>
      </c>
    </row>
    <row r="115" spans="4:11" ht="22.5" x14ac:dyDescent="0.25">
      <c r="D115" s="85" t="s">
        <v>5</v>
      </c>
      <c r="E115" s="86">
        <v>4091245</v>
      </c>
      <c r="F115" s="109">
        <v>489100439</v>
      </c>
      <c r="G115" s="109">
        <v>481010912</v>
      </c>
      <c r="H115" s="109">
        <v>462902937</v>
      </c>
      <c r="I115" s="87">
        <v>453477771</v>
      </c>
      <c r="J115" s="403">
        <f t="shared" si="7"/>
        <v>6.0715525127691405E-2</v>
      </c>
      <c r="K115" t="s">
        <v>476</v>
      </c>
    </row>
    <row r="116" spans="4:11" ht="22.5" x14ac:dyDescent="0.25">
      <c r="D116" s="85" t="s">
        <v>6</v>
      </c>
      <c r="E116" s="86">
        <v>4050658</v>
      </c>
      <c r="F116" s="109">
        <v>523116896</v>
      </c>
      <c r="G116" s="109">
        <v>503402710</v>
      </c>
      <c r="H116" s="109">
        <v>507348541</v>
      </c>
      <c r="I116" s="87">
        <v>489100439</v>
      </c>
      <c r="J116" s="403">
        <f t="shared" si="7"/>
        <v>2.9241991745585061E-2</v>
      </c>
      <c r="K116" t="s">
        <v>477</v>
      </c>
    </row>
    <row r="117" spans="4:11" ht="23.25" thickBot="1" x14ac:dyDescent="0.3">
      <c r="D117" s="88" t="s">
        <v>7</v>
      </c>
      <c r="E117" s="89">
        <v>4088817</v>
      </c>
      <c r="F117" s="111">
        <v>528597833</v>
      </c>
      <c r="G117" s="111">
        <v>514200414</v>
      </c>
      <c r="H117" s="111">
        <v>537764169</v>
      </c>
      <c r="I117" s="90">
        <v>523117732</v>
      </c>
      <c r="J117" s="403">
        <f>G117/I117-1</f>
        <v>-1.7046483906991705E-2</v>
      </c>
      <c r="K117" t="s">
        <v>478</v>
      </c>
    </row>
    <row r="118" spans="4:11" ht="22.5" x14ac:dyDescent="0.3">
      <c r="D118" s="112"/>
      <c r="E118" s="112"/>
      <c r="F118" s="112"/>
      <c r="G118" s="112"/>
      <c r="H118" s="112"/>
      <c r="I118" s="112"/>
      <c r="J118" s="403"/>
      <c r="K118" t="s">
        <v>479</v>
      </c>
    </row>
    <row r="119" spans="4:11" ht="23.25" thickBot="1" x14ac:dyDescent="0.3">
      <c r="D119" s="1963" t="s">
        <v>153</v>
      </c>
      <c r="E119" s="1963"/>
      <c r="F119" s="1963"/>
      <c r="G119" s="1963"/>
      <c r="H119" s="1963"/>
      <c r="I119" s="1963"/>
      <c r="J119" s="403"/>
      <c r="K119" t="s">
        <v>480</v>
      </c>
    </row>
    <row r="120" spans="4:11" ht="22.5" x14ac:dyDescent="0.25">
      <c r="D120" s="42" t="s">
        <v>1</v>
      </c>
      <c r="E120" s="43" t="s">
        <v>139</v>
      </c>
      <c r="F120" s="43" t="s">
        <v>92</v>
      </c>
      <c r="G120" s="43" t="s">
        <v>140</v>
      </c>
      <c r="H120" s="43" t="s">
        <v>141</v>
      </c>
      <c r="I120" s="16" t="s">
        <v>142</v>
      </c>
      <c r="J120" s="403"/>
      <c r="K120" t="s">
        <v>481</v>
      </c>
    </row>
    <row r="121" spans="4:11" ht="22.5" x14ac:dyDescent="0.25">
      <c r="D121" s="85" t="s">
        <v>74</v>
      </c>
      <c r="E121" s="86" t="s">
        <v>464</v>
      </c>
      <c r="F121" s="109" t="s">
        <v>464</v>
      </c>
      <c r="G121" s="113"/>
      <c r="H121" s="113"/>
      <c r="I121" s="115"/>
      <c r="J121" s="403" t="s">
        <v>464</v>
      </c>
    </row>
    <row r="122" spans="4:11" ht="22.5" x14ac:dyDescent="0.25">
      <c r="D122" s="85" t="s">
        <v>75</v>
      </c>
      <c r="E122" s="86" t="s">
        <v>464</v>
      </c>
      <c r="F122" s="109" t="s">
        <v>464</v>
      </c>
      <c r="G122" s="113"/>
      <c r="H122" s="113"/>
      <c r="I122" s="115"/>
      <c r="J122" s="403" t="s">
        <v>464</v>
      </c>
    </row>
    <row r="123" spans="4:11" ht="22.5" x14ac:dyDescent="0.25">
      <c r="D123" s="85" t="s">
        <v>76</v>
      </c>
      <c r="E123" s="86">
        <v>93880</v>
      </c>
      <c r="F123" s="109">
        <v>25271141</v>
      </c>
      <c r="G123" s="113"/>
      <c r="H123" s="113"/>
      <c r="I123" s="115"/>
      <c r="J123" s="403" t="s">
        <v>464</v>
      </c>
    </row>
    <row r="124" spans="4:11" ht="22.5" x14ac:dyDescent="0.25">
      <c r="D124" s="85" t="s">
        <v>4</v>
      </c>
      <c r="E124" s="86">
        <v>2782643</v>
      </c>
      <c r="F124" s="109">
        <v>2281153728</v>
      </c>
      <c r="G124" s="113">
        <v>47627811</v>
      </c>
      <c r="H124" s="113" t="s">
        <v>101</v>
      </c>
      <c r="I124" s="109">
        <v>25271141</v>
      </c>
      <c r="J124" s="403">
        <f t="shared" si="7"/>
        <v>0.88467196633503797</v>
      </c>
    </row>
    <row r="125" spans="4:11" ht="22.5" x14ac:dyDescent="0.25">
      <c r="D125" s="85" t="s">
        <v>5</v>
      </c>
      <c r="E125" s="86">
        <v>3052954</v>
      </c>
      <c r="F125" s="109">
        <v>2563576383</v>
      </c>
      <c r="G125" s="109">
        <v>2462176920</v>
      </c>
      <c r="H125" s="109">
        <v>2379026046</v>
      </c>
      <c r="I125" s="87">
        <v>2281153728</v>
      </c>
      <c r="J125" s="403">
        <f t="shared" si="7"/>
        <v>7.9355981045044155E-2</v>
      </c>
    </row>
    <row r="126" spans="4:11" ht="22.5" x14ac:dyDescent="0.25">
      <c r="D126" s="85" t="s">
        <v>6</v>
      </c>
      <c r="E126" s="86">
        <v>3244160</v>
      </c>
      <c r="F126" s="109">
        <v>2758727668</v>
      </c>
      <c r="G126" s="109">
        <v>2694216376</v>
      </c>
      <c r="H126" s="109">
        <v>2653243342</v>
      </c>
      <c r="I126" s="87">
        <v>2563576343</v>
      </c>
      <c r="J126" s="403">
        <f t="shared" si="7"/>
        <v>5.0960071213295599E-2</v>
      </c>
    </row>
    <row r="127" spans="4:11" ht="23.25" thickBot="1" x14ac:dyDescent="0.3">
      <c r="D127" s="88" t="s">
        <v>7</v>
      </c>
      <c r="E127" s="89">
        <v>3465453</v>
      </c>
      <c r="F127" s="111">
        <v>2833537449</v>
      </c>
      <c r="G127" s="111">
        <v>2845264860</v>
      </c>
      <c r="H127" s="111">
        <v>2773183555</v>
      </c>
      <c r="I127" s="90">
        <v>2759286983</v>
      </c>
      <c r="J127" s="403">
        <f t="shared" si="7"/>
        <v>3.1159454427796218E-2</v>
      </c>
    </row>
    <row r="128" spans="4:11" ht="22.5" x14ac:dyDescent="0.3">
      <c r="D128" s="112"/>
      <c r="E128" s="112"/>
      <c r="F128" s="112"/>
      <c r="G128" s="112"/>
      <c r="H128" s="112"/>
      <c r="I128" s="112"/>
      <c r="J128" s="403"/>
    </row>
    <row r="129" spans="4:10" ht="23.25" customHeight="1" x14ac:dyDescent="0.25">
      <c r="D129" t="s">
        <v>260</v>
      </c>
      <c r="J129" s="403"/>
    </row>
    <row r="130" spans="4:10" x14ac:dyDescent="0.25">
      <c r="D130" t="s">
        <v>1</v>
      </c>
      <c r="E130" t="s">
        <v>139</v>
      </c>
      <c r="F130" t="s">
        <v>92</v>
      </c>
      <c r="G130" t="s">
        <v>140</v>
      </c>
      <c r="H130" t="s">
        <v>141</v>
      </c>
      <c r="I130" t="s">
        <v>142</v>
      </c>
      <c r="J130" s="403"/>
    </row>
    <row r="131" spans="4:10" ht="22.5" x14ac:dyDescent="0.25">
      <c r="D131" s="85" t="s">
        <v>74</v>
      </c>
      <c r="E131" s="225">
        <v>42979731</v>
      </c>
      <c r="F131" s="225">
        <v>2217669829</v>
      </c>
      <c r="G131" s="225">
        <v>2124968274</v>
      </c>
      <c r="H131" s="225"/>
      <c r="I131" s="225">
        <v>2088711000</v>
      </c>
      <c r="J131" s="403">
        <f t="shared" si="7"/>
        <v>1.7358683896431915E-2</v>
      </c>
    </row>
    <row r="132" spans="4:10" ht="22.5" x14ac:dyDescent="0.25">
      <c r="D132" s="85" t="s">
        <v>75</v>
      </c>
      <c r="E132" s="225">
        <v>43603551</v>
      </c>
      <c r="F132" s="225">
        <v>2599800331</v>
      </c>
      <c r="G132" s="225">
        <v>2248490752</v>
      </c>
      <c r="H132" s="225"/>
      <c r="I132" s="225">
        <v>2217669828</v>
      </c>
      <c r="J132" s="403">
        <f t="shared" si="7"/>
        <v>1.3897886696594419E-2</v>
      </c>
    </row>
    <row r="133" spans="4:10" ht="22.5" x14ac:dyDescent="0.25">
      <c r="D133" s="85" t="s">
        <v>76</v>
      </c>
      <c r="E133" s="225">
        <v>45536081</v>
      </c>
      <c r="F133" s="225">
        <v>2807575960</v>
      </c>
      <c r="G133" s="225">
        <v>2725801903</v>
      </c>
      <c r="H133" s="225"/>
      <c r="I133" s="225">
        <v>2599800331</v>
      </c>
      <c r="J133" s="403">
        <f t="shared" si="7"/>
        <v>4.8465865050311141E-2</v>
      </c>
    </row>
    <row r="134" spans="4:10" x14ac:dyDescent="0.25">
      <c r="D134" t="s">
        <v>4</v>
      </c>
      <c r="E134" s="225">
        <v>47034815</v>
      </c>
      <c r="F134" s="225">
        <v>1523208120</v>
      </c>
      <c r="G134" s="225">
        <v>2892723118</v>
      </c>
      <c r="H134" s="225" t="s">
        <v>101</v>
      </c>
      <c r="I134" s="225">
        <v>2807575960</v>
      </c>
      <c r="J134" s="403">
        <f>G134/I134-1</f>
        <v>3.0327641785335757E-2</v>
      </c>
    </row>
    <row r="135" spans="4:10" x14ac:dyDescent="0.25">
      <c r="D135" t="s">
        <v>5</v>
      </c>
      <c r="E135" s="225">
        <v>48704692</v>
      </c>
      <c r="F135" s="225">
        <v>1599541161.5</v>
      </c>
      <c r="G135" s="225">
        <v>1599541161.5</v>
      </c>
      <c r="H135" s="225">
        <v>1523208120</v>
      </c>
      <c r="I135" s="225">
        <v>1523208120</v>
      </c>
      <c r="J135" s="403">
        <f t="shared" si="7"/>
        <v>5.0113336777642736E-2</v>
      </c>
    </row>
    <row r="136" spans="4:10" x14ac:dyDescent="0.25">
      <c r="D136" t="s">
        <v>6</v>
      </c>
      <c r="E136" s="225">
        <v>50401166</v>
      </c>
      <c r="F136" s="225">
        <v>1680648267</v>
      </c>
      <c r="G136" s="225">
        <v>1680648267</v>
      </c>
      <c r="H136" s="225">
        <v>1599541161.5</v>
      </c>
      <c r="I136" s="225">
        <v>1599541161.5</v>
      </c>
      <c r="J136" s="403">
        <f t="shared" si="7"/>
        <v>5.0706482241407391E-2</v>
      </c>
    </row>
    <row r="137" spans="4:10" x14ac:dyDescent="0.25">
      <c r="D137" t="s">
        <v>7</v>
      </c>
      <c r="E137" s="225">
        <v>51183058</v>
      </c>
      <c r="F137" s="225">
        <v>1716391363.9000001</v>
      </c>
      <c r="G137" s="225">
        <v>1716391363.9000001</v>
      </c>
      <c r="H137" s="225">
        <v>1680648267</v>
      </c>
      <c r="I137" s="225">
        <v>1680648267</v>
      </c>
      <c r="J137" s="403">
        <f t="shared" si="7"/>
        <v>2.1267446378772981E-2</v>
      </c>
    </row>
    <row r="138" spans="4:10" x14ac:dyDescent="0.25">
      <c r="J138" s="403"/>
    </row>
    <row r="139" spans="4:10" x14ac:dyDescent="0.25">
      <c r="J139" s="403"/>
    </row>
    <row r="140" spans="4:10" x14ac:dyDescent="0.25">
      <c r="J140" s="403"/>
    </row>
    <row r="141" spans="4:10" x14ac:dyDescent="0.25">
      <c r="J141" s="403"/>
    </row>
    <row r="142" spans="4:10" ht="15.75" thickBot="1" x14ac:dyDescent="0.3">
      <c r="J142" s="403"/>
    </row>
    <row r="143" spans="4:10" ht="22.5" x14ac:dyDescent="0.25">
      <c r="D143" s="42" t="s">
        <v>1</v>
      </c>
      <c r="E143" s="43" t="s">
        <v>139</v>
      </c>
      <c r="F143" s="43" t="s">
        <v>92</v>
      </c>
      <c r="G143" s="43" t="s">
        <v>140</v>
      </c>
      <c r="H143" s="43" t="s">
        <v>141</v>
      </c>
      <c r="I143" s="16" t="s">
        <v>142</v>
      </c>
      <c r="J143" s="403"/>
    </row>
    <row r="144" spans="4:10" ht="22.5" x14ac:dyDescent="0.25">
      <c r="D144" s="85" t="s">
        <v>4</v>
      </c>
      <c r="E144" s="86">
        <v>4401019</v>
      </c>
      <c r="F144" s="109">
        <v>312604566</v>
      </c>
      <c r="G144" s="113">
        <v>0</v>
      </c>
      <c r="H144" s="113">
        <v>0</v>
      </c>
      <c r="I144" s="115">
        <v>0</v>
      </c>
    </row>
    <row r="145" spans="4:9" ht="22.5" x14ac:dyDescent="0.25">
      <c r="D145" s="85" t="s">
        <v>5</v>
      </c>
      <c r="E145" s="86">
        <v>4782324</v>
      </c>
      <c r="F145" s="109">
        <v>346684042</v>
      </c>
      <c r="G145" s="109">
        <v>337310094</v>
      </c>
      <c r="H145" s="109">
        <v>323294322</v>
      </c>
      <c r="I145" s="87">
        <v>312462521</v>
      </c>
    </row>
    <row r="146" spans="4:9" ht="22.5" x14ac:dyDescent="0.25">
      <c r="D146" s="85" t="s">
        <v>6</v>
      </c>
      <c r="E146" s="86">
        <v>4767718</v>
      </c>
      <c r="F146" s="109">
        <v>343509280</v>
      </c>
      <c r="G146" s="109">
        <v>343022731</v>
      </c>
      <c r="H146" s="109">
        <v>346178255</v>
      </c>
      <c r="I146" s="87">
        <v>346530256</v>
      </c>
    </row>
    <row r="147" spans="4:9" ht="23.25" thickBot="1" x14ac:dyDescent="0.3">
      <c r="D147" s="88" t="s">
        <v>7</v>
      </c>
      <c r="E147" s="89">
        <v>4789366</v>
      </c>
      <c r="F147" s="111">
        <v>358130706</v>
      </c>
      <c r="G147" s="111">
        <v>353912544</v>
      </c>
      <c r="H147" s="111">
        <v>352727753</v>
      </c>
      <c r="I147" s="90">
        <v>344237891</v>
      </c>
    </row>
  </sheetData>
  <customSheetViews>
    <customSheetView guid="{9EA95E61-FCA5-4867-AEB4-B8C24058ACDD}" scale="60" showGridLines="0" showRowCol="0" state="hidden">
      <selection activeCell="K13" sqref="K13:K25"/>
      <pageMargins left="0.7" right="0.7" top="0.75" bottom="0.75" header="0.3" footer="0.3"/>
      <pageSetup paperSize="9" orientation="portrait" r:id="rId1"/>
    </customSheetView>
  </customSheetViews>
  <mergeCells count="12">
    <mergeCell ref="D119:I119"/>
    <mergeCell ref="D8:I8"/>
    <mergeCell ref="D19:I19"/>
    <mergeCell ref="D29:I29"/>
    <mergeCell ref="D39:I39"/>
    <mergeCell ref="D49:I49"/>
    <mergeCell ref="D59:I59"/>
    <mergeCell ref="D69:I69"/>
    <mergeCell ref="D79:I79"/>
    <mergeCell ref="D89:I89"/>
    <mergeCell ref="D99:I99"/>
    <mergeCell ref="D109:I109"/>
  </mergeCells>
  <pageMargins left="0.7" right="0.7" top="0.75" bottom="0.75" header="0.3" footer="0.3"/>
  <pageSetup paperSize="9" orientation="portrait" r:id="rId2"/>
  <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F14"/>
  <sheetViews>
    <sheetView workbookViewId="0">
      <selection activeCell="K35" sqref="K35"/>
    </sheetView>
  </sheetViews>
  <sheetFormatPr defaultRowHeight="15" x14ac:dyDescent="0.25"/>
  <cols>
    <col min="1" max="1" width="28" customWidth="1"/>
    <col min="2" max="2" width="18.5703125" customWidth="1"/>
  </cols>
  <sheetData>
    <row r="1" spans="1:6" ht="147.75" customHeight="1" x14ac:dyDescent="0.25">
      <c r="A1" s="225"/>
      <c r="B1" t="s">
        <v>354</v>
      </c>
    </row>
    <row r="2" spans="1:6" ht="147" customHeight="1" x14ac:dyDescent="0.25">
      <c r="A2" s="225"/>
      <c r="B2" t="s">
        <v>470</v>
      </c>
    </row>
    <row r="3" spans="1:6" x14ac:dyDescent="0.25">
      <c r="A3" s="225"/>
    </row>
    <row r="4" spans="1:6" x14ac:dyDescent="0.25">
      <c r="A4" s="225"/>
    </row>
    <row r="5" spans="1:6" x14ac:dyDescent="0.25">
      <c r="A5" s="225"/>
    </row>
    <row r="6" spans="1:6" x14ac:dyDescent="0.25">
      <c r="A6" s="225"/>
    </row>
    <row r="7" spans="1:6" x14ac:dyDescent="0.25">
      <c r="A7" s="225"/>
    </row>
    <row r="8" spans="1:6" x14ac:dyDescent="0.25">
      <c r="B8" s="225"/>
      <c r="F8" s="225"/>
    </row>
    <row r="9" spans="1:6" x14ac:dyDescent="0.25">
      <c r="B9" s="225"/>
      <c r="F9" s="225"/>
    </row>
    <row r="10" spans="1:6" x14ac:dyDescent="0.25">
      <c r="B10" s="225"/>
      <c r="F10" s="225"/>
    </row>
    <row r="11" spans="1:6" x14ac:dyDescent="0.25">
      <c r="B11" s="225"/>
      <c r="F11" s="225"/>
    </row>
    <row r="12" spans="1:6" x14ac:dyDescent="0.25">
      <c r="B12" s="225"/>
      <c r="F12" s="225"/>
    </row>
    <row r="13" spans="1:6" x14ac:dyDescent="0.25">
      <c r="B13" s="225"/>
      <c r="F13" s="225"/>
    </row>
    <row r="14" spans="1:6" x14ac:dyDescent="0.25">
      <c r="B14" s="225"/>
      <c r="F14" s="225"/>
    </row>
  </sheetData>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I1:M33"/>
  <sheetViews>
    <sheetView workbookViewId="0">
      <selection activeCell="B9" sqref="B9"/>
    </sheetView>
  </sheetViews>
  <sheetFormatPr defaultRowHeight="15" x14ac:dyDescent="0.25"/>
  <cols>
    <col min="1" max="1" width="73.140625" customWidth="1"/>
    <col min="10" max="10" width="11.140625" bestFit="1" customWidth="1"/>
    <col min="11" max="12" width="13.85546875" bestFit="1" customWidth="1"/>
  </cols>
  <sheetData>
    <row r="1" spans="10:13" ht="239.25" customHeight="1" x14ac:dyDescent="0.25"/>
    <row r="2" spans="10:13" x14ac:dyDescent="0.25">
      <c r="J2">
        <v>504572701</v>
      </c>
      <c r="K2">
        <v>49074900472</v>
      </c>
      <c r="L2">
        <v>4464856836</v>
      </c>
      <c r="M2">
        <f>L2/J2</f>
        <v>8.8487879489936976</v>
      </c>
    </row>
    <row r="3" spans="10:13" x14ac:dyDescent="0.25">
      <c r="J3" s="582">
        <v>516341468</v>
      </c>
      <c r="K3" s="582">
        <v>50582460208</v>
      </c>
      <c r="L3" s="581">
        <v>4799456503</v>
      </c>
      <c r="M3">
        <f t="shared" ref="M3:M16" si="0">L3/J3</f>
        <v>9.2951211561415796</v>
      </c>
    </row>
    <row r="4" spans="10:13" x14ac:dyDescent="0.25">
      <c r="J4" s="582">
        <v>534119797</v>
      </c>
      <c r="K4" s="582">
        <v>52158169497</v>
      </c>
      <c r="L4" s="581">
        <v>5435175325</v>
      </c>
      <c r="M4">
        <f t="shared" si="0"/>
        <v>10.175948084171088</v>
      </c>
    </row>
    <row r="5" spans="10:13" x14ac:dyDescent="0.25">
      <c r="J5" s="582">
        <v>561373380</v>
      </c>
      <c r="K5" s="582">
        <v>54089177055</v>
      </c>
      <c r="L5" s="581">
        <v>5651309236</v>
      </c>
      <c r="M5">
        <f t="shared" si="0"/>
        <v>10.066934837558561</v>
      </c>
    </row>
    <row r="6" spans="10:13" x14ac:dyDescent="0.25">
      <c r="J6" s="582">
        <v>591871608</v>
      </c>
      <c r="K6" s="582">
        <v>56740912048</v>
      </c>
      <c r="L6" s="581">
        <v>6281071387</v>
      </c>
      <c r="M6">
        <f t="shared" si="0"/>
        <v>10.612219444390041</v>
      </c>
    </row>
    <row r="7" spans="10:13" x14ac:dyDescent="0.25">
      <c r="J7" s="582">
        <v>624381798</v>
      </c>
      <c r="K7" s="582">
        <v>59190563180</v>
      </c>
      <c r="L7" s="581">
        <v>7018559073</v>
      </c>
      <c r="M7">
        <f t="shared" si="0"/>
        <v>11.240813065790237</v>
      </c>
    </row>
    <row r="8" spans="10:13" x14ac:dyDescent="0.25">
      <c r="J8" s="582">
        <v>659400104</v>
      </c>
      <c r="K8" s="582">
        <v>61657885237</v>
      </c>
      <c r="L8" s="581">
        <v>7664991607</v>
      </c>
      <c r="M8">
        <f t="shared" si="0"/>
        <v>11.624189260061142</v>
      </c>
    </row>
    <row r="9" spans="10:13" x14ac:dyDescent="0.25">
      <c r="J9" s="582">
        <v>691948868</v>
      </c>
      <c r="K9" s="582">
        <v>64042525435</v>
      </c>
      <c r="L9" s="581">
        <v>8094174944</v>
      </c>
      <c r="M9">
        <f t="shared" si="0"/>
        <v>11.697648942464921</v>
      </c>
    </row>
    <row r="10" spans="10:13" x14ac:dyDescent="0.25">
      <c r="J10" s="582">
        <v>733010929</v>
      </c>
      <c r="K10" s="582">
        <v>67468607795</v>
      </c>
      <c r="L10" s="581">
        <v>8013483226</v>
      </c>
      <c r="M10">
        <f t="shared" si="0"/>
        <v>10.932283420292633</v>
      </c>
    </row>
    <row r="11" spans="10:13" x14ac:dyDescent="0.25">
      <c r="J11" s="582">
        <v>762631738</v>
      </c>
      <c r="K11" s="582">
        <v>70369213090</v>
      </c>
      <c r="L11" s="581">
        <v>8250323893</v>
      </c>
      <c r="M11">
        <f t="shared" si="0"/>
        <v>10.818227831215699</v>
      </c>
    </row>
    <row r="12" spans="10:13" x14ac:dyDescent="0.25">
      <c r="J12" s="582">
        <v>803297137</v>
      </c>
      <c r="K12" s="582">
        <v>73093309000</v>
      </c>
      <c r="L12" s="581">
        <v>8303500918</v>
      </c>
      <c r="M12">
        <f t="shared" si="0"/>
        <v>10.336773947695521</v>
      </c>
    </row>
    <row r="13" spans="10:13" x14ac:dyDescent="0.25">
      <c r="J13" s="582">
        <v>852482281</v>
      </c>
      <c r="K13" s="582">
        <v>77363704790</v>
      </c>
      <c r="L13" s="581">
        <v>8376264432</v>
      </c>
      <c r="M13">
        <f t="shared" si="0"/>
        <v>9.8257343509524517</v>
      </c>
    </row>
    <row r="14" spans="10:13" x14ac:dyDescent="0.25">
      <c r="J14" s="582">
        <v>897727347</v>
      </c>
      <c r="K14" s="582">
        <v>81139818758</v>
      </c>
      <c r="L14" s="581">
        <v>8621421130</v>
      </c>
      <c r="M14">
        <f t="shared" si="0"/>
        <v>9.6036075527952036</v>
      </c>
    </row>
    <row r="15" spans="10:13" x14ac:dyDescent="0.25">
      <c r="J15" s="582">
        <v>936743859</v>
      </c>
      <c r="K15" s="582">
        <v>83740259688</v>
      </c>
      <c r="L15" s="581">
        <v>8880735344</v>
      </c>
      <c r="M15">
        <f t="shared" si="0"/>
        <v>9.4804308121970831</v>
      </c>
    </row>
    <row r="16" spans="10:13" x14ac:dyDescent="0.25">
      <c r="J16" s="582">
        <v>973381568</v>
      </c>
      <c r="K16" s="582">
        <v>84155589191</v>
      </c>
      <c r="L16" s="581">
        <v>8777964802</v>
      </c>
      <c r="M16">
        <f t="shared" si="0"/>
        <v>9.0180100903657134</v>
      </c>
    </row>
    <row r="17" spans="9:13" x14ac:dyDescent="0.25">
      <c r="J17" s="582" t="str">
        <f>IF($A$16=TRUE,J44,"")</f>
        <v/>
      </c>
      <c r="K17" s="582" t="str">
        <f>IF($A$16=TRUE,K44,"")</f>
        <v/>
      </c>
      <c r="L17" s="581" t="str">
        <f>IF($A$16=TRUE,L44,"")</f>
        <v/>
      </c>
    </row>
    <row r="19" spans="9:13" x14ac:dyDescent="0.25">
      <c r="I19" t="s">
        <v>67</v>
      </c>
      <c r="J19">
        <f>J2/J$2</f>
        <v>1</v>
      </c>
      <c r="K19">
        <f>K2/K$2</f>
        <v>1</v>
      </c>
      <c r="L19">
        <f>L2/L$2</f>
        <v>1</v>
      </c>
      <c r="M19">
        <f>M2/M$2</f>
        <v>1</v>
      </c>
    </row>
    <row r="20" spans="9:13" x14ac:dyDescent="0.25">
      <c r="I20" t="s">
        <v>68</v>
      </c>
      <c r="J20">
        <f t="shared" ref="J20:M32" si="1">J3/J$2</f>
        <v>1.023324224589788</v>
      </c>
      <c r="K20">
        <f t="shared" si="1"/>
        <v>1.0307195678748273</v>
      </c>
      <c r="L20">
        <f t="shared" si="1"/>
        <v>1.0749407381446441</v>
      </c>
      <c r="M20">
        <f t="shared" si="1"/>
        <v>1.0504400387624431</v>
      </c>
    </row>
    <row r="21" spans="9:13" x14ac:dyDescent="0.25">
      <c r="I21" t="s">
        <v>69</v>
      </c>
      <c r="J21">
        <f t="shared" si="1"/>
        <v>1.0585586496087509</v>
      </c>
      <c r="K21">
        <f t="shared" si="1"/>
        <v>1.062827820236929</v>
      </c>
      <c r="L21">
        <f t="shared" si="1"/>
        <v>1.2173235390609509</v>
      </c>
      <c r="M21">
        <f t="shared" si="1"/>
        <v>1.1499821379862898</v>
      </c>
    </row>
    <row r="22" spans="9:13" x14ac:dyDescent="0.25">
      <c r="I22" t="s">
        <v>70</v>
      </c>
      <c r="J22">
        <f t="shared" si="1"/>
        <v>1.112571843239692</v>
      </c>
      <c r="K22">
        <f t="shared" si="1"/>
        <v>1.1021759908786963</v>
      </c>
      <c r="L22">
        <f t="shared" si="1"/>
        <v>1.265731342253501</v>
      </c>
      <c r="M22">
        <f t="shared" si="1"/>
        <v>1.1376625697876954</v>
      </c>
    </row>
    <row r="23" spans="9:13" x14ac:dyDescent="0.25">
      <c r="I23" t="s">
        <v>71</v>
      </c>
      <c r="J23">
        <f t="shared" si="1"/>
        <v>1.17301551753986</v>
      </c>
      <c r="K23">
        <f t="shared" si="1"/>
        <v>1.1562104355234279</v>
      </c>
      <c r="L23">
        <f t="shared" si="1"/>
        <v>1.40678001954193</v>
      </c>
      <c r="M23">
        <f t="shared" si="1"/>
        <v>1.1992850891626219</v>
      </c>
    </row>
    <row r="24" spans="9:13" x14ac:dyDescent="0.25">
      <c r="I24" t="s">
        <v>72</v>
      </c>
      <c r="J24">
        <f t="shared" si="1"/>
        <v>1.2374466489418736</v>
      </c>
      <c r="K24">
        <f t="shared" si="1"/>
        <v>1.2061270142314717</v>
      </c>
      <c r="L24">
        <f t="shared" si="1"/>
        <v>1.5719561300173344</v>
      </c>
      <c r="M24">
        <f t="shared" si="1"/>
        <v>1.2703223459059796</v>
      </c>
    </row>
    <row r="25" spans="9:13" x14ac:dyDescent="0.25">
      <c r="I25" t="s">
        <v>73</v>
      </c>
      <c r="J25">
        <f t="shared" si="1"/>
        <v>1.3068485526330527</v>
      </c>
      <c r="K25">
        <f t="shared" si="1"/>
        <v>1.2564036736494106</v>
      </c>
      <c r="L25">
        <f t="shared" si="1"/>
        <v>1.7167384954423206</v>
      </c>
      <c r="M25">
        <f t="shared" si="1"/>
        <v>1.3136476235011449</v>
      </c>
    </row>
    <row r="26" spans="9:13" x14ac:dyDescent="0.25">
      <c r="I26" t="s">
        <v>74</v>
      </c>
      <c r="J26">
        <f t="shared" si="1"/>
        <v>1.3713561328796502</v>
      </c>
      <c r="K26">
        <f t="shared" si="1"/>
        <v>1.3049955235577069</v>
      </c>
      <c r="L26">
        <f t="shared" si="1"/>
        <v>1.8128632655669767</v>
      </c>
      <c r="M26">
        <f t="shared" si="1"/>
        <v>1.3219492895402927</v>
      </c>
    </row>
    <row r="27" spans="9:13" x14ac:dyDescent="0.25">
      <c r="I27" t="s">
        <v>75</v>
      </c>
      <c r="J27">
        <f t="shared" si="1"/>
        <v>1.4527360032504018</v>
      </c>
      <c r="K27">
        <f t="shared" si="1"/>
        <v>1.3748088563825951</v>
      </c>
      <c r="L27">
        <f t="shared" si="1"/>
        <v>1.7947906327897318</v>
      </c>
      <c r="M27">
        <f t="shared" si="1"/>
        <v>1.2354554638791944</v>
      </c>
    </row>
    <row r="28" spans="9:13" x14ac:dyDescent="0.25">
      <c r="I28" t="s">
        <v>76</v>
      </c>
      <c r="J28">
        <f t="shared" si="1"/>
        <v>1.5114407428078436</v>
      </c>
      <c r="K28">
        <f t="shared" si="1"/>
        <v>1.4339145349902362</v>
      </c>
      <c r="L28">
        <f t="shared" si="1"/>
        <v>1.8478361560168959</v>
      </c>
      <c r="M28">
        <f t="shared" si="1"/>
        <v>1.2225660614283305</v>
      </c>
    </row>
    <row r="29" spans="9:13" x14ac:dyDescent="0.25">
      <c r="I29" t="s">
        <v>4</v>
      </c>
      <c r="J29">
        <f t="shared" si="1"/>
        <v>1.5920344786944784</v>
      </c>
      <c r="K29">
        <f t="shared" si="1"/>
        <v>1.4894234791510959</v>
      </c>
      <c r="L29">
        <f t="shared" si="1"/>
        <v>1.8597462859389204</v>
      </c>
      <c r="M29">
        <f t="shared" si="1"/>
        <v>1.1681570410861795</v>
      </c>
    </row>
    <row r="30" spans="9:13" x14ac:dyDescent="0.25">
      <c r="I30" t="s">
        <v>5</v>
      </c>
      <c r="J30">
        <f t="shared" si="1"/>
        <v>1.6895132838349889</v>
      </c>
      <c r="K30">
        <f t="shared" si="1"/>
        <v>1.5764413996955604</v>
      </c>
      <c r="L30">
        <f t="shared" si="1"/>
        <v>1.8760432281864994</v>
      </c>
      <c r="M30">
        <f t="shared" si="1"/>
        <v>1.1104045443952417</v>
      </c>
    </row>
    <row r="31" spans="9:13" x14ac:dyDescent="0.25">
      <c r="I31" t="s">
        <v>6</v>
      </c>
      <c r="J31">
        <f t="shared" si="1"/>
        <v>1.779183347059436</v>
      </c>
      <c r="K31">
        <f t="shared" si="1"/>
        <v>1.6533873319680974</v>
      </c>
      <c r="L31">
        <f t="shared" si="1"/>
        <v>1.9309513040789468</v>
      </c>
      <c r="M31">
        <f t="shared" si="1"/>
        <v>1.0853020332448293</v>
      </c>
    </row>
    <row r="32" spans="9:13" x14ac:dyDescent="0.25">
      <c r="I32" t="s">
        <v>7</v>
      </c>
      <c r="J32">
        <f t="shared" si="1"/>
        <v>1.8565091950941675</v>
      </c>
      <c r="K32">
        <f t="shared" si="1"/>
        <v>1.7063765567039417</v>
      </c>
      <c r="L32">
        <f t="shared" si="1"/>
        <v>1.9890302579009724</v>
      </c>
      <c r="M32">
        <f t="shared" si="1"/>
        <v>1.0713818510336455</v>
      </c>
    </row>
    <row r="33" spans="9:13" x14ac:dyDescent="0.25">
      <c r="I33" t="s">
        <v>489</v>
      </c>
      <c r="J33">
        <f>J16/J$2</f>
        <v>1.9291205530360231</v>
      </c>
      <c r="K33">
        <f>K16/K$2</f>
        <v>1.7148397323600384</v>
      </c>
      <c r="L33">
        <f>L16/L$2</f>
        <v>1.9660126011708923</v>
      </c>
      <c r="M33">
        <f>M16/M$2</f>
        <v>1.019123765011372</v>
      </c>
    </row>
  </sheetData>
  <conditionalFormatting sqref="J3:J17">
    <cfRule type="colorScale" priority="3">
      <colorScale>
        <cfvo type="min"/>
        <cfvo type="max"/>
        <color rgb="FFFFEF9C"/>
        <color rgb="FF63BE7B"/>
      </colorScale>
    </cfRule>
  </conditionalFormatting>
  <conditionalFormatting sqref="K3:K17">
    <cfRule type="colorScale" priority="2">
      <colorScale>
        <cfvo type="min"/>
        <cfvo type="max"/>
        <color rgb="FFFFEF9C"/>
        <color rgb="FF63BE7B"/>
      </colorScale>
    </cfRule>
  </conditionalFormatting>
  <conditionalFormatting sqref="L3:L17">
    <cfRule type="colorScale" priority="1">
      <colorScale>
        <cfvo type="min"/>
        <cfvo type="max"/>
        <color rgb="FFFFEF9C"/>
        <color rgb="FF63BE7B"/>
      </colorScale>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dimension ref="A1:X264"/>
  <sheetViews>
    <sheetView showGridLines="0" showRowColHeaders="0" topLeftCell="A25" zoomScaleNormal="100" workbookViewId="0">
      <selection activeCell="N3" sqref="N3"/>
    </sheetView>
  </sheetViews>
  <sheetFormatPr defaultRowHeight="15" x14ac:dyDescent="0.25"/>
  <cols>
    <col min="1" max="1" width="9.140625" style="233"/>
    <col min="2" max="2" width="10.28515625" style="233" customWidth="1"/>
    <col min="3" max="3" width="20.7109375" style="233" customWidth="1"/>
    <col min="4" max="4" width="12.7109375" style="233" customWidth="1"/>
    <col min="5" max="5" width="5.7109375" style="233" customWidth="1"/>
    <col min="6" max="7" width="11.28515625" style="233" customWidth="1"/>
    <col min="8" max="8" width="8.7109375" style="233" customWidth="1"/>
    <col min="9" max="9" width="35.7109375" style="233" customWidth="1"/>
    <col min="10" max="10" width="4.85546875" style="233" customWidth="1"/>
    <col min="11" max="11" width="8.7109375" style="233" customWidth="1"/>
    <col min="12" max="12" width="35.7109375" style="233" customWidth="1"/>
    <col min="13" max="13" width="4.85546875" style="233" customWidth="1"/>
    <col min="14" max="14" width="11" style="233" customWidth="1"/>
    <col min="15" max="16" width="10.140625" style="233" customWidth="1"/>
    <col min="17" max="17" width="22.28515625" style="233" bestFit="1" customWidth="1"/>
    <col min="18" max="16384" width="9.140625" style="233"/>
  </cols>
  <sheetData>
    <row r="1" spans="1:13" x14ac:dyDescent="0.25">
      <c r="A1" s="658"/>
      <c r="B1" s="658"/>
      <c r="C1" s="658"/>
    </row>
    <row r="2" spans="1:13" x14ac:dyDescent="0.25">
      <c r="A2" s="658"/>
      <c r="B2" s="658"/>
      <c r="C2" s="658"/>
    </row>
    <row r="4" spans="1:13" ht="31.5" x14ac:dyDescent="0.5">
      <c r="B4" s="626" t="s">
        <v>545</v>
      </c>
    </row>
    <row r="5" spans="1:13" ht="18" customHeight="1" x14ac:dyDescent="0.25">
      <c r="B5" s="276"/>
      <c r="C5" s="276"/>
      <c r="D5" s="276"/>
      <c r="E5" s="276"/>
      <c r="F5" s="276"/>
      <c r="G5" s="276"/>
      <c r="H5" s="276"/>
      <c r="I5" s="276"/>
      <c r="J5" s="276"/>
    </row>
    <row r="6" spans="1:13" ht="18" customHeight="1" x14ac:dyDescent="0.25">
      <c r="B6" s="627" t="s">
        <v>409</v>
      </c>
      <c r="C6" s="276"/>
      <c r="D6" s="276"/>
      <c r="E6" s="276"/>
      <c r="F6" s="276"/>
      <c r="G6" s="276"/>
      <c r="H6" s="276"/>
      <c r="I6" s="276"/>
      <c r="J6" s="276"/>
    </row>
    <row r="7" spans="1:13" ht="18" customHeight="1" x14ac:dyDescent="0.25">
      <c r="B7" s="627" t="s">
        <v>558</v>
      </c>
      <c r="C7" s="276"/>
      <c r="D7" s="276"/>
      <c r="E7" s="276"/>
      <c r="F7" s="276"/>
      <c r="G7" s="276"/>
      <c r="H7" s="276"/>
      <c r="I7" s="276"/>
      <c r="J7" s="276"/>
    </row>
    <row r="8" spans="1:13" ht="18" customHeight="1" x14ac:dyDescent="0.35">
      <c r="A8" s="10"/>
      <c r="B8" s="276"/>
      <c r="C8" s="276"/>
      <c r="D8" s="276"/>
      <c r="E8" s="276"/>
      <c r="F8" s="276"/>
      <c r="G8" s="276"/>
      <c r="H8" s="276"/>
      <c r="I8" s="276"/>
      <c r="J8" s="276"/>
    </row>
    <row r="9" spans="1:13" ht="18" customHeight="1" x14ac:dyDescent="0.35">
      <c r="A9" s="10"/>
      <c r="B9" s="384"/>
      <c r="C9" s="384"/>
      <c r="D9" s="384"/>
      <c r="E9" s="276"/>
      <c r="F9" s="276"/>
      <c r="G9" s="276"/>
      <c r="H9" s="276"/>
      <c r="I9" s="276"/>
      <c r="J9" s="276"/>
    </row>
    <row r="10" spans="1:13" ht="40.5" x14ac:dyDescent="0.35">
      <c r="A10" s="10"/>
      <c r="B10" s="627"/>
      <c r="C10" s="629" t="s">
        <v>536</v>
      </c>
      <c r="D10" s="629" t="s">
        <v>535</v>
      </c>
      <c r="E10" s="628"/>
      <c r="F10" s="628" t="s">
        <v>501</v>
      </c>
      <c r="G10" s="628" t="s">
        <v>502</v>
      </c>
      <c r="H10" s="1360" t="s">
        <v>635</v>
      </c>
      <c r="I10" s="628" t="s">
        <v>546</v>
      </c>
      <c r="J10" s="1361" t="s">
        <v>536</v>
      </c>
      <c r="K10" s="1360" t="s">
        <v>635</v>
      </c>
      <c r="L10" s="628" t="s">
        <v>547</v>
      </c>
      <c r="M10" s="1361" t="s">
        <v>536</v>
      </c>
    </row>
    <row r="11" spans="1:13" ht="24.95" customHeight="1" x14ac:dyDescent="0.25">
      <c r="A11" s="719"/>
      <c r="B11" s="720" t="s">
        <v>548</v>
      </c>
      <c r="C11" s="598">
        <f>C64</f>
        <v>40937972.477849998</v>
      </c>
      <c r="D11" s="727">
        <f>C64/C63-1</f>
        <v>0.12125261782178254</v>
      </c>
      <c r="E11" s="730">
        <f>D11</f>
        <v>0.12125261782178254</v>
      </c>
      <c r="F11" s="728">
        <f>MIN(C52:C64)</f>
        <v>18188705.964000002</v>
      </c>
      <c r="G11" s="728">
        <f>MAX(C51:C64)</f>
        <v>40937972.477849998</v>
      </c>
      <c r="H11" s="732">
        <f>C51/1000000</f>
        <v>16.652761752</v>
      </c>
      <c r="I11"/>
      <c r="J11" s="733">
        <f>C64/1000000</f>
        <v>40.937972477849996</v>
      </c>
      <c r="K11" s="732">
        <f>E51/1000000</f>
        <v>28.445310889260682</v>
      </c>
      <c r="M11" s="733">
        <f>E64/1000000</f>
        <v>40.937972477849996</v>
      </c>
    </row>
    <row r="12" spans="1:13" ht="18" customHeight="1" x14ac:dyDescent="0.25">
      <c r="A12" s="719"/>
      <c r="B12" s="720"/>
      <c r="C12" s="599"/>
      <c r="D12" s="727"/>
      <c r="E12" s="595"/>
      <c r="F12" s="728"/>
      <c r="G12" s="728"/>
      <c r="H12" s="732"/>
      <c r="I12" s="276"/>
      <c r="J12" s="733"/>
      <c r="M12" s="733"/>
    </row>
    <row r="13" spans="1:13" ht="24.95" customHeight="1" x14ac:dyDescent="0.25">
      <c r="A13" s="719"/>
      <c r="B13" s="720" t="s">
        <v>524</v>
      </c>
      <c r="C13" s="598">
        <f>D64</f>
        <v>43359714.86406</v>
      </c>
      <c r="D13" s="727">
        <f>D64/D63-1</f>
        <v>-3.5419567540340147E-3</v>
      </c>
      <c r="E13" s="731">
        <f>D13</f>
        <v>-3.5419567540340147E-3</v>
      </c>
      <c r="F13" s="728">
        <f>MIN(D51:D64)</f>
        <v>21158867.752</v>
      </c>
      <c r="G13" s="728">
        <f>MAX(D51:D64)</f>
        <v>43513839</v>
      </c>
      <c r="H13" s="732">
        <f>D51/1000000</f>
        <v>21.158867751999999</v>
      </c>
      <c r="I13"/>
      <c r="J13" s="733">
        <f>D64/1000000</f>
        <v>43.359714864060003</v>
      </c>
      <c r="K13" s="732">
        <f>G51/1000000</f>
        <v>36.142387685220292</v>
      </c>
      <c r="L13"/>
      <c r="M13" s="733">
        <f>G64/1000000</f>
        <v>43.359714864060003</v>
      </c>
    </row>
    <row r="14" spans="1:13" ht="18" customHeight="1" x14ac:dyDescent="0.25">
      <c r="A14" s="719"/>
      <c r="B14" s="599"/>
      <c r="C14" s="599"/>
      <c r="D14" s="599"/>
      <c r="E14" s="595"/>
      <c r="F14" s="595"/>
      <c r="G14" s="595"/>
      <c r="H14" s="276"/>
      <c r="I14" s="276"/>
    </row>
    <row r="15" spans="1:13" ht="18" customHeight="1" x14ac:dyDescent="0.25">
      <c r="A15" s="719"/>
      <c r="B15" s="384" t="s">
        <v>549</v>
      </c>
      <c r="C15" s="384"/>
      <c r="D15" s="384"/>
      <c r="E15" s="595"/>
      <c r="F15" s="595"/>
      <c r="G15" s="595"/>
      <c r="H15" s="276"/>
      <c r="I15" s="276"/>
    </row>
    <row r="16" spans="1:13" ht="18" customHeight="1" x14ac:dyDescent="0.35">
      <c r="A16" s="10"/>
      <c r="B16" s="384"/>
      <c r="C16" s="384"/>
      <c r="D16" s="384"/>
      <c r="E16" s="276"/>
      <c r="F16" s="276"/>
      <c r="G16" s="276"/>
      <c r="H16" s="276"/>
      <c r="I16" s="276"/>
    </row>
    <row r="17" spans="1:12" ht="18" customHeight="1" x14ac:dyDescent="0.25">
      <c r="A17" s="537"/>
      <c r="B17" s="384"/>
      <c r="C17" s="599"/>
      <c r="D17" s="599"/>
      <c r="E17" s="276"/>
      <c r="F17" s="276"/>
      <c r="G17" s="276"/>
      <c r="H17" s="276"/>
      <c r="I17" s="276"/>
    </row>
    <row r="18" spans="1:12" ht="18" customHeight="1" x14ac:dyDescent="0.35">
      <c r="A18" s="10"/>
      <c r="B18" s="597"/>
      <c r="C18" s="599"/>
      <c r="D18" s="599"/>
      <c r="E18" s="595"/>
      <c r="F18" s="595"/>
      <c r="G18" s="595"/>
      <c r="H18" s="595"/>
      <c r="I18" s="595"/>
      <c r="J18" s="596"/>
      <c r="K18" s="596"/>
      <c r="L18" s="596"/>
    </row>
    <row r="19" spans="1:12" ht="18" customHeight="1" x14ac:dyDescent="0.35">
      <c r="A19" s="10"/>
      <c r="B19" s="599"/>
      <c r="C19" s="721"/>
      <c r="D19" s="721"/>
      <c r="E19" s="599"/>
      <c r="F19" s="599"/>
      <c r="G19" s="599"/>
      <c r="H19" s="597"/>
      <c r="I19" s="599"/>
      <c r="J19" s="599"/>
      <c r="K19" s="599"/>
      <c r="L19" s="599"/>
    </row>
    <row r="20" spans="1:12" ht="18" customHeight="1" x14ac:dyDescent="0.35">
      <c r="A20" s="10"/>
      <c r="B20" s="721"/>
      <c r="C20" s="722"/>
      <c r="D20" s="722"/>
      <c r="E20" s="721"/>
      <c r="F20" s="721"/>
      <c r="G20" s="599"/>
      <c r="H20" s="599"/>
      <c r="I20" s="721"/>
      <c r="J20" s="721"/>
      <c r="K20" s="721"/>
      <c r="L20" s="721"/>
    </row>
    <row r="21" spans="1:12" ht="18" customHeight="1" x14ac:dyDescent="0.35">
      <c r="A21" s="10"/>
      <c r="B21" s="721"/>
      <c r="C21" s="722"/>
      <c r="D21" s="722"/>
      <c r="E21" s="722"/>
      <c r="F21" s="722"/>
      <c r="G21" s="599"/>
      <c r="H21" s="721"/>
      <c r="I21" s="722"/>
      <c r="J21" s="722"/>
      <c r="K21" s="722"/>
      <c r="L21" s="722"/>
    </row>
    <row r="22" spans="1:12" ht="18" customHeight="1" x14ac:dyDescent="0.35">
      <c r="A22" s="10"/>
      <c r="B22" s="721"/>
      <c r="C22" s="722"/>
      <c r="D22" s="722"/>
      <c r="E22" s="722"/>
      <c r="F22" s="722"/>
      <c r="G22" s="599"/>
      <c r="H22" s="721"/>
      <c r="I22" s="722"/>
      <c r="J22" s="722"/>
      <c r="K22" s="722"/>
      <c r="L22" s="722"/>
    </row>
    <row r="23" spans="1:12" ht="18" customHeight="1" x14ac:dyDescent="0.35">
      <c r="A23" s="10"/>
      <c r="B23" s="721"/>
      <c r="C23" s="722"/>
      <c r="D23" s="722"/>
      <c r="E23" s="722"/>
      <c r="F23" s="722"/>
      <c r="G23" s="599"/>
      <c r="H23" s="721"/>
      <c r="I23" s="722"/>
      <c r="J23" s="722"/>
      <c r="K23" s="722"/>
      <c r="L23"/>
    </row>
    <row r="24" spans="1:12" ht="18" customHeight="1" x14ac:dyDescent="0.35">
      <c r="A24" s="10"/>
      <c r="B24" s="721"/>
      <c r="C24" s="722"/>
      <c r="D24" s="722"/>
      <c r="E24" s="722"/>
      <c r="F24" s="722"/>
      <c r="G24" s="599"/>
      <c r="H24" s="721"/>
      <c r="I24" s="722"/>
      <c r="J24" s="722"/>
      <c r="K24" s="722"/>
      <c r="L24" s="722"/>
    </row>
    <row r="25" spans="1:12" ht="18" customHeight="1" x14ac:dyDescent="0.35">
      <c r="A25" s="10"/>
      <c r="B25" s="721"/>
      <c r="C25" s="722"/>
      <c r="D25" s="722"/>
      <c r="E25" s="722"/>
      <c r="F25" s="722"/>
      <c r="G25" s="599"/>
      <c r="H25" s="721"/>
      <c r="I25" s="722"/>
      <c r="J25" s="722"/>
      <c r="K25" s="722"/>
      <c r="L25" s="722"/>
    </row>
    <row r="26" spans="1:12" ht="18" customHeight="1" x14ac:dyDescent="0.35">
      <c r="A26" s="10"/>
      <c r="B26" s="721"/>
      <c r="C26" s="722"/>
      <c r="D26" s="722"/>
      <c r="E26" s="722"/>
      <c r="F26" s="722"/>
      <c r="G26" s="599"/>
      <c r="H26" s="721"/>
      <c r="I26" s="722"/>
      <c r="J26" s="722"/>
      <c r="K26" s="722"/>
      <c r="L26" s="722"/>
    </row>
    <row r="27" spans="1:12" ht="18" customHeight="1" x14ac:dyDescent="0.35">
      <c r="A27" s="10"/>
      <c r="B27" s="721"/>
      <c r="C27" s="722"/>
      <c r="D27" s="722"/>
      <c r="E27" s="722"/>
      <c r="F27" s="722"/>
      <c r="G27" s="599"/>
      <c r="H27" s="721"/>
      <c r="I27" s="722"/>
      <c r="J27" s="722"/>
      <c r="K27" s="722"/>
      <c r="L27" s="722"/>
    </row>
    <row r="28" spans="1:12" ht="18" customHeight="1" x14ac:dyDescent="0.35">
      <c r="A28" s="736"/>
      <c r="B28" s="384"/>
      <c r="C28" s="594"/>
      <c r="D28" s="594"/>
      <c r="E28" s="722"/>
      <c r="F28" s="722"/>
      <c r="G28" s="599"/>
      <c r="H28" s="721"/>
      <c r="I28" s="722"/>
      <c r="J28" s="722"/>
      <c r="K28" s="722"/>
      <c r="L28" s="722"/>
    </row>
    <row r="29" spans="1:12" ht="18" customHeight="1" x14ac:dyDescent="0.35">
      <c r="A29" s="736" t="b">
        <v>1</v>
      </c>
      <c r="B29" s="384"/>
      <c r="C29" s="594"/>
      <c r="D29" s="594"/>
      <c r="E29" s="722"/>
      <c r="F29" s="722"/>
      <c r="G29" s="599"/>
      <c r="H29" s="721"/>
      <c r="I29" s="722"/>
      <c r="J29" s="722"/>
      <c r="K29" s="722"/>
      <c r="L29" s="722"/>
    </row>
    <row r="30" spans="1:12" ht="18" customHeight="1" x14ac:dyDescent="0.35">
      <c r="A30" s="736"/>
      <c r="B30" s="384"/>
      <c r="C30" s="594"/>
      <c r="D30" s="594"/>
      <c r="E30" s="722"/>
      <c r="F30" s="722"/>
      <c r="G30" s="599"/>
      <c r="H30" s="721"/>
      <c r="I30" s="722"/>
      <c r="J30" s="722"/>
      <c r="K30" s="722"/>
      <c r="L30" s="722"/>
    </row>
    <row r="31" spans="1:12" ht="66" customHeight="1" x14ac:dyDescent="0.35">
      <c r="A31" s="10"/>
      <c r="B31" s="735"/>
      <c r="C31" s="735" t="str">
        <f>IF($A$29=TRUE,C50,"")</f>
        <v>All Trusts  - current</v>
      </c>
      <c r="D31" s="735" t="str">
        <f>IF($A$29=TRUE,D50,"")</f>
        <v xml:space="preserve">Total labour - Current </v>
      </c>
      <c r="E31" s="1903" t="str">
        <f>IF($A$29=TRUE,E50,"")</f>
        <v>All Trusts - Constant</v>
      </c>
      <c r="F31" s="1903"/>
      <c r="G31" s="1903" t="str">
        <f>IF($A$29=TRUE,G50,"")</f>
        <v>Total labour - Constant</v>
      </c>
      <c r="H31" s="1903"/>
      <c r="I31" s="722"/>
      <c r="J31" s="722"/>
      <c r="K31" s="722"/>
      <c r="L31" s="722"/>
    </row>
    <row r="32" spans="1:12" ht="20.100000000000001" customHeight="1" x14ac:dyDescent="0.35">
      <c r="A32" s="10"/>
      <c r="B32" s="735" t="str">
        <f t="shared" ref="B32:E45" si="0">IF($A$29=TRUE,B51,"")</f>
        <v>1998/99</v>
      </c>
      <c r="C32" s="1383">
        <f t="shared" si="0"/>
        <v>16652761.752</v>
      </c>
      <c r="D32" s="1383">
        <f t="shared" si="0"/>
        <v>21158867.752</v>
      </c>
      <c r="E32" s="1904">
        <f t="shared" si="0"/>
        <v>28445310.889260683</v>
      </c>
      <c r="F32" s="1904"/>
      <c r="G32" s="1904">
        <f t="shared" ref="G32:G45" si="1">IF($A$29=TRUE,G51,"")</f>
        <v>36142387.685220294</v>
      </c>
      <c r="H32" s="1904"/>
      <c r="I32" s="722"/>
      <c r="J32" s="722"/>
      <c r="K32" s="722"/>
      <c r="L32" s="722"/>
    </row>
    <row r="33" spans="1:24" ht="20.100000000000001" customHeight="1" x14ac:dyDescent="0.35">
      <c r="A33" s="10"/>
      <c r="B33" s="735" t="str">
        <f t="shared" si="0"/>
        <v>1999/00</v>
      </c>
      <c r="C33" s="1383">
        <f t="shared" si="0"/>
        <v>18188705.964000002</v>
      </c>
      <c r="D33" s="1383">
        <f t="shared" si="0"/>
        <v>22982939.964000002</v>
      </c>
      <c r="E33" s="1904">
        <f t="shared" si="0"/>
        <v>29063540.125078183</v>
      </c>
      <c r="F33" s="1904"/>
      <c r="G33" s="1904">
        <f t="shared" si="1"/>
        <v>36724195.726625524</v>
      </c>
      <c r="H33" s="1904"/>
      <c r="I33" s="722"/>
      <c r="J33" s="722"/>
      <c r="K33" s="722"/>
      <c r="L33" s="722"/>
      <c r="R33" s="722"/>
    </row>
    <row r="34" spans="1:24" ht="20.100000000000001" customHeight="1" x14ac:dyDescent="0.35">
      <c r="A34" s="10"/>
      <c r="B34" s="735" t="str">
        <f t="shared" si="0"/>
        <v>2000/01</v>
      </c>
      <c r="C34" s="1383">
        <f t="shared" si="0"/>
        <v>19811608.624000002</v>
      </c>
      <c r="D34" s="1383">
        <f t="shared" si="0"/>
        <v>24796431.624000002</v>
      </c>
      <c r="E34" s="1904">
        <f t="shared" si="0"/>
        <v>29530558.817981973</v>
      </c>
      <c r="F34" s="1904"/>
      <c r="G34" s="1904">
        <f t="shared" si="1"/>
        <v>36960778.725536779</v>
      </c>
      <c r="H34" s="1904"/>
      <c r="I34" s="722"/>
      <c r="J34" s="722"/>
      <c r="K34" s="722"/>
      <c r="L34" s="722"/>
    </row>
    <row r="35" spans="1:24" ht="20.100000000000001" customHeight="1" x14ac:dyDescent="0.35">
      <c r="A35" s="10"/>
      <c r="B35" s="735" t="str">
        <f t="shared" si="0"/>
        <v>2001/02</v>
      </c>
      <c r="C35" s="1383">
        <f t="shared" si="0"/>
        <v>21120825.805</v>
      </c>
      <c r="D35" s="1383">
        <f t="shared" si="0"/>
        <v>25963064.805</v>
      </c>
      <c r="E35" s="1904">
        <f t="shared" si="0"/>
        <v>29069285.915140562</v>
      </c>
      <c r="F35" s="1904"/>
      <c r="G35" s="1904">
        <f t="shared" si="1"/>
        <v>35733818.413065985</v>
      </c>
      <c r="H35" s="1904"/>
      <c r="I35" s="722"/>
      <c r="J35" s="722"/>
      <c r="K35" s="722"/>
      <c r="L35" s="722"/>
    </row>
    <row r="36" spans="1:24" ht="20.100000000000001" customHeight="1" x14ac:dyDescent="0.35">
      <c r="A36" s="10"/>
      <c r="B36" s="735" t="str">
        <f t="shared" si="0"/>
        <v>2002/03</v>
      </c>
      <c r="C36" s="1383">
        <f t="shared" si="0"/>
        <v>21368229.666999999</v>
      </c>
      <c r="D36" s="1383">
        <f t="shared" si="0"/>
        <v>25941558.666999999</v>
      </c>
      <c r="E36" s="1904">
        <f t="shared" si="0"/>
        <v>28009329.497377746</v>
      </c>
      <c r="F36" s="1904"/>
      <c r="G36" s="1904">
        <f t="shared" si="1"/>
        <v>34004017.913645461</v>
      </c>
      <c r="H36" s="1904"/>
      <c r="I36" s="722"/>
      <c r="J36" s="722"/>
      <c r="K36" s="722"/>
      <c r="L36" s="722"/>
    </row>
    <row r="37" spans="1:24" ht="20.100000000000001" customHeight="1" x14ac:dyDescent="0.35">
      <c r="A37" s="10"/>
      <c r="B37" s="735" t="str">
        <f t="shared" si="0"/>
        <v>2003/04</v>
      </c>
      <c r="C37" s="1383">
        <f t="shared" si="0"/>
        <v>23553819.223000001</v>
      </c>
      <c r="D37" s="1383">
        <f t="shared" si="0"/>
        <v>27979451.223000001</v>
      </c>
      <c r="E37" s="1904">
        <f t="shared" si="0"/>
        <v>28773704.901474822</v>
      </c>
      <c r="F37" s="1904"/>
      <c r="G37" s="1904">
        <f t="shared" si="1"/>
        <v>34180124.470415734</v>
      </c>
      <c r="H37" s="1904"/>
      <c r="I37" s="722"/>
      <c r="J37" s="722"/>
      <c r="K37" s="722"/>
      <c r="L37" s="722"/>
    </row>
    <row r="38" spans="1:24" ht="20.100000000000001" customHeight="1" x14ac:dyDescent="0.35">
      <c r="A38" s="10"/>
      <c r="B38" s="735" t="str">
        <f t="shared" si="0"/>
        <v>2004/05</v>
      </c>
      <c r="C38" s="1383">
        <f t="shared" si="0"/>
        <v>25665773.316920005</v>
      </c>
      <c r="D38" s="1383">
        <f t="shared" si="0"/>
        <v>31334252.480110005</v>
      </c>
      <c r="E38" s="1904">
        <f t="shared" si="0"/>
        <v>30003540.902126215</v>
      </c>
      <c r="F38" s="1904"/>
      <c r="G38" s="1904">
        <f t="shared" si="1"/>
        <v>36630048.67672348</v>
      </c>
      <c r="H38" s="1904"/>
      <c r="I38" s="722"/>
      <c r="J38" s="722"/>
      <c r="K38" s="722"/>
      <c r="L38" s="722"/>
    </row>
    <row r="39" spans="1:24" ht="20.100000000000001" customHeight="1" x14ac:dyDescent="0.35">
      <c r="A39" s="10"/>
      <c r="B39" s="735" t="str">
        <f t="shared" si="0"/>
        <v>2005/06</v>
      </c>
      <c r="C39" s="1383">
        <f t="shared" si="0"/>
        <v>27588829.5</v>
      </c>
      <c r="D39" s="1383">
        <f t="shared" si="0"/>
        <v>33926746.314999998</v>
      </c>
      <c r="E39" s="1904">
        <f t="shared" si="0"/>
        <v>30803832.334121667</v>
      </c>
      <c r="F39" s="1904"/>
      <c r="G39" s="1904">
        <f t="shared" si="1"/>
        <v>37880324.177201502</v>
      </c>
      <c r="H39" s="1904"/>
      <c r="I39" s="722"/>
      <c r="J39" s="722"/>
      <c r="K39" s="722"/>
      <c r="L39" s="722"/>
    </row>
    <row r="40" spans="1:24" ht="20.100000000000001" customHeight="1" x14ac:dyDescent="0.35">
      <c r="A40" s="10"/>
      <c r="B40" s="735" t="str">
        <f t="shared" si="0"/>
        <v>2006/07</v>
      </c>
      <c r="C40" s="1383">
        <f t="shared" si="0"/>
        <v>28664013</v>
      </c>
      <c r="D40" s="1383">
        <f t="shared" si="0"/>
        <v>35177509.125</v>
      </c>
      <c r="E40" s="1904">
        <f t="shared" si="0"/>
        <v>32360272.952454537</v>
      </c>
      <c r="F40" s="1904"/>
      <c r="G40" s="1904">
        <f t="shared" si="1"/>
        <v>39713692.464221954</v>
      </c>
      <c r="H40" s="1904"/>
      <c r="I40" s="722"/>
      <c r="J40" s="722"/>
      <c r="K40" s="722"/>
      <c r="L40" s="722"/>
    </row>
    <row r="41" spans="1:24" ht="20.100000000000001" customHeight="1" x14ac:dyDescent="0.35">
      <c r="A41" s="10"/>
      <c r="B41" s="735" t="str">
        <f t="shared" si="0"/>
        <v>2007/08</v>
      </c>
      <c r="C41" s="1383">
        <f t="shared" si="0"/>
        <v>29975524.70163</v>
      </c>
      <c r="D41" s="1383">
        <f t="shared" si="0"/>
        <v>36539983.701629996</v>
      </c>
      <c r="E41" s="1904">
        <f t="shared" si="0"/>
        <v>32696527.257204108</v>
      </c>
      <c r="F41" s="1904"/>
      <c r="G41" s="1904">
        <f t="shared" si="1"/>
        <v>39856869.394955821</v>
      </c>
      <c r="H41" s="1904"/>
      <c r="I41" s="722"/>
      <c r="J41" s="722"/>
      <c r="K41" s="722"/>
      <c r="L41" s="722"/>
    </row>
    <row r="42" spans="1:24" ht="20.100000000000001" customHeight="1" x14ac:dyDescent="0.35">
      <c r="A42" s="10"/>
      <c r="B42" s="735" t="str">
        <f t="shared" si="0"/>
        <v>2008/09</v>
      </c>
      <c r="C42" s="1383">
        <f t="shared" si="0"/>
        <v>32041487.253731035</v>
      </c>
      <c r="D42" s="1383">
        <f t="shared" si="0"/>
        <v>39213453.649081036</v>
      </c>
      <c r="E42" s="1904">
        <f t="shared" si="0"/>
        <v>33932063.872562893</v>
      </c>
      <c r="F42" s="1904"/>
      <c r="G42" s="1904">
        <f t="shared" si="1"/>
        <v>41527205.130887382</v>
      </c>
      <c r="H42" s="1904"/>
      <c r="I42" s="722"/>
      <c r="J42" s="722"/>
      <c r="K42" s="722"/>
      <c r="L42" s="722"/>
    </row>
    <row r="43" spans="1:24" ht="20.100000000000001" customHeight="1" x14ac:dyDescent="0.35">
      <c r="A43" s="10"/>
      <c r="B43" s="735" t="str">
        <f t="shared" si="0"/>
        <v>2009/10</v>
      </c>
      <c r="C43" s="1383">
        <f t="shared" si="0"/>
        <v>34284052.597619995</v>
      </c>
      <c r="D43" s="1383">
        <f t="shared" si="0"/>
        <v>42145100.102129996</v>
      </c>
      <c r="E43" s="1904">
        <f t="shared" si="0"/>
        <v>35664979.952199519</v>
      </c>
      <c r="F43" s="1904"/>
      <c r="G43" s="1904">
        <f t="shared" si="1"/>
        <v>43842662.589143679</v>
      </c>
      <c r="H43" s="1904"/>
      <c r="I43" s="722"/>
      <c r="J43" s="722"/>
      <c r="K43" s="722"/>
      <c r="L43" s="722"/>
    </row>
    <row r="44" spans="1:24" ht="20.100000000000001" customHeight="1" x14ac:dyDescent="0.35">
      <c r="A44" s="10"/>
      <c r="B44" s="735" t="str">
        <f t="shared" si="0"/>
        <v>2010/11</v>
      </c>
      <c r="C44" s="1383">
        <f t="shared" si="0"/>
        <v>36510927</v>
      </c>
      <c r="D44" s="1383">
        <f t="shared" si="0"/>
        <v>43513839</v>
      </c>
      <c r="E44" s="1904">
        <f t="shared" si="0"/>
        <v>36839525.342999995</v>
      </c>
      <c r="F44" s="1904"/>
      <c r="G44" s="1904">
        <f t="shared" si="1"/>
        <v>43905463.550999999</v>
      </c>
      <c r="H44" s="1904"/>
      <c r="I44" s="722"/>
      <c r="J44" s="722"/>
      <c r="K44" s="722"/>
      <c r="L44" s="1370"/>
      <c r="M44" s="376"/>
      <c r="N44" s="376"/>
      <c r="O44" s="376"/>
      <c r="P44" s="376"/>
      <c r="Q44" s="376"/>
      <c r="R44" s="376"/>
      <c r="S44" s="376"/>
      <c r="T44" s="376"/>
      <c r="U44" s="376"/>
      <c r="V44" s="376"/>
      <c r="W44" s="376"/>
      <c r="X44" s="376"/>
    </row>
    <row r="45" spans="1:24" ht="20.100000000000001" customHeight="1" x14ac:dyDescent="0.35">
      <c r="A45" s="10"/>
      <c r="B45" s="735" t="str">
        <f t="shared" si="0"/>
        <v>2011/12</v>
      </c>
      <c r="C45" s="1383">
        <f t="shared" si="0"/>
        <v>40937972.477849998</v>
      </c>
      <c r="D45" s="1383">
        <f t="shared" si="0"/>
        <v>43359714.86406</v>
      </c>
      <c r="E45" s="1904">
        <f t="shared" si="0"/>
        <v>40937972.477849998</v>
      </c>
      <c r="F45" s="1904"/>
      <c r="G45" s="1904">
        <f t="shared" si="1"/>
        <v>43359714.86406</v>
      </c>
      <c r="H45" s="1904"/>
      <c r="I45" s="722"/>
      <c r="J45" s="722"/>
      <c r="K45" s="722"/>
      <c r="L45" s="1370"/>
      <c r="M45" s="376"/>
      <c r="N45" s="376"/>
      <c r="O45" s="376"/>
      <c r="P45" s="376"/>
      <c r="Q45" s="376"/>
      <c r="R45" s="376"/>
      <c r="S45" s="376"/>
      <c r="T45" s="376"/>
      <c r="U45" s="376"/>
      <c r="V45" s="376"/>
      <c r="W45" s="376"/>
      <c r="X45" s="376"/>
    </row>
    <row r="46" spans="1:24" ht="20.100000000000001" customHeight="1" x14ac:dyDescent="0.35">
      <c r="A46" s="688"/>
      <c r="B46" s="939"/>
      <c r="C46" s="1362"/>
      <c r="D46" s="1362"/>
      <c r="E46" s="1363"/>
      <c r="F46" s="1363"/>
      <c r="G46" s="1017"/>
      <c r="H46" s="1017"/>
      <c r="I46" s="1017"/>
      <c r="J46" s="1364"/>
      <c r="K46" s="1364"/>
      <c r="L46" s="1364"/>
      <c r="M46" s="376"/>
      <c r="N46" s="376"/>
      <c r="O46" s="376"/>
      <c r="P46" s="376"/>
      <c r="Q46" s="376"/>
      <c r="R46" s="376"/>
      <c r="S46" s="376"/>
      <c r="T46" s="376"/>
      <c r="U46" s="376"/>
      <c r="V46" s="376"/>
      <c r="W46" s="376"/>
      <c r="X46" s="376"/>
    </row>
    <row r="47" spans="1:24" ht="23.25" x14ac:dyDescent="0.35">
      <c r="A47" s="688"/>
      <c r="B47" s="939"/>
      <c r="C47" s="939"/>
      <c r="D47" s="939"/>
      <c r="E47" s="1362"/>
      <c r="F47" s="1362"/>
      <c r="G47" s="1362"/>
      <c r="H47" s="1362"/>
      <c r="I47" s="1362"/>
      <c r="J47" s="1365"/>
      <c r="K47" s="1365"/>
      <c r="L47" s="1365"/>
      <c r="M47" s="378"/>
      <c r="N47" s="378"/>
      <c r="O47" s="378"/>
      <c r="P47" s="378"/>
      <c r="Q47" s="378"/>
      <c r="R47" s="378"/>
      <c r="S47" s="376"/>
      <c r="T47" s="376"/>
      <c r="U47" s="376"/>
      <c r="V47" s="376"/>
      <c r="W47" s="376"/>
      <c r="X47" s="376"/>
    </row>
    <row r="48" spans="1:24" ht="23.25" x14ac:dyDescent="0.35">
      <c r="A48" s="688"/>
      <c r="B48" s="939"/>
      <c r="C48" s="1366"/>
      <c r="D48" s="1366"/>
      <c r="E48" s="1366"/>
      <c r="F48" s="1366"/>
      <c r="G48" s="1366"/>
      <c r="H48" s="1366"/>
      <c r="I48" s="1366"/>
      <c r="J48" s="1366"/>
      <c r="K48" s="1366"/>
      <c r="L48" s="1366"/>
      <c r="M48" s="1366"/>
      <c r="N48" s="1366"/>
      <c r="O48" s="1366"/>
      <c r="P48" s="1366"/>
      <c r="Q48" s="378"/>
      <c r="R48" s="378"/>
      <c r="S48" s="376"/>
      <c r="T48" s="376"/>
      <c r="U48" s="376"/>
      <c r="V48" s="376"/>
      <c r="W48" s="376"/>
      <c r="X48" s="376"/>
    </row>
    <row r="49" spans="1:24" ht="23.25" x14ac:dyDescent="0.35">
      <c r="A49" s="751"/>
      <c r="B49" s="737"/>
      <c r="C49" s="738"/>
      <c r="D49" s="738"/>
      <c r="E49" s="738"/>
      <c r="F49" s="738"/>
      <c r="G49" s="738"/>
      <c r="H49" s="738"/>
      <c r="I49" s="739"/>
      <c r="J49" s="739"/>
      <c r="K49" s="739"/>
      <c r="L49" s="739"/>
      <c r="M49" s="1366"/>
      <c r="N49" s="1366"/>
      <c r="O49" s="1019"/>
      <c r="P49" s="1372"/>
      <c r="Q49" s="378"/>
      <c r="R49" s="378"/>
      <c r="S49" s="376"/>
      <c r="T49" s="376"/>
      <c r="U49" s="376"/>
      <c r="V49" s="376"/>
      <c r="W49" s="376"/>
      <c r="X49" s="376"/>
    </row>
    <row r="50" spans="1:24" ht="27.75" customHeight="1" x14ac:dyDescent="0.35">
      <c r="A50" s="751"/>
      <c r="B50" s="737"/>
      <c r="C50" s="738" t="s">
        <v>550</v>
      </c>
      <c r="D50" s="738" t="s">
        <v>551</v>
      </c>
      <c r="E50" s="738" t="s">
        <v>552</v>
      </c>
      <c r="F50" s="738"/>
      <c r="G50" s="738" t="s">
        <v>553</v>
      </c>
      <c r="H50" s="738"/>
      <c r="I50" s="738"/>
      <c r="J50" s="738"/>
      <c r="K50" s="739"/>
      <c r="L50" s="739"/>
      <c r="M50" s="1366"/>
      <c r="N50" s="1369"/>
      <c r="O50" s="1019"/>
      <c r="P50" s="1371"/>
      <c r="Q50" s="1370"/>
      <c r="R50" s="378"/>
      <c r="S50" s="376"/>
      <c r="T50" s="376"/>
      <c r="U50" s="376"/>
      <c r="V50" s="376"/>
      <c r="W50" s="376"/>
      <c r="X50" s="376"/>
    </row>
    <row r="51" spans="1:24" ht="23.25" x14ac:dyDescent="0.35">
      <c r="A51" s="751"/>
      <c r="B51" s="742" t="s">
        <v>68</v>
      </c>
      <c r="C51" s="1384">
        <v>16652761.752</v>
      </c>
      <c r="D51" s="1384">
        <v>21158867.752</v>
      </c>
      <c r="E51" s="1384">
        <v>28445310.889260683</v>
      </c>
      <c r="F51" s="1384"/>
      <c r="G51" s="1384">
        <v>36142387.685220294</v>
      </c>
      <c r="H51" s="747">
        <f>C51/C$51</f>
        <v>1</v>
      </c>
      <c r="I51" s="747">
        <f>D51/D$51</f>
        <v>1</v>
      </c>
      <c r="J51" s="747">
        <f>E51/E$51</f>
        <v>1</v>
      </c>
      <c r="K51" s="747" t="e">
        <f>F51/F$51</f>
        <v>#DIV/0!</v>
      </c>
      <c r="L51" s="747">
        <f>G51/G$51</f>
        <v>1</v>
      </c>
      <c r="M51" s="1367"/>
      <c r="N51" s="1367"/>
      <c r="O51" s="1367"/>
      <c r="P51" s="1367"/>
      <c r="Q51" s="1367"/>
      <c r="R51" s="378"/>
      <c r="S51" s="376"/>
      <c r="T51" s="376"/>
      <c r="U51" s="376"/>
      <c r="V51" s="376"/>
      <c r="W51" s="376"/>
      <c r="X51" s="376"/>
    </row>
    <row r="52" spans="1:24" ht="23.25" x14ac:dyDescent="0.35">
      <c r="A52" s="751"/>
      <c r="B52" s="737" t="s">
        <v>69</v>
      </c>
      <c r="C52" s="1385">
        <v>18188705.964000002</v>
      </c>
      <c r="D52" s="1385">
        <v>22982939.964000002</v>
      </c>
      <c r="E52" s="882">
        <v>29063540.125078183</v>
      </c>
      <c r="F52" s="882"/>
      <c r="G52" s="882">
        <v>36724195.726625524</v>
      </c>
      <c r="H52" s="747">
        <f t="shared" ref="H52:H64" si="2">C52/C$51</f>
        <v>1.0922336027425321</v>
      </c>
      <c r="I52" s="747">
        <f t="shared" ref="I52:I64" si="3">D52/D$51</f>
        <v>1.0862084036527704</v>
      </c>
      <c r="J52" s="747">
        <f t="shared" ref="J52:J64" si="4">E52/E$51</f>
        <v>1.021733959534642</v>
      </c>
      <c r="K52" s="747" t="e">
        <f t="shared" ref="K52:K64" si="5">F52/F$51</f>
        <v>#DIV/0!</v>
      </c>
      <c r="L52" s="747">
        <f t="shared" ref="L52:L64" si="6">G52/G$51</f>
        <v>1.01609766478276</v>
      </c>
      <c r="M52" s="378"/>
      <c r="N52" s="378"/>
      <c r="O52" s="378"/>
      <c r="P52" s="378"/>
      <c r="Q52" s="378"/>
      <c r="R52" s="378"/>
      <c r="S52" s="376"/>
      <c r="T52" s="376"/>
      <c r="U52" s="376"/>
      <c r="V52" s="376"/>
      <c r="W52" s="376"/>
      <c r="X52" s="376"/>
    </row>
    <row r="53" spans="1:24" ht="23.25" x14ac:dyDescent="0.35">
      <c r="A53" s="751"/>
      <c r="B53" s="737" t="s">
        <v>70</v>
      </c>
      <c r="C53" s="1385">
        <v>19811608.624000002</v>
      </c>
      <c r="D53" s="1385">
        <v>24796431.624000002</v>
      </c>
      <c r="E53" s="1385">
        <v>29530558.817981973</v>
      </c>
      <c r="F53" s="1385"/>
      <c r="G53" s="1385">
        <v>36960778.725536779</v>
      </c>
      <c r="H53" s="747">
        <f t="shared" si="2"/>
        <v>1.1896890689390078</v>
      </c>
      <c r="I53" s="747">
        <f t="shared" si="3"/>
        <v>1.171916754461314</v>
      </c>
      <c r="J53" s="747">
        <f t="shared" si="4"/>
        <v>1.0381520853453219</v>
      </c>
      <c r="K53" s="747" t="e">
        <f t="shared" si="5"/>
        <v>#DIV/0!</v>
      </c>
      <c r="L53" s="747">
        <f t="shared" si="6"/>
        <v>1.0226435244800152</v>
      </c>
      <c r="M53" s="939"/>
      <c r="N53" s="939"/>
      <c r="O53" s="939"/>
      <c r="P53" s="939"/>
      <c r="Q53" s="378"/>
      <c r="R53" s="378"/>
      <c r="S53" s="376"/>
      <c r="T53" s="376"/>
      <c r="U53" s="376"/>
      <c r="V53" s="376"/>
      <c r="W53" s="376"/>
      <c r="X53" s="376"/>
    </row>
    <row r="54" spans="1:24" ht="23.25" x14ac:dyDescent="0.35">
      <c r="A54" s="751"/>
      <c r="B54" s="643" t="s">
        <v>71</v>
      </c>
      <c r="C54" s="1385">
        <v>21120825.805</v>
      </c>
      <c r="D54" s="1385">
        <v>25963064.805</v>
      </c>
      <c r="E54" s="1385">
        <v>29069285.915140562</v>
      </c>
      <c r="F54" s="1385"/>
      <c r="G54" s="1385">
        <v>35733818.413065985</v>
      </c>
      <c r="H54" s="747">
        <f t="shared" si="2"/>
        <v>1.2683076909127931</v>
      </c>
      <c r="I54" s="747">
        <f t="shared" si="3"/>
        <v>1.2270535980142838</v>
      </c>
      <c r="J54" s="747">
        <f t="shared" si="4"/>
        <v>1.0219359538135846</v>
      </c>
      <c r="K54" s="747" t="e">
        <f t="shared" si="5"/>
        <v>#DIV/0!</v>
      </c>
      <c r="L54" s="747">
        <f t="shared" si="6"/>
        <v>0.98869556500492672</v>
      </c>
      <c r="M54" s="939"/>
      <c r="N54" s="939"/>
      <c r="O54" s="939"/>
      <c r="P54" s="939"/>
      <c r="Q54" s="378"/>
      <c r="R54" s="378"/>
      <c r="S54" s="376"/>
      <c r="T54" s="376"/>
      <c r="U54" s="376"/>
      <c r="V54" s="376"/>
      <c r="W54" s="376"/>
      <c r="X54" s="376"/>
    </row>
    <row r="55" spans="1:24" ht="23.25" x14ac:dyDescent="0.35">
      <c r="A55" s="751"/>
      <c r="B55" s="585" t="s">
        <v>72</v>
      </c>
      <c r="C55" s="648">
        <v>21368229.666999999</v>
      </c>
      <c r="D55" s="648">
        <v>25941558.666999999</v>
      </c>
      <c r="E55" s="882">
        <v>28009329.497377746</v>
      </c>
      <c r="F55" s="882"/>
      <c r="G55" s="882">
        <v>34004017.913645461</v>
      </c>
      <c r="H55" s="747">
        <f t="shared" si="2"/>
        <v>1.283164317440239</v>
      </c>
      <c r="I55" s="747">
        <f t="shared" si="3"/>
        <v>1.2260371854986392</v>
      </c>
      <c r="J55" s="747">
        <f t="shared" si="4"/>
        <v>0.98467299606672465</v>
      </c>
      <c r="K55" s="747" t="e">
        <f t="shared" si="5"/>
        <v>#DIV/0!</v>
      </c>
      <c r="L55" s="747">
        <f t="shared" si="6"/>
        <v>0.940834850475325</v>
      </c>
      <c r="M55" s="378"/>
      <c r="N55" s="378"/>
      <c r="O55" s="378"/>
      <c r="P55" s="378"/>
      <c r="Q55" s="378"/>
      <c r="R55" s="378"/>
      <c r="S55" s="376"/>
      <c r="T55" s="376"/>
      <c r="U55" s="376"/>
      <c r="V55" s="376"/>
      <c r="W55" s="376"/>
      <c r="X55" s="376"/>
    </row>
    <row r="56" spans="1:24" ht="23.25" x14ac:dyDescent="0.35">
      <c r="A56" s="751"/>
      <c r="B56" s="585" t="s">
        <v>73</v>
      </c>
      <c r="C56" s="648">
        <v>23553819.223000001</v>
      </c>
      <c r="D56" s="648">
        <v>27979451.223000001</v>
      </c>
      <c r="E56" s="648">
        <v>28773704.901474822</v>
      </c>
      <c r="F56" s="648"/>
      <c r="G56" s="648">
        <v>34180124.470415734</v>
      </c>
      <c r="H56" s="747">
        <f t="shared" si="2"/>
        <v>1.4144091877235427</v>
      </c>
      <c r="I56" s="747">
        <f t="shared" si="3"/>
        <v>1.3223510610748677</v>
      </c>
      <c r="J56" s="747">
        <f t="shared" si="4"/>
        <v>1.0115447503278343</v>
      </c>
      <c r="K56" s="747" t="e">
        <f t="shared" si="5"/>
        <v>#DIV/0!</v>
      </c>
      <c r="L56" s="747">
        <f t="shared" si="6"/>
        <v>0.94570742719338963</v>
      </c>
      <c r="M56" s="1368"/>
      <c r="N56" s="1368"/>
      <c r="O56" s="1368"/>
      <c r="P56" s="1368"/>
      <c r="Q56" s="378"/>
      <c r="R56" s="378"/>
      <c r="S56" s="376"/>
      <c r="T56" s="376"/>
      <c r="U56" s="376"/>
      <c r="V56" s="376"/>
      <c r="W56" s="376"/>
      <c r="X56" s="376"/>
    </row>
    <row r="57" spans="1:24" ht="23.25" x14ac:dyDescent="0.35">
      <c r="A57" s="751"/>
      <c r="B57" s="585" t="s">
        <v>74</v>
      </c>
      <c r="C57" s="648">
        <v>25665773.316920005</v>
      </c>
      <c r="D57" s="648">
        <v>31334252.480110005</v>
      </c>
      <c r="E57" s="648">
        <v>30003540.902126215</v>
      </c>
      <c r="F57" s="648"/>
      <c r="G57" s="648">
        <v>36630048.67672348</v>
      </c>
      <c r="H57" s="747">
        <f t="shared" si="2"/>
        <v>1.54123224118291</v>
      </c>
      <c r="I57" s="747">
        <f t="shared" si="3"/>
        <v>1.4809040279174766</v>
      </c>
      <c r="J57" s="747">
        <f t="shared" si="4"/>
        <v>1.0547798552433409</v>
      </c>
      <c r="K57" s="747" t="e">
        <f t="shared" si="5"/>
        <v>#DIV/0!</v>
      </c>
      <c r="L57" s="747">
        <f t="shared" si="6"/>
        <v>1.0134927718597464</v>
      </c>
      <c r="M57" s="1368"/>
      <c r="N57" s="1368"/>
      <c r="O57" s="1368"/>
      <c r="P57" s="1368"/>
      <c r="Q57" s="378"/>
      <c r="R57" s="378"/>
      <c r="S57" s="376"/>
      <c r="T57" s="376"/>
      <c r="U57" s="376"/>
      <c r="V57" s="376"/>
      <c r="W57" s="376"/>
      <c r="X57" s="376"/>
    </row>
    <row r="58" spans="1:24" ht="23.25" x14ac:dyDescent="0.35">
      <c r="A58" s="751"/>
      <c r="B58" s="585" t="s">
        <v>75</v>
      </c>
      <c r="C58" s="648">
        <v>27588829.5</v>
      </c>
      <c r="D58" s="648">
        <v>33926746.314999998</v>
      </c>
      <c r="E58" s="648">
        <v>30803832.334121667</v>
      </c>
      <c r="F58" s="648"/>
      <c r="G58" s="1386">
        <v>37880324.177201502</v>
      </c>
      <c r="H58" s="747">
        <f t="shared" si="2"/>
        <v>1.6567119563027781</v>
      </c>
      <c r="I58" s="747">
        <f t="shared" si="3"/>
        <v>1.6034291963374618</v>
      </c>
      <c r="J58" s="747">
        <f t="shared" si="4"/>
        <v>1.082914243899209</v>
      </c>
      <c r="K58" s="747" t="e">
        <f t="shared" si="5"/>
        <v>#DIV/0!</v>
      </c>
      <c r="L58" s="747">
        <f t="shared" si="6"/>
        <v>1.0480858239670729</v>
      </c>
      <c r="M58" s="378"/>
      <c r="N58" s="378"/>
      <c r="O58" s="378"/>
      <c r="P58" s="378"/>
      <c r="Q58" s="378"/>
      <c r="R58" s="378"/>
      <c r="S58" s="376"/>
      <c r="T58" s="376"/>
      <c r="U58" s="376"/>
      <c r="V58" s="376"/>
      <c r="W58" s="376"/>
      <c r="X58" s="376"/>
    </row>
    <row r="59" spans="1:24" ht="23.25" x14ac:dyDescent="0.35">
      <c r="A59" s="751"/>
      <c r="B59" s="585" t="s">
        <v>76</v>
      </c>
      <c r="C59" s="648">
        <v>28664013</v>
      </c>
      <c r="D59" s="648">
        <v>35177509.125</v>
      </c>
      <c r="E59" s="648">
        <v>32360272.952454537</v>
      </c>
      <c r="F59" s="648"/>
      <c r="G59" s="648">
        <v>39713692.464221954</v>
      </c>
      <c r="H59" s="747">
        <f t="shared" si="2"/>
        <v>1.7212768324483743</v>
      </c>
      <c r="I59" s="747">
        <f t="shared" si="3"/>
        <v>1.6625421330342649</v>
      </c>
      <c r="J59" s="747">
        <f t="shared" si="4"/>
        <v>1.1376311926572025</v>
      </c>
      <c r="K59" s="747" t="e">
        <f t="shared" si="5"/>
        <v>#DIV/0!</v>
      </c>
      <c r="L59" s="747">
        <f t="shared" si="6"/>
        <v>1.0988120876270184</v>
      </c>
      <c r="M59" s="1350"/>
      <c r="N59" s="1350"/>
      <c r="O59" s="1350"/>
      <c r="P59" s="1350"/>
      <c r="Q59" s="378"/>
      <c r="R59" s="378"/>
      <c r="S59" s="376"/>
      <c r="T59" s="376"/>
      <c r="U59" s="376"/>
      <c r="V59" s="376"/>
      <c r="W59" s="376"/>
      <c r="X59" s="376"/>
    </row>
    <row r="60" spans="1:24" ht="23.25" x14ac:dyDescent="0.35">
      <c r="A60" s="751"/>
      <c r="B60" s="585" t="s">
        <v>4</v>
      </c>
      <c r="C60" s="648">
        <v>29975524.70163</v>
      </c>
      <c r="D60" s="648">
        <v>36539983.701629996</v>
      </c>
      <c r="E60" s="648">
        <v>32696527.257204108</v>
      </c>
      <c r="F60" s="648"/>
      <c r="G60" s="648">
        <v>39856869.394955821</v>
      </c>
      <c r="H60" s="747">
        <f t="shared" si="2"/>
        <v>1.8000332406142743</v>
      </c>
      <c r="I60" s="747">
        <f t="shared" si="3"/>
        <v>1.7269347362963752</v>
      </c>
      <c r="J60" s="747">
        <f t="shared" si="4"/>
        <v>1.1494522729772112</v>
      </c>
      <c r="K60" s="747" t="e">
        <f t="shared" si="5"/>
        <v>#DIV/0!</v>
      </c>
      <c r="L60" s="747">
        <f t="shared" si="6"/>
        <v>1.1027735561381986</v>
      </c>
      <c r="M60" s="1350"/>
      <c r="N60" s="1350"/>
      <c r="O60" s="1350"/>
      <c r="P60" s="1350"/>
      <c r="Q60" s="378"/>
      <c r="R60" s="378"/>
      <c r="S60" s="376"/>
      <c r="T60" s="376"/>
      <c r="U60" s="376"/>
      <c r="V60" s="376"/>
      <c r="W60" s="376"/>
      <c r="X60" s="376"/>
    </row>
    <row r="61" spans="1:24" ht="23.25" x14ac:dyDescent="0.35">
      <c r="A61" s="751"/>
      <c r="B61" s="585" t="s">
        <v>5</v>
      </c>
      <c r="C61" s="648">
        <v>32041487.253731035</v>
      </c>
      <c r="D61" s="648">
        <v>39213453.649081036</v>
      </c>
      <c r="E61" s="648">
        <v>33932063.872562893</v>
      </c>
      <c r="F61" s="648"/>
      <c r="G61" s="1386">
        <v>41527205.130887382</v>
      </c>
      <c r="H61" s="747">
        <f t="shared" si="2"/>
        <v>1.9240944974116887</v>
      </c>
      <c r="I61" s="747">
        <f t="shared" si="3"/>
        <v>1.853286957917418</v>
      </c>
      <c r="J61" s="747">
        <f t="shared" si="4"/>
        <v>1.1928877840239633</v>
      </c>
      <c r="K61" s="747" t="e">
        <f t="shared" si="5"/>
        <v>#DIV/0!</v>
      </c>
      <c r="L61" s="747">
        <f t="shared" si="6"/>
        <v>1.148988979161139</v>
      </c>
      <c r="M61" s="378"/>
      <c r="N61" s="378"/>
      <c r="O61" s="378"/>
      <c r="P61" s="378"/>
      <c r="Q61" s="378"/>
      <c r="R61" s="378"/>
      <c r="S61" s="376"/>
      <c r="T61" s="376"/>
      <c r="U61" s="376"/>
      <c r="V61" s="376"/>
      <c r="W61" s="376"/>
      <c r="X61" s="376"/>
    </row>
    <row r="62" spans="1:24" ht="23.25" x14ac:dyDescent="0.35">
      <c r="A62" s="751"/>
      <c r="B62" s="585" t="s">
        <v>6</v>
      </c>
      <c r="C62" s="648">
        <v>34284052.597619995</v>
      </c>
      <c r="D62" s="648">
        <v>42145100.102129996</v>
      </c>
      <c r="E62" s="648">
        <v>35664979.952199519</v>
      </c>
      <c r="F62" s="648"/>
      <c r="G62" s="1386">
        <v>43842662.589143679</v>
      </c>
      <c r="H62" s="747">
        <f t="shared" si="2"/>
        <v>2.0587607694262768</v>
      </c>
      <c r="I62" s="747">
        <f t="shared" si="3"/>
        <v>1.9918409905533019</v>
      </c>
      <c r="J62" s="747">
        <f t="shared" si="4"/>
        <v>1.2538087592378739</v>
      </c>
      <c r="K62" s="747" t="e">
        <f t="shared" si="5"/>
        <v>#DIV/0!</v>
      </c>
      <c r="L62" s="747">
        <f t="shared" si="6"/>
        <v>1.2130538516433507</v>
      </c>
      <c r="M62" s="378"/>
      <c r="N62" s="378"/>
      <c r="O62" s="378"/>
      <c r="P62" s="378"/>
      <c r="Q62" s="378"/>
      <c r="R62" s="378"/>
      <c r="S62" s="376"/>
      <c r="T62" s="376"/>
      <c r="U62" s="376"/>
      <c r="V62" s="376"/>
      <c r="W62" s="376"/>
      <c r="X62" s="376"/>
    </row>
    <row r="63" spans="1:24" ht="23.25" x14ac:dyDescent="0.35">
      <c r="A63" s="751"/>
      <c r="B63" s="585" t="s">
        <v>7</v>
      </c>
      <c r="C63" s="648">
        <v>36510927</v>
      </c>
      <c r="D63" s="648">
        <v>43513839</v>
      </c>
      <c r="E63" s="648">
        <v>36839525.342999995</v>
      </c>
      <c r="F63" s="648"/>
      <c r="G63" s="1386">
        <v>43905463.550999999</v>
      </c>
      <c r="H63" s="747">
        <f t="shared" si="2"/>
        <v>2.1924847988421519</v>
      </c>
      <c r="I63" s="747">
        <f t="shared" si="3"/>
        <v>2.056529655084542</v>
      </c>
      <c r="J63" s="747">
        <f t="shared" si="4"/>
        <v>1.2951001128593214</v>
      </c>
      <c r="K63" s="747" t="e">
        <f t="shared" si="5"/>
        <v>#DIV/0!</v>
      </c>
      <c r="L63" s="747">
        <f t="shared" si="6"/>
        <v>1.2147914502326658</v>
      </c>
      <c r="M63" s="378"/>
      <c r="N63" s="378"/>
      <c r="O63" s="378"/>
      <c r="P63" s="378"/>
      <c r="Q63" s="378"/>
      <c r="R63" s="378"/>
      <c r="S63" s="376"/>
      <c r="T63" s="376"/>
      <c r="U63" s="376"/>
      <c r="V63" s="376"/>
      <c r="W63" s="376"/>
      <c r="X63" s="376"/>
    </row>
    <row r="64" spans="1:24" ht="24" customHeight="1" x14ac:dyDescent="0.35">
      <c r="A64" s="751"/>
      <c r="B64" s="585" t="s">
        <v>489</v>
      </c>
      <c r="C64" s="648">
        <v>40937972.477849998</v>
      </c>
      <c r="D64" s="1387">
        <v>43359714.86406</v>
      </c>
      <c r="E64" s="648">
        <v>40937972.477849998</v>
      </c>
      <c r="F64" s="648"/>
      <c r="G64" s="1386">
        <v>43359714.86406</v>
      </c>
      <c r="H64" s="747">
        <f t="shared" si="2"/>
        <v>2.4583293202362269</v>
      </c>
      <c r="I64" s="747">
        <f t="shared" si="3"/>
        <v>2.049245515982844</v>
      </c>
      <c r="J64" s="747">
        <f t="shared" si="4"/>
        <v>1.4391817560800795</v>
      </c>
      <c r="K64" s="747" t="e">
        <f t="shared" si="5"/>
        <v>#DIV/0!</v>
      </c>
      <c r="L64" s="747">
        <f t="shared" si="6"/>
        <v>1.1996914880582472</v>
      </c>
      <c r="M64" s="396"/>
      <c r="N64" s="396"/>
      <c r="O64" s="396"/>
      <c r="P64" s="396"/>
      <c r="Q64" s="396"/>
      <c r="R64" s="396"/>
      <c r="S64" s="259"/>
      <c r="T64" s="259"/>
      <c r="U64" s="259"/>
      <c r="V64" s="259"/>
      <c r="W64" s="259"/>
    </row>
    <row r="65" spans="1:23" ht="23.25" x14ac:dyDescent="0.35">
      <c r="A65" s="751"/>
      <c r="B65" s="585"/>
      <c r="C65" s="743"/>
      <c r="D65" s="745"/>
      <c r="E65" s="743"/>
      <c r="F65" s="743"/>
      <c r="G65" s="396"/>
      <c r="H65" s="585"/>
      <c r="I65" s="744"/>
      <c r="J65" s="745"/>
      <c r="K65" s="743"/>
      <c r="L65" s="744"/>
      <c r="M65" s="396"/>
      <c r="N65" s="396"/>
      <c r="O65" s="396"/>
      <c r="P65" s="396"/>
      <c r="Q65" s="396"/>
      <c r="R65" s="396"/>
      <c r="S65" s="259"/>
      <c r="T65" s="259"/>
      <c r="U65" s="259"/>
      <c r="V65" s="259"/>
      <c r="W65" s="259"/>
    </row>
    <row r="66" spans="1:23" ht="23.25" x14ac:dyDescent="0.35">
      <c r="A66" s="751"/>
      <c r="B66" s="585"/>
      <c r="C66" s="743"/>
      <c r="D66" s="745"/>
      <c r="E66" s="743"/>
      <c r="F66" s="743"/>
      <c r="G66" s="567"/>
      <c r="H66" s="585"/>
      <c r="I66" s="744"/>
      <c r="J66" s="745"/>
      <c r="K66" s="743"/>
      <c r="L66" s="744"/>
      <c r="M66" s="396"/>
      <c r="N66" s="396"/>
      <c r="O66" s="396"/>
      <c r="P66" s="396"/>
      <c r="Q66" s="396"/>
      <c r="R66" s="396"/>
      <c r="S66" s="259"/>
      <c r="T66" s="259"/>
      <c r="U66" s="259"/>
      <c r="V66" s="259"/>
      <c r="W66" s="259"/>
    </row>
    <row r="67" spans="1:23" ht="23.25" x14ac:dyDescent="0.35">
      <c r="A67" s="751"/>
      <c r="B67" s="585"/>
      <c r="C67" s="743"/>
      <c r="D67" s="745"/>
      <c r="E67" s="743"/>
      <c r="F67" s="743"/>
      <c r="G67" s="1329"/>
      <c r="H67" s="585"/>
      <c r="I67" s="744"/>
      <c r="J67" s="745"/>
      <c r="K67" s="743"/>
      <c r="L67" s="744"/>
      <c r="M67" s="396"/>
      <c r="N67" s="396"/>
      <c r="O67" s="396"/>
      <c r="P67" s="396"/>
      <c r="Q67" s="396"/>
      <c r="R67" s="396"/>
      <c r="S67" s="259"/>
      <c r="T67" s="259"/>
      <c r="U67" s="259"/>
      <c r="V67" s="259"/>
      <c r="W67" s="259"/>
    </row>
    <row r="68" spans="1:23" x14ac:dyDescent="0.25">
      <c r="A68" s="396"/>
      <c r="B68" s="585"/>
      <c r="C68" s="743"/>
      <c r="D68" s="743"/>
      <c r="E68" s="743"/>
      <c r="F68" s="743"/>
      <c r="G68" s="396"/>
      <c r="H68" s="585"/>
      <c r="I68" s="744"/>
      <c r="J68" s="745"/>
      <c r="K68" s="743"/>
      <c r="L68" s="744"/>
      <c r="M68" s="396"/>
      <c r="N68" s="396"/>
      <c r="O68" s="396"/>
      <c r="P68" s="396"/>
      <c r="Q68" s="396"/>
      <c r="R68" s="396"/>
      <c r="S68" s="259"/>
      <c r="T68" s="259"/>
      <c r="U68" s="259"/>
      <c r="V68" s="259"/>
      <c r="W68" s="259"/>
    </row>
    <row r="69" spans="1:23" x14ac:dyDescent="0.25">
      <c r="A69" s="396"/>
      <c r="B69" s="585"/>
      <c r="C69" s="743"/>
      <c r="D69" s="743"/>
      <c r="E69" s="743"/>
      <c r="F69" s="743"/>
      <c r="G69" s="396"/>
      <c r="H69" s="585"/>
      <c r="I69" s="744"/>
      <c r="J69" s="745"/>
      <c r="K69" s="743"/>
      <c r="L69" s="744"/>
      <c r="M69" s="396"/>
      <c r="N69" s="396"/>
      <c r="O69" s="396"/>
      <c r="P69" s="396"/>
      <c r="Q69" s="396"/>
      <c r="R69" s="396"/>
      <c r="S69" s="259"/>
      <c r="T69" s="259"/>
      <c r="U69" s="259"/>
      <c r="V69" s="259"/>
      <c r="W69" s="259"/>
    </row>
    <row r="70" spans="1:23" x14ac:dyDescent="0.25">
      <c r="A70" s="396"/>
      <c r="B70" s="567"/>
      <c r="C70" s="567"/>
      <c r="D70" s="567"/>
      <c r="E70" s="743"/>
      <c r="F70" s="743"/>
      <c r="G70" s="396"/>
      <c r="H70" s="585"/>
      <c r="I70" s="743"/>
      <c r="J70" s="743"/>
      <c r="K70" s="743"/>
      <c r="L70" s="743"/>
      <c r="M70" s="396"/>
      <c r="N70" s="396"/>
      <c r="O70" s="396"/>
      <c r="P70" s="396"/>
      <c r="Q70" s="396"/>
      <c r="R70" s="396"/>
      <c r="S70" s="259"/>
      <c r="T70" s="259"/>
      <c r="U70" s="259"/>
      <c r="V70" s="259"/>
      <c r="W70" s="259"/>
    </row>
    <row r="71" spans="1:23" x14ac:dyDescent="0.25">
      <c r="A71" s="547"/>
      <c r="B71" s="1905"/>
      <c r="C71" s="1906"/>
      <c r="D71" s="567"/>
      <c r="E71" s="567"/>
      <c r="F71" s="567"/>
      <c r="G71" s="396"/>
      <c r="H71" s="567"/>
      <c r="I71" s="567"/>
      <c r="J71" s="567"/>
      <c r="K71" s="396"/>
      <c r="L71" s="396"/>
      <c r="M71" s="396"/>
      <c r="N71" s="396"/>
      <c r="O71" s="396"/>
      <c r="P71" s="396"/>
      <c r="Q71" s="396"/>
      <c r="R71" s="396"/>
      <c r="S71" s="259"/>
      <c r="T71" s="259"/>
      <c r="U71" s="259"/>
      <c r="V71" s="259"/>
      <c r="W71" s="259"/>
    </row>
    <row r="72" spans="1:23" x14ac:dyDescent="0.25">
      <c r="A72" s="1257"/>
      <c r="B72" s="396"/>
      <c r="C72" s="396"/>
      <c r="D72" s="396"/>
      <c r="E72" s="567"/>
      <c r="F72" s="567"/>
      <c r="G72" s="396"/>
      <c r="H72" s="1905"/>
      <c r="I72" s="1905"/>
      <c r="J72" s="567"/>
      <c r="K72" s="747"/>
      <c r="L72" s="396"/>
      <c r="M72" s="396"/>
      <c r="N72" s="396"/>
      <c r="O72" s="396"/>
      <c r="P72" s="396"/>
      <c r="Q72" s="396"/>
      <c r="R72" s="396"/>
      <c r="S72" s="259"/>
      <c r="T72" s="259"/>
      <c r="U72" s="259"/>
      <c r="V72" s="259"/>
      <c r="W72" s="259"/>
    </row>
    <row r="73" spans="1:23" ht="24" customHeight="1" x14ac:dyDescent="0.25">
      <c r="A73" s="376"/>
      <c r="B73" s="396"/>
      <c r="C73" s="396"/>
      <c r="D73" s="396"/>
      <c r="E73" s="396"/>
      <c r="F73" s="396"/>
      <c r="G73" s="396"/>
      <c r="H73" s="396"/>
      <c r="I73" s="396"/>
      <c r="J73" s="396"/>
      <c r="K73" s="747"/>
      <c r="L73" s="396"/>
      <c r="M73" s="396"/>
      <c r="N73" s="396"/>
      <c r="O73" s="396"/>
      <c r="P73" s="396"/>
      <c r="Q73" s="396"/>
      <c r="R73" s="396"/>
      <c r="S73" s="259"/>
      <c r="T73" s="259"/>
      <c r="U73" s="259"/>
      <c r="V73" s="259"/>
      <c r="W73" s="259"/>
    </row>
    <row r="74" spans="1:23" x14ac:dyDescent="0.25">
      <c r="A74" s="376"/>
      <c r="B74" s="396"/>
      <c r="C74" s="396"/>
      <c r="D74" s="396"/>
      <c r="E74" s="396"/>
      <c r="F74" s="396"/>
      <c r="G74" s="396"/>
      <c r="H74" s="396"/>
      <c r="I74" s="396"/>
      <c r="J74" s="396"/>
      <c r="K74" s="747"/>
      <c r="L74" s="396"/>
      <c r="M74" s="396"/>
      <c r="N74" s="396"/>
      <c r="O74" s="396"/>
      <c r="P74" s="396"/>
      <c r="Q74" s="396"/>
      <c r="R74" s="396"/>
      <c r="S74" s="259"/>
      <c r="T74" s="259"/>
      <c r="U74" s="259"/>
      <c r="V74" s="259"/>
      <c r="W74" s="259"/>
    </row>
    <row r="75" spans="1:23" x14ac:dyDescent="0.25">
      <c r="A75" s="376"/>
      <c r="B75" s="396"/>
      <c r="C75" s="396"/>
      <c r="D75" s="396"/>
      <c r="E75" s="396"/>
      <c r="F75" s="396"/>
      <c r="G75" s="396"/>
      <c r="H75" s="396"/>
      <c r="I75" s="396"/>
      <c r="J75" s="396"/>
      <c r="K75" s="747"/>
      <c r="L75" s="396"/>
      <c r="M75" s="396"/>
      <c r="N75" s="396"/>
      <c r="O75" s="396"/>
      <c r="P75" s="396"/>
      <c r="Q75" s="396"/>
      <c r="R75" s="396"/>
      <c r="S75" s="259"/>
      <c r="T75" s="259"/>
      <c r="U75" s="259"/>
      <c r="V75" s="259"/>
      <c r="W75" s="259"/>
    </row>
    <row r="76" spans="1:23" x14ac:dyDescent="0.25">
      <c r="A76" s="376"/>
      <c r="B76" s="396"/>
      <c r="C76" s="396"/>
      <c r="D76" s="396"/>
      <c r="E76" s="396"/>
      <c r="F76" s="396"/>
      <c r="G76" s="396"/>
      <c r="H76" s="396"/>
      <c r="I76" s="396"/>
      <c r="J76" s="396"/>
      <c r="K76" s="747"/>
      <c r="L76" s="396"/>
      <c r="M76" s="396"/>
      <c r="N76" s="396"/>
      <c r="O76" s="396"/>
      <c r="P76" s="396"/>
      <c r="Q76" s="396"/>
      <c r="R76" s="396"/>
      <c r="S76" s="259"/>
      <c r="T76" s="259"/>
      <c r="U76" s="259"/>
      <c r="V76" s="259"/>
      <c r="W76" s="259"/>
    </row>
    <row r="77" spans="1:23" x14ac:dyDescent="0.25">
      <c r="A77" s="376"/>
      <c r="B77" s="396"/>
      <c r="C77" s="396"/>
      <c r="D77" s="396"/>
      <c r="E77" s="396"/>
      <c r="F77" s="396"/>
      <c r="G77" s="396"/>
      <c r="H77" s="396"/>
      <c r="I77" s="396"/>
      <c r="J77" s="396"/>
      <c r="K77" s="747"/>
      <c r="L77" s="396"/>
      <c r="M77" s="396"/>
      <c r="N77" s="396"/>
      <c r="O77" s="396"/>
      <c r="P77" s="396"/>
      <c r="Q77" s="396"/>
      <c r="R77" s="396"/>
      <c r="S77" s="259"/>
      <c r="T77" s="259"/>
      <c r="U77" s="259"/>
      <c r="V77" s="259"/>
      <c r="W77" s="259"/>
    </row>
    <row r="78" spans="1:23" x14ac:dyDescent="0.25">
      <c r="A78" s="376"/>
      <c r="B78" s="396"/>
      <c r="C78" s="396"/>
      <c r="D78" s="396"/>
      <c r="E78" s="396"/>
      <c r="F78" s="396"/>
      <c r="G78" s="396"/>
      <c r="H78" s="396"/>
      <c r="I78" s="396"/>
      <c r="J78" s="396"/>
      <c r="K78" s="747"/>
      <c r="L78" s="396"/>
      <c r="M78" s="396"/>
      <c r="N78" s="396"/>
      <c r="O78" s="396"/>
      <c r="P78" s="396"/>
      <c r="Q78" s="396"/>
      <c r="R78" s="396"/>
      <c r="S78" s="259"/>
      <c r="T78" s="259"/>
      <c r="U78" s="259"/>
      <c r="V78" s="259"/>
      <c r="W78" s="259"/>
    </row>
    <row r="79" spans="1:23" x14ac:dyDescent="0.25">
      <c r="A79" s="1257"/>
      <c r="B79" s="396"/>
      <c r="C79" s="396"/>
      <c r="D79" s="396"/>
      <c r="E79" s="396"/>
      <c r="F79" s="396"/>
      <c r="G79" s="396"/>
      <c r="H79" s="396"/>
      <c r="I79" s="396"/>
      <c r="J79" s="396"/>
      <c r="K79" s="747"/>
      <c r="L79" s="396"/>
      <c r="M79" s="396"/>
      <c r="N79" s="396"/>
      <c r="O79" s="396"/>
      <c r="P79" s="396"/>
      <c r="Q79" s="396"/>
      <c r="R79" s="396"/>
      <c r="S79" s="259"/>
      <c r="T79" s="259"/>
      <c r="U79" s="259"/>
      <c r="V79" s="259"/>
      <c r="W79" s="259"/>
    </row>
    <row r="80" spans="1:23" x14ac:dyDescent="0.25">
      <c r="A80" s="376"/>
      <c r="B80" s="396"/>
      <c r="C80" s="396"/>
      <c r="D80" s="396"/>
      <c r="E80" s="396"/>
      <c r="F80" s="396"/>
      <c r="G80" s="396"/>
      <c r="H80" s="396"/>
      <c r="I80" s="396"/>
      <c r="J80" s="396"/>
      <c r="K80" s="396"/>
      <c r="L80" s="396"/>
      <c r="M80" s="396"/>
      <c r="N80" s="396"/>
      <c r="O80" s="396"/>
      <c r="P80" s="396"/>
      <c r="Q80" s="396"/>
      <c r="R80" s="396"/>
      <c r="S80" s="259"/>
      <c r="T80" s="259"/>
      <c r="U80" s="259"/>
      <c r="V80" s="259"/>
      <c r="W80" s="259"/>
    </row>
    <row r="81" spans="1:23" ht="24" customHeight="1" x14ac:dyDescent="0.25">
      <c r="A81" s="376"/>
      <c r="B81" s="396"/>
      <c r="C81" s="396"/>
      <c r="D81" s="396"/>
      <c r="E81" s="396"/>
      <c r="F81" s="396"/>
      <c r="G81" s="396"/>
      <c r="H81" s="396"/>
      <c r="I81" s="396"/>
      <c r="J81" s="396"/>
      <c r="K81" s="396"/>
      <c r="L81" s="396"/>
      <c r="M81" s="396"/>
      <c r="N81" s="396"/>
      <c r="O81" s="396"/>
      <c r="P81" s="396"/>
      <c r="Q81" s="396"/>
      <c r="R81" s="396"/>
      <c r="S81" s="259"/>
      <c r="T81" s="259"/>
      <c r="U81" s="259"/>
      <c r="V81" s="259"/>
      <c r="W81" s="259"/>
    </row>
    <row r="82" spans="1:23" x14ac:dyDescent="0.25">
      <c r="A82" s="376"/>
      <c r="B82" s="396"/>
      <c r="C82" s="396"/>
      <c r="D82" s="396"/>
      <c r="E82" s="396"/>
      <c r="F82" s="396"/>
      <c r="G82" s="396"/>
      <c r="H82" s="396"/>
      <c r="I82" s="396"/>
      <c r="J82" s="396"/>
      <c r="K82" s="396"/>
      <c r="L82" s="396"/>
      <c r="M82" s="396"/>
      <c r="N82" s="396"/>
      <c r="O82" s="396"/>
      <c r="P82" s="396"/>
      <c r="Q82" s="396"/>
      <c r="R82" s="396"/>
      <c r="S82" s="259"/>
      <c r="T82" s="259"/>
      <c r="U82" s="259"/>
      <c r="V82" s="259"/>
      <c r="W82" s="259"/>
    </row>
    <row r="83" spans="1:23" x14ac:dyDescent="0.25">
      <c r="A83" s="376"/>
      <c r="B83" s="396"/>
      <c r="C83" s="396"/>
      <c r="D83" s="396"/>
      <c r="E83" s="396"/>
      <c r="F83" s="396"/>
      <c r="G83" s="396"/>
      <c r="H83" s="396"/>
      <c r="I83" s="396"/>
      <c r="J83" s="396"/>
      <c r="K83" s="396"/>
      <c r="L83" s="396"/>
      <c r="M83" s="396"/>
      <c r="N83" s="396"/>
      <c r="O83" s="396"/>
      <c r="P83" s="396"/>
      <c r="Q83" s="396"/>
      <c r="R83" s="396"/>
      <c r="S83" s="259"/>
      <c r="T83" s="259"/>
      <c r="U83" s="259"/>
      <c r="V83" s="259"/>
      <c r="W83" s="259"/>
    </row>
    <row r="84" spans="1:23" x14ac:dyDescent="0.25">
      <c r="A84" s="376"/>
      <c r="B84" s="396"/>
      <c r="C84" s="396"/>
      <c r="D84" s="396"/>
      <c r="E84" s="396"/>
      <c r="F84" s="396"/>
      <c r="G84" s="396"/>
      <c r="H84" s="396"/>
      <c r="I84" s="396"/>
      <c r="J84" s="396"/>
      <c r="K84" s="396"/>
      <c r="L84" s="396"/>
      <c r="M84" s="396"/>
      <c r="N84" s="396"/>
      <c r="O84" s="396"/>
      <c r="P84" s="396"/>
      <c r="Q84" s="396"/>
      <c r="R84" s="396"/>
      <c r="S84" s="259"/>
      <c r="T84" s="259"/>
      <c r="U84" s="259"/>
      <c r="V84" s="259"/>
      <c r="W84" s="259"/>
    </row>
    <row r="85" spans="1:23" x14ac:dyDescent="0.25">
      <c r="A85" s="376"/>
      <c r="B85" s="396"/>
      <c r="C85" s="396"/>
      <c r="D85" s="396"/>
      <c r="E85" s="396"/>
      <c r="F85" s="396"/>
      <c r="G85" s="396"/>
      <c r="H85" s="396"/>
      <c r="I85" s="396"/>
      <c r="J85" s="396"/>
      <c r="K85" s="396"/>
      <c r="L85" s="396"/>
      <c r="M85" s="396"/>
      <c r="N85" s="396"/>
      <c r="O85" s="396"/>
      <c r="P85" s="396"/>
      <c r="Q85" s="396"/>
      <c r="R85" s="396"/>
      <c r="S85" s="259"/>
      <c r="T85" s="259"/>
      <c r="U85" s="259"/>
      <c r="V85" s="259"/>
      <c r="W85" s="259"/>
    </row>
    <row r="86" spans="1:23" x14ac:dyDescent="0.25">
      <c r="A86" s="376"/>
      <c r="B86" s="396"/>
      <c r="C86" s="396"/>
      <c r="D86" s="396"/>
      <c r="E86" s="396"/>
      <c r="F86" s="396"/>
      <c r="G86" s="396"/>
      <c r="H86" s="396"/>
      <c r="I86" s="396"/>
      <c r="J86" s="396"/>
      <c r="K86" s="396"/>
      <c r="L86" s="396"/>
      <c r="M86" s="396"/>
      <c r="N86" s="396"/>
      <c r="O86" s="396"/>
      <c r="P86" s="396"/>
      <c r="Q86" s="396"/>
      <c r="R86" s="396"/>
      <c r="S86" s="259"/>
      <c r="T86" s="259"/>
      <c r="U86" s="259"/>
      <c r="V86" s="259"/>
      <c r="W86" s="259"/>
    </row>
    <row r="87" spans="1:23" x14ac:dyDescent="0.25">
      <c r="A87" s="376"/>
      <c r="B87" s="396"/>
      <c r="C87" s="396"/>
      <c r="D87" s="396"/>
      <c r="E87" s="396"/>
      <c r="F87" s="396"/>
      <c r="G87" s="396"/>
      <c r="H87" s="396"/>
      <c r="I87" s="396"/>
      <c r="J87" s="396"/>
      <c r="K87" s="396"/>
      <c r="L87" s="396"/>
      <c r="M87" s="396"/>
      <c r="N87" s="396"/>
      <c r="O87" s="396"/>
      <c r="P87" s="396"/>
      <c r="Q87" s="396"/>
      <c r="R87" s="396"/>
      <c r="S87" s="259"/>
      <c r="T87" s="259"/>
      <c r="U87" s="259"/>
      <c r="V87" s="259"/>
      <c r="W87" s="259"/>
    </row>
    <row r="88" spans="1:23" x14ac:dyDescent="0.25">
      <c r="A88" s="376"/>
      <c r="B88" s="396"/>
      <c r="C88" s="396"/>
      <c r="D88" s="396"/>
      <c r="E88" s="396"/>
      <c r="F88" s="396"/>
      <c r="G88" s="396"/>
      <c r="H88" s="396"/>
      <c r="I88" s="396"/>
      <c r="J88" s="396"/>
      <c r="K88" s="396"/>
      <c r="L88" s="396"/>
      <c r="M88" s="396"/>
      <c r="N88" s="396"/>
      <c r="O88" s="396"/>
      <c r="P88" s="396"/>
      <c r="Q88" s="396"/>
      <c r="R88" s="396"/>
      <c r="S88" s="259"/>
      <c r="T88" s="259"/>
      <c r="U88" s="259"/>
      <c r="V88" s="259"/>
      <c r="W88" s="259"/>
    </row>
    <row r="89" spans="1:23" x14ac:dyDescent="0.25">
      <c r="A89" s="376"/>
      <c r="B89" s="396"/>
      <c r="C89" s="396"/>
      <c r="D89" s="396"/>
      <c r="E89" s="396"/>
      <c r="F89" s="396"/>
      <c r="G89" s="396"/>
      <c r="H89" s="396"/>
      <c r="I89" s="396"/>
      <c r="J89" s="396"/>
      <c r="K89" s="396"/>
      <c r="L89" s="396"/>
      <c r="M89" s="396"/>
      <c r="N89" s="396"/>
      <c r="O89" s="396"/>
      <c r="P89" s="396"/>
      <c r="Q89" s="396"/>
      <c r="R89" s="396"/>
      <c r="S89" s="259"/>
      <c r="T89" s="259"/>
      <c r="U89" s="259"/>
      <c r="V89" s="259"/>
      <c r="W89" s="259"/>
    </row>
    <row r="90" spans="1:23" x14ac:dyDescent="0.25">
      <c r="A90" s="376"/>
      <c r="B90" s="396"/>
      <c r="C90" s="396"/>
      <c r="D90" s="396"/>
      <c r="E90" s="396"/>
      <c r="F90" s="396"/>
      <c r="G90" s="396"/>
      <c r="H90" s="396"/>
      <c r="I90" s="396"/>
      <c r="J90" s="396"/>
      <c r="K90" s="396"/>
      <c r="L90" s="396"/>
      <c r="M90" s="396"/>
      <c r="N90" s="396"/>
      <c r="O90" s="396"/>
      <c r="P90" s="396"/>
      <c r="Q90" s="396"/>
      <c r="R90" s="396"/>
      <c r="S90" s="259"/>
      <c r="T90" s="259"/>
      <c r="U90" s="259"/>
      <c r="V90" s="259"/>
      <c r="W90" s="259"/>
    </row>
    <row r="91" spans="1:23" x14ac:dyDescent="0.25">
      <c r="A91" s="376"/>
      <c r="B91" s="396"/>
      <c r="C91" s="396"/>
      <c r="D91" s="396"/>
      <c r="E91" s="396"/>
      <c r="F91" s="396"/>
      <c r="G91" s="396"/>
      <c r="H91" s="396"/>
      <c r="I91" s="396"/>
      <c r="J91" s="396"/>
      <c r="K91" s="396"/>
      <c r="L91" s="396"/>
      <c r="M91" s="396"/>
      <c r="N91" s="396"/>
      <c r="O91" s="396"/>
      <c r="P91" s="396"/>
      <c r="Q91" s="396"/>
      <c r="R91" s="396"/>
      <c r="S91" s="259"/>
      <c r="T91" s="259"/>
      <c r="U91" s="259"/>
      <c r="V91" s="259"/>
      <c r="W91" s="259"/>
    </row>
    <row r="92" spans="1:23" ht="24" customHeight="1" x14ac:dyDescent="0.25">
      <c r="A92" s="376"/>
      <c r="B92" s="396"/>
      <c r="C92" s="396"/>
      <c r="D92" s="396"/>
      <c r="E92" s="396"/>
      <c r="F92" s="396"/>
      <c r="G92" s="396"/>
      <c r="H92" s="396"/>
      <c r="I92" s="396"/>
      <c r="J92" s="396"/>
      <c r="K92" s="396"/>
      <c r="L92" s="396"/>
      <c r="M92" s="396"/>
      <c r="N92" s="396"/>
      <c r="O92" s="396"/>
      <c r="P92" s="396"/>
      <c r="Q92" s="396"/>
      <c r="R92" s="396"/>
      <c r="S92" s="259"/>
      <c r="T92" s="259"/>
      <c r="U92" s="259"/>
      <c r="V92" s="259"/>
      <c r="W92" s="259"/>
    </row>
    <row r="93" spans="1:23" x14ac:dyDescent="0.25">
      <c r="A93" s="376"/>
      <c r="B93" s="396"/>
      <c r="C93" s="396"/>
      <c r="D93" s="396"/>
      <c r="E93" s="396"/>
      <c r="F93" s="396"/>
      <c r="G93" s="396"/>
      <c r="H93" s="396"/>
      <c r="I93" s="396"/>
      <c r="J93" s="396"/>
      <c r="K93" s="396"/>
      <c r="L93" s="396"/>
      <c r="M93" s="396"/>
      <c r="N93" s="396"/>
      <c r="O93" s="396"/>
      <c r="P93" s="396"/>
      <c r="Q93" s="396"/>
      <c r="R93" s="396"/>
      <c r="S93" s="259"/>
      <c r="T93" s="259"/>
      <c r="U93" s="259"/>
      <c r="V93" s="259"/>
      <c r="W93" s="259"/>
    </row>
    <row r="94" spans="1:23" x14ac:dyDescent="0.25">
      <c r="A94" s="376"/>
      <c r="B94" s="396"/>
      <c r="C94" s="396"/>
      <c r="D94" s="740"/>
      <c r="E94" s="396"/>
      <c r="F94" s="740"/>
      <c r="G94" s="396"/>
      <c r="H94" s="396"/>
      <c r="I94" s="396"/>
      <c r="J94" s="396"/>
      <c r="K94" s="396"/>
      <c r="L94" s="396"/>
      <c r="M94" s="396"/>
      <c r="N94" s="396"/>
      <c r="O94" s="396"/>
      <c r="P94" s="396"/>
      <c r="Q94" s="396"/>
      <c r="R94" s="396"/>
      <c r="S94" s="259"/>
      <c r="T94" s="259"/>
      <c r="U94" s="259"/>
      <c r="V94" s="259"/>
      <c r="W94" s="259"/>
    </row>
    <row r="95" spans="1:23" x14ac:dyDescent="0.25">
      <c r="A95" s="376"/>
      <c r="B95" s="396"/>
      <c r="C95" s="396"/>
      <c r="D95" s="396"/>
      <c r="E95" s="396"/>
      <c r="F95" s="396"/>
      <c r="G95" s="396"/>
      <c r="H95" s="396"/>
      <c r="I95" s="396"/>
      <c r="J95" s="396"/>
      <c r="K95" s="396"/>
      <c r="L95" s="396"/>
      <c r="M95" s="396"/>
      <c r="N95" s="396"/>
      <c r="O95" s="396"/>
      <c r="P95" s="396"/>
      <c r="Q95" s="396"/>
      <c r="R95" s="396"/>
      <c r="S95" s="259"/>
      <c r="T95" s="259"/>
      <c r="U95" s="259"/>
      <c r="V95" s="259"/>
      <c r="W95" s="259"/>
    </row>
    <row r="96" spans="1:23" x14ac:dyDescent="0.25">
      <c r="A96" s="376"/>
      <c r="B96" s="396"/>
      <c r="C96" s="396"/>
      <c r="D96" s="396"/>
      <c r="E96" s="396"/>
      <c r="F96" s="396"/>
      <c r="G96" s="396"/>
      <c r="H96" s="396"/>
      <c r="I96" s="396"/>
      <c r="J96" s="396"/>
      <c r="K96" s="396"/>
      <c r="L96" s="396"/>
      <c r="M96" s="396"/>
      <c r="N96" s="396"/>
      <c r="O96" s="396"/>
      <c r="P96" s="396"/>
      <c r="Q96" s="396"/>
      <c r="R96" s="396"/>
      <c r="S96" s="259"/>
      <c r="T96" s="259"/>
      <c r="U96" s="259"/>
      <c r="V96" s="259"/>
      <c r="W96" s="259"/>
    </row>
    <row r="97" spans="1:23" x14ac:dyDescent="0.25">
      <c r="A97" s="376"/>
      <c r="B97" s="396"/>
      <c r="C97" s="396"/>
      <c r="D97" s="396"/>
      <c r="E97" s="396"/>
      <c r="F97" s="396"/>
      <c r="G97" s="396"/>
      <c r="H97" s="396"/>
      <c r="I97" s="396"/>
      <c r="J97" s="396"/>
      <c r="K97" s="396"/>
      <c r="L97" s="396"/>
      <c r="M97" s="396"/>
      <c r="N97" s="396"/>
      <c r="O97" s="396"/>
      <c r="P97" s="396"/>
      <c r="Q97" s="396"/>
      <c r="R97" s="396"/>
      <c r="S97" s="259"/>
      <c r="T97" s="259"/>
      <c r="U97" s="259"/>
      <c r="V97" s="259"/>
      <c r="W97" s="259"/>
    </row>
    <row r="98" spans="1:23" x14ac:dyDescent="0.25">
      <c r="A98" s="376"/>
      <c r="B98" s="396"/>
      <c r="C98" s="396"/>
      <c r="D98" s="396"/>
      <c r="E98" s="396"/>
      <c r="F98" s="396"/>
      <c r="G98" s="396"/>
      <c r="H98" s="396"/>
      <c r="I98" s="396"/>
      <c r="J98" s="396"/>
      <c r="K98" s="396"/>
      <c r="L98" s="396"/>
      <c r="M98" s="396"/>
      <c r="N98" s="396"/>
      <c r="O98" s="396"/>
      <c r="P98" s="396"/>
      <c r="Q98" s="396"/>
      <c r="R98" s="396"/>
      <c r="S98" s="259"/>
      <c r="T98" s="259"/>
      <c r="U98" s="259"/>
      <c r="V98" s="259"/>
      <c r="W98" s="259"/>
    </row>
    <row r="99" spans="1:23" x14ac:dyDescent="0.25">
      <c r="A99" s="376"/>
      <c r="B99" s="396"/>
      <c r="C99" s="396"/>
      <c r="D99" s="396"/>
      <c r="E99" s="396"/>
      <c r="F99" s="396"/>
      <c r="G99" s="396"/>
      <c r="H99" s="396"/>
      <c r="I99" s="396"/>
      <c r="J99" s="396"/>
      <c r="K99" s="396"/>
      <c r="L99" s="396"/>
      <c r="M99" s="396"/>
      <c r="N99" s="396"/>
      <c r="O99" s="396"/>
      <c r="P99" s="396"/>
      <c r="Q99" s="396"/>
      <c r="R99" s="396"/>
      <c r="S99" s="259"/>
      <c r="T99" s="259"/>
      <c r="U99" s="259"/>
      <c r="V99" s="259"/>
      <c r="W99" s="259"/>
    </row>
    <row r="100" spans="1:23" x14ac:dyDescent="0.25">
      <c r="A100" s="376"/>
      <c r="B100" s="396"/>
      <c r="C100" s="396"/>
      <c r="D100" s="396"/>
      <c r="E100" s="396"/>
      <c r="F100" s="396"/>
      <c r="G100" s="396"/>
      <c r="H100" s="396"/>
      <c r="I100" s="396"/>
      <c r="J100" s="396"/>
      <c r="K100" s="396"/>
      <c r="L100" s="396"/>
      <c r="M100" s="396"/>
      <c r="N100" s="396"/>
      <c r="O100" s="396"/>
      <c r="P100" s="396"/>
      <c r="Q100" s="396"/>
      <c r="R100" s="396"/>
      <c r="S100" s="259"/>
      <c r="T100" s="259"/>
      <c r="U100" s="259"/>
      <c r="V100" s="259"/>
      <c r="W100" s="259"/>
    </row>
    <row r="101" spans="1:23" x14ac:dyDescent="0.25">
      <c r="A101" s="376"/>
      <c r="B101" s="396"/>
      <c r="C101" s="396"/>
      <c r="D101" s="396"/>
      <c r="E101" s="396"/>
      <c r="F101" s="396"/>
      <c r="G101" s="396"/>
      <c r="H101" s="396"/>
      <c r="I101" s="396"/>
      <c r="J101" s="396"/>
      <c r="K101" s="396"/>
      <c r="L101" s="396"/>
      <c r="M101" s="396"/>
      <c r="N101" s="396"/>
      <c r="O101" s="396"/>
      <c r="P101" s="396"/>
      <c r="Q101" s="396"/>
      <c r="R101" s="396"/>
      <c r="S101" s="259"/>
      <c r="T101" s="259"/>
      <c r="U101" s="259"/>
      <c r="V101" s="259"/>
      <c r="W101" s="259"/>
    </row>
    <row r="102" spans="1:23" x14ac:dyDescent="0.25">
      <c r="A102" s="376"/>
      <c r="B102" s="396"/>
      <c r="C102" s="396"/>
      <c r="D102" s="396"/>
      <c r="E102" s="396"/>
      <c r="F102" s="396"/>
      <c r="G102" s="396"/>
      <c r="H102" s="396"/>
      <c r="I102" s="396"/>
      <c r="J102" s="396"/>
      <c r="K102" s="396"/>
      <c r="L102" s="396"/>
      <c r="M102" s="396"/>
      <c r="N102" s="396"/>
      <c r="O102" s="396"/>
      <c r="P102" s="396"/>
      <c r="Q102" s="396"/>
      <c r="R102" s="396"/>
      <c r="S102" s="259"/>
      <c r="T102" s="259"/>
      <c r="U102" s="259"/>
      <c r="V102" s="259"/>
      <c r="W102" s="259"/>
    </row>
    <row r="103" spans="1:23" x14ac:dyDescent="0.25">
      <c r="A103" s="376"/>
      <c r="B103" s="396"/>
      <c r="C103" s="396"/>
      <c r="D103" s="396"/>
      <c r="E103" s="396"/>
      <c r="F103" s="396"/>
      <c r="G103" s="396"/>
      <c r="H103" s="396"/>
      <c r="I103" s="396"/>
      <c r="J103" s="396"/>
      <c r="K103" s="396"/>
      <c r="L103" s="396"/>
      <c r="M103" s="396"/>
      <c r="N103" s="396"/>
      <c r="O103" s="396"/>
      <c r="P103" s="396"/>
      <c r="Q103" s="396"/>
      <c r="R103" s="396"/>
      <c r="S103" s="259"/>
      <c r="T103" s="259"/>
      <c r="U103" s="259"/>
      <c r="V103" s="259"/>
      <c r="W103" s="259"/>
    </row>
    <row r="104" spans="1:23" x14ac:dyDescent="0.25">
      <c r="A104" s="376"/>
      <c r="B104" s="396"/>
      <c r="C104" s="396"/>
      <c r="D104" s="396"/>
      <c r="E104" s="396"/>
      <c r="F104" s="396"/>
      <c r="G104" s="396"/>
      <c r="H104" s="396"/>
      <c r="I104" s="396"/>
      <c r="J104" s="396"/>
      <c r="K104" s="396"/>
      <c r="L104" s="396"/>
      <c r="M104" s="396"/>
      <c r="N104" s="396"/>
      <c r="O104" s="396"/>
      <c r="P104" s="396"/>
      <c r="Q104" s="396"/>
      <c r="R104" s="396"/>
      <c r="S104" s="259"/>
      <c r="T104" s="259"/>
      <c r="U104" s="259"/>
      <c r="V104" s="259"/>
      <c r="W104" s="259"/>
    </row>
    <row r="105" spans="1:23" x14ac:dyDescent="0.25">
      <c r="A105" s="259"/>
      <c r="B105" s="396"/>
      <c r="C105" s="396"/>
      <c r="D105" s="396"/>
      <c r="E105" s="396"/>
      <c r="F105" s="396"/>
      <c r="G105" s="396"/>
      <c r="H105" s="396"/>
      <c r="I105" s="396"/>
      <c r="J105" s="396"/>
      <c r="K105" s="396"/>
      <c r="L105" s="396"/>
      <c r="M105" s="396"/>
      <c r="N105" s="396"/>
      <c r="O105" s="396"/>
      <c r="P105" s="396"/>
      <c r="Q105" s="396"/>
      <c r="R105" s="396"/>
      <c r="S105" s="259"/>
      <c r="T105" s="259"/>
      <c r="U105" s="259"/>
      <c r="V105" s="259"/>
      <c r="W105" s="259"/>
    </row>
    <row r="106" spans="1:23" x14ac:dyDescent="0.25">
      <c r="A106" s="259"/>
      <c r="B106" s="396"/>
      <c r="C106" s="396"/>
      <c r="D106" s="396"/>
      <c r="E106" s="396"/>
      <c r="F106" s="396"/>
      <c r="G106" s="396"/>
      <c r="H106" s="396"/>
      <c r="I106" s="396"/>
      <c r="J106" s="396"/>
      <c r="K106" s="396"/>
      <c r="L106" s="396"/>
      <c r="M106" s="396"/>
      <c r="N106" s="396"/>
      <c r="O106" s="396"/>
      <c r="P106" s="396"/>
      <c r="Q106" s="396"/>
      <c r="R106" s="396"/>
      <c r="S106" s="259"/>
      <c r="T106" s="259"/>
      <c r="U106" s="259"/>
      <c r="V106" s="259"/>
      <c r="W106" s="259"/>
    </row>
    <row r="107" spans="1:23" x14ac:dyDescent="0.25">
      <c r="A107" s="259"/>
      <c r="B107" s="396"/>
      <c r="C107" s="396"/>
      <c r="D107" s="396"/>
      <c r="E107" s="396"/>
      <c r="F107" s="396"/>
      <c r="G107" s="396"/>
      <c r="H107" s="396"/>
      <c r="I107" s="396"/>
      <c r="J107" s="396"/>
      <c r="K107" s="396"/>
      <c r="L107" s="396"/>
      <c r="M107" s="396"/>
      <c r="N107" s="396"/>
      <c r="O107" s="396"/>
      <c r="P107" s="396"/>
      <c r="Q107" s="396"/>
      <c r="R107" s="396"/>
      <c r="S107" s="259"/>
      <c r="T107" s="259"/>
      <c r="U107" s="259"/>
      <c r="V107" s="259"/>
      <c r="W107" s="259"/>
    </row>
    <row r="108" spans="1:23" x14ac:dyDescent="0.25">
      <c r="A108" s="259"/>
      <c r="B108" s="396"/>
      <c r="C108" s="396"/>
      <c r="D108" s="1388"/>
      <c r="E108" s="1389"/>
      <c r="F108" s="396"/>
      <c r="G108" s="396"/>
      <c r="H108" s="396"/>
      <c r="I108" s="396"/>
      <c r="J108" s="396"/>
      <c r="K108" s="396"/>
      <c r="L108" s="396"/>
      <c r="M108" s="396"/>
      <c r="N108" s="396"/>
      <c r="O108" s="396"/>
      <c r="P108" s="396"/>
      <c r="Q108" s="396"/>
      <c r="R108" s="396"/>
      <c r="S108" s="259"/>
      <c r="T108" s="259"/>
      <c r="U108" s="259"/>
      <c r="V108" s="259"/>
      <c r="W108" s="259"/>
    </row>
    <row r="109" spans="1:23" x14ac:dyDescent="0.25">
      <c r="A109" s="259"/>
      <c r="B109" s="396"/>
      <c r="C109" s="396"/>
      <c r="D109" s="396"/>
      <c r="E109" s="396"/>
      <c r="F109" s="396"/>
      <c r="G109" s="396"/>
      <c r="H109" s="396"/>
      <c r="I109" s="396"/>
      <c r="J109" s="396"/>
      <c r="K109" s="396"/>
      <c r="L109" s="396"/>
      <c r="M109" s="396"/>
      <c r="N109" s="396"/>
      <c r="O109" s="396"/>
      <c r="P109" s="396"/>
      <c r="Q109" s="396"/>
      <c r="R109" s="396"/>
      <c r="S109" s="259"/>
      <c r="T109" s="259"/>
      <c r="U109" s="259"/>
      <c r="V109" s="259"/>
      <c r="W109" s="259"/>
    </row>
    <row r="110" spans="1:23" x14ac:dyDescent="0.25">
      <c r="A110" s="259"/>
      <c r="B110" s="396"/>
      <c r="C110" s="396"/>
      <c r="D110" s="396"/>
      <c r="E110" s="396"/>
      <c r="F110" s="396"/>
      <c r="G110" s="396"/>
      <c r="H110" s="396"/>
      <c r="I110" s="396"/>
      <c r="J110" s="396"/>
      <c r="K110" s="396"/>
      <c r="L110" s="396"/>
      <c r="M110" s="396"/>
      <c r="N110" s="396"/>
      <c r="O110" s="396"/>
      <c r="P110" s="396"/>
      <c r="Q110" s="396"/>
      <c r="R110" s="396"/>
      <c r="S110" s="259"/>
      <c r="T110" s="259"/>
      <c r="U110" s="259"/>
      <c r="V110" s="259"/>
      <c r="W110" s="259"/>
    </row>
    <row r="111" spans="1:23" x14ac:dyDescent="0.25">
      <c r="A111" s="259"/>
      <c r="B111" s="396"/>
      <c r="C111" s="396"/>
      <c r="D111" s="396"/>
      <c r="E111" s="396"/>
      <c r="F111" s="396"/>
      <c r="G111" s="396"/>
      <c r="H111" s="396"/>
      <c r="I111" s="396"/>
      <c r="J111" s="396"/>
      <c r="K111" s="396"/>
      <c r="L111" s="396"/>
      <c r="M111" s="396"/>
      <c r="N111" s="396"/>
      <c r="O111" s="396"/>
      <c r="P111" s="396"/>
      <c r="Q111" s="396"/>
      <c r="R111" s="396"/>
      <c r="S111" s="259"/>
      <c r="T111" s="259"/>
      <c r="U111" s="259"/>
      <c r="V111" s="259"/>
      <c r="W111" s="259"/>
    </row>
    <row r="112" spans="1:23" x14ac:dyDescent="0.25">
      <c r="A112" s="259"/>
      <c r="B112" s="396"/>
      <c r="C112" s="396"/>
      <c r="D112" s="396"/>
      <c r="E112" s="396"/>
      <c r="F112" s="396"/>
      <c r="G112" s="396"/>
      <c r="H112" s="396"/>
      <c r="I112" s="396"/>
      <c r="J112" s="396"/>
      <c r="K112" s="396"/>
      <c r="L112" s="396"/>
      <c r="M112" s="396"/>
      <c r="N112" s="396"/>
      <c r="O112" s="396"/>
      <c r="P112" s="396"/>
      <c r="Q112" s="396"/>
      <c r="R112" s="396"/>
      <c r="S112" s="259"/>
      <c r="T112" s="259"/>
      <c r="U112" s="259"/>
      <c r="V112" s="259"/>
      <c r="W112" s="259"/>
    </row>
    <row r="113" spans="1:23" x14ac:dyDescent="0.25">
      <c r="A113" s="259"/>
      <c r="B113" s="396"/>
      <c r="C113" s="396"/>
      <c r="D113" s="396"/>
      <c r="E113" s="396"/>
      <c r="F113" s="396"/>
      <c r="G113" s="396"/>
      <c r="H113" s="396"/>
      <c r="I113" s="396"/>
      <c r="J113" s="396"/>
      <c r="K113" s="396"/>
      <c r="L113" s="396"/>
      <c r="M113" s="396"/>
      <c r="N113" s="396"/>
      <c r="O113" s="396"/>
      <c r="P113" s="396"/>
      <c r="Q113" s="396"/>
      <c r="R113" s="396"/>
      <c r="S113" s="259"/>
      <c r="T113" s="259"/>
      <c r="U113" s="259"/>
      <c r="V113" s="259"/>
      <c r="W113" s="259"/>
    </row>
    <row r="114" spans="1:23" x14ac:dyDescent="0.25">
      <c r="A114" s="259"/>
      <c r="B114" s="396"/>
      <c r="C114" s="396"/>
      <c r="D114" s="396"/>
      <c r="E114" s="396"/>
      <c r="F114" s="396"/>
      <c r="G114" s="396"/>
      <c r="H114" s="396"/>
      <c r="I114" s="396"/>
      <c r="J114" s="396"/>
      <c r="K114" s="396"/>
      <c r="L114" s="396"/>
      <c r="M114" s="396"/>
      <c r="N114" s="396"/>
      <c r="O114" s="396"/>
      <c r="P114" s="396"/>
      <c r="Q114" s="396"/>
      <c r="R114" s="396"/>
      <c r="S114" s="259"/>
      <c r="T114" s="259"/>
      <c r="U114" s="259"/>
      <c r="V114" s="259"/>
      <c r="W114" s="259"/>
    </row>
    <row r="115" spans="1:23" x14ac:dyDescent="0.25">
      <c r="A115" s="259"/>
      <c r="B115" s="378"/>
      <c r="C115" s="378"/>
      <c r="D115" s="378"/>
      <c r="E115" s="378"/>
      <c r="F115" s="378"/>
      <c r="G115" s="378"/>
      <c r="H115" s="378"/>
      <c r="I115" s="378"/>
      <c r="J115" s="378"/>
      <c r="K115" s="378"/>
      <c r="L115" s="378"/>
      <c r="M115" s="396"/>
      <c r="N115" s="396"/>
      <c r="O115" s="396"/>
      <c r="P115" s="396"/>
      <c r="Q115" s="396"/>
      <c r="R115" s="396"/>
      <c r="S115" s="259"/>
      <c r="T115" s="259"/>
      <c r="U115" s="259"/>
      <c r="V115" s="259"/>
      <c r="W115" s="259"/>
    </row>
    <row r="116" spans="1:23" x14ac:dyDescent="0.25">
      <c r="A116" s="259"/>
      <c r="B116" s="378"/>
      <c r="C116" s="378"/>
      <c r="D116" s="378"/>
      <c r="E116" s="378"/>
      <c r="F116" s="378"/>
      <c r="G116" s="378"/>
      <c r="H116" s="378"/>
      <c r="I116" s="378"/>
      <c r="J116" s="378"/>
      <c r="K116" s="378"/>
      <c r="L116" s="378"/>
      <c r="M116" s="396"/>
      <c r="N116" s="396"/>
      <c r="O116" s="396"/>
      <c r="P116" s="396"/>
      <c r="Q116" s="396"/>
      <c r="R116" s="396"/>
      <c r="S116" s="259"/>
      <c r="T116" s="259"/>
      <c r="U116" s="259"/>
      <c r="V116" s="259"/>
      <c r="W116" s="259"/>
    </row>
    <row r="117" spans="1:23" x14ac:dyDescent="0.25">
      <c r="A117" s="259"/>
      <c r="B117" s="378"/>
      <c r="C117" s="378"/>
      <c r="D117" s="378"/>
      <c r="E117" s="378"/>
      <c r="F117" s="378"/>
      <c r="G117" s="378"/>
      <c r="H117" s="378"/>
      <c r="I117" s="378"/>
      <c r="J117" s="378"/>
      <c r="K117" s="378"/>
      <c r="L117" s="378"/>
      <c r="M117" s="396"/>
      <c r="N117" s="396"/>
      <c r="O117" s="396"/>
      <c r="P117" s="396"/>
      <c r="Q117" s="396"/>
      <c r="R117" s="396"/>
      <c r="S117" s="259"/>
      <c r="T117" s="259"/>
      <c r="U117" s="259"/>
      <c r="V117" s="259"/>
      <c r="W117" s="259"/>
    </row>
    <row r="118" spans="1:23" x14ac:dyDescent="0.25">
      <c r="A118" s="259"/>
      <c r="B118" s="378"/>
      <c r="C118" s="378"/>
      <c r="D118" s="378"/>
      <c r="E118" s="378"/>
      <c r="F118" s="378"/>
      <c r="G118" s="378"/>
      <c r="H118" s="378"/>
      <c r="I118" s="378"/>
      <c r="J118" s="378"/>
      <c r="K118" s="378"/>
      <c r="L118" s="378"/>
      <c r="M118" s="396"/>
      <c r="N118" s="396"/>
      <c r="O118" s="396"/>
      <c r="P118" s="396"/>
      <c r="Q118" s="396"/>
      <c r="R118" s="396"/>
      <c r="S118" s="259"/>
      <c r="T118" s="259"/>
      <c r="U118" s="259"/>
      <c r="V118" s="259"/>
      <c r="W118" s="259"/>
    </row>
    <row r="119" spans="1:23" x14ac:dyDescent="0.25">
      <c r="A119" s="259"/>
      <c r="B119" s="378"/>
      <c r="C119" s="378"/>
      <c r="D119" s="378"/>
      <c r="E119" s="378"/>
      <c r="F119" s="378"/>
      <c r="G119" s="378"/>
      <c r="H119" s="378"/>
      <c r="I119" s="378"/>
      <c r="J119" s="378"/>
      <c r="K119" s="378"/>
      <c r="L119" s="378"/>
      <c r="M119" s="396"/>
      <c r="N119" s="396"/>
      <c r="O119" s="396"/>
      <c r="P119" s="396"/>
      <c r="Q119" s="396"/>
      <c r="R119" s="396"/>
      <c r="S119" s="259"/>
      <c r="T119" s="259"/>
      <c r="U119" s="259"/>
      <c r="V119" s="259"/>
      <c r="W119" s="259"/>
    </row>
    <row r="120" spans="1:23" x14ac:dyDescent="0.25">
      <c r="A120" s="259"/>
      <c r="B120" s="378"/>
      <c r="C120" s="378"/>
      <c r="D120" s="378"/>
      <c r="E120" s="378"/>
      <c r="F120" s="378"/>
      <c r="G120" s="378"/>
      <c r="H120" s="378"/>
      <c r="I120" s="378"/>
      <c r="J120" s="378"/>
      <c r="K120" s="378"/>
      <c r="L120" s="378"/>
      <c r="M120" s="396"/>
      <c r="N120" s="396"/>
      <c r="O120" s="396"/>
      <c r="P120" s="396"/>
      <c r="Q120" s="396"/>
      <c r="R120" s="396"/>
      <c r="S120" s="259"/>
      <c r="T120" s="259"/>
      <c r="U120" s="259"/>
      <c r="V120" s="259"/>
      <c r="W120" s="259"/>
    </row>
    <row r="121" spans="1:23" x14ac:dyDescent="0.25">
      <c r="A121" s="259"/>
      <c r="B121" s="378"/>
      <c r="C121" s="378"/>
      <c r="D121" s="378"/>
      <c r="E121" s="378"/>
      <c r="F121" s="378"/>
      <c r="G121" s="378"/>
      <c r="H121" s="378"/>
      <c r="I121" s="378"/>
      <c r="J121" s="378"/>
      <c r="K121" s="378"/>
      <c r="L121" s="378"/>
      <c r="M121" s="396"/>
      <c r="N121" s="396"/>
      <c r="O121" s="396"/>
      <c r="P121" s="396"/>
      <c r="Q121" s="396"/>
      <c r="R121" s="396"/>
      <c r="S121" s="259"/>
      <c r="T121" s="259"/>
      <c r="U121" s="259"/>
      <c r="V121" s="259"/>
      <c r="W121" s="259"/>
    </row>
    <row r="122" spans="1:23" x14ac:dyDescent="0.25">
      <c r="A122" s="259"/>
      <c r="B122" s="378"/>
      <c r="C122" s="378"/>
      <c r="D122" s="378"/>
      <c r="E122" s="378"/>
      <c r="F122" s="378"/>
      <c r="G122" s="378"/>
      <c r="H122" s="378"/>
      <c r="I122" s="378"/>
      <c r="J122" s="378"/>
      <c r="K122" s="378"/>
      <c r="L122" s="378"/>
      <c r="M122" s="396"/>
      <c r="N122" s="396"/>
      <c r="O122" s="396"/>
      <c r="P122" s="396"/>
      <c r="Q122" s="396"/>
      <c r="R122" s="396"/>
      <c r="S122" s="259"/>
      <c r="T122" s="259"/>
      <c r="U122" s="259"/>
      <c r="V122" s="259"/>
      <c r="W122" s="259"/>
    </row>
    <row r="123" spans="1:23" x14ac:dyDescent="0.25">
      <c r="A123" s="259"/>
      <c r="B123" s="378"/>
      <c r="C123" s="378"/>
      <c r="D123" s="378"/>
      <c r="E123" s="378"/>
      <c r="F123" s="378"/>
      <c r="G123" s="378"/>
      <c r="H123" s="378"/>
      <c r="I123" s="378"/>
      <c r="J123" s="378"/>
      <c r="K123" s="378"/>
      <c r="L123" s="378"/>
      <c r="M123" s="396"/>
      <c r="N123" s="396"/>
      <c r="O123" s="396"/>
      <c r="P123" s="396"/>
      <c r="Q123" s="396"/>
      <c r="R123" s="396"/>
      <c r="S123" s="259"/>
      <c r="T123" s="259"/>
      <c r="U123" s="259"/>
      <c r="V123" s="259"/>
      <c r="W123" s="259"/>
    </row>
    <row r="124" spans="1:23" x14ac:dyDescent="0.25">
      <c r="A124" s="259"/>
      <c r="B124" s="378"/>
      <c r="C124" s="378"/>
      <c r="D124" s="378"/>
      <c r="E124" s="378"/>
      <c r="F124" s="378"/>
      <c r="G124" s="378"/>
      <c r="H124" s="378"/>
      <c r="I124" s="378"/>
      <c r="J124" s="378"/>
      <c r="K124" s="378"/>
      <c r="L124" s="378"/>
      <c r="M124" s="396"/>
      <c r="N124" s="396"/>
      <c r="O124" s="396"/>
      <c r="P124" s="396"/>
      <c r="Q124" s="396"/>
      <c r="R124" s="396"/>
      <c r="S124" s="259"/>
      <c r="T124" s="259"/>
      <c r="U124" s="259"/>
      <c r="V124" s="259"/>
      <c r="W124" s="259"/>
    </row>
    <row r="125" spans="1:23" x14ac:dyDescent="0.25">
      <c r="A125" s="259"/>
      <c r="B125" s="378"/>
      <c r="C125" s="378"/>
      <c r="D125" s="378"/>
      <c r="E125" s="378"/>
      <c r="F125" s="378"/>
      <c r="G125" s="378"/>
      <c r="H125" s="378"/>
      <c r="I125" s="378"/>
      <c r="J125" s="378"/>
      <c r="K125" s="378"/>
      <c r="L125" s="378"/>
      <c r="M125" s="396"/>
      <c r="N125" s="396"/>
      <c r="O125" s="396"/>
      <c r="P125" s="396"/>
      <c r="Q125" s="396"/>
      <c r="R125" s="396"/>
      <c r="S125" s="259"/>
      <c r="T125" s="259"/>
      <c r="U125" s="259"/>
      <c r="V125" s="259"/>
      <c r="W125" s="259"/>
    </row>
    <row r="126" spans="1:23" x14ac:dyDescent="0.25">
      <c r="A126" s="259"/>
      <c r="B126" s="378"/>
      <c r="C126" s="378"/>
      <c r="D126" s="378"/>
      <c r="E126" s="378"/>
      <c r="F126" s="378"/>
      <c r="G126" s="378"/>
      <c r="H126" s="378"/>
      <c r="I126" s="378"/>
      <c r="J126" s="378"/>
      <c r="K126" s="378"/>
      <c r="L126" s="378"/>
      <c r="M126" s="396"/>
      <c r="N126" s="396"/>
      <c r="O126" s="396"/>
      <c r="P126" s="396"/>
      <c r="Q126" s="396"/>
      <c r="R126" s="396"/>
      <c r="S126" s="259"/>
      <c r="T126" s="259"/>
      <c r="U126" s="259"/>
      <c r="V126" s="259"/>
      <c r="W126" s="259"/>
    </row>
    <row r="127" spans="1:23" x14ac:dyDescent="0.25">
      <c r="A127" s="259"/>
      <c r="B127" s="378"/>
      <c r="C127" s="378"/>
      <c r="D127" s="378"/>
      <c r="E127" s="378"/>
      <c r="F127" s="378"/>
      <c r="G127" s="378"/>
      <c r="H127" s="378"/>
      <c r="I127" s="378"/>
      <c r="J127" s="378"/>
      <c r="K127" s="378"/>
      <c r="L127" s="378"/>
      <c r="M127" s="396"/>
      <c r="N127" s="396"/>
      <c r="O127" s="396"/>
      <c r="P127" s="396"/>
      <c r="Q127" s="396"/>
      <c r="R127" s="396"/>
      <c r="S127" s="259"/>
      <c r="T127" s="259"/>
      <c r="U127" s="259"/>
      <c r="V127" s="259"/>
      <c r="W127" s="259"/>
    </row>
    <row r="128" spans="1:23" x14ac:dyDescent="0.25">
      <c r="A128" s="259"/>
      <c r="B128" s="378"/>
      <c r="C128" s="378"/>
      <c r="D128" s="378"/>
      <c r="E128" s="378"/>
      <c r="F128" s="378"/>
      <c r="G128" s="378"/>
      <c r="H128" s="378"/>
      <c r="I128" s="378"/>
      <c r="J128" s="378"/>
      <c r="K128" s="378"/>
      <c r="L128" s="378"/>
      <c r="M128" s="396"/>
      <c r="N128" s="396"/>
      <c r="O128" s="396"/>
      <c r="P128" s="396"/>
      <c r="Q128" s="396"/>
      <c r="R128" s="396"/>
      <c r="S128" s="259"/>
      <c r="T128" s="259"/>
      <c r="U128" s="259"/>
      <c r="V128" s="259"/>
      <c r="W128" s="259"/>
    </row>
    <row r="129" spans="1:23" x14ac:dyDescent="0.25">
      <c r="A129" s="259"/>
      <c r="B129" s="378"/>
      <c r="C129" s="378"/>
      <c r="D129" s="378"/>
      <c r="E129" s="378"/>
      <c r="F129" s="378"/>
      <c r="G129" s="378"/>
      <c r="H129" s="378"/>
      <c r="I129" s="378"/>
      <c r="J129" s="378"/>
      <c r="K129" s="378"/>
      <c r="L129" s="378"/>
      <c r="M129" s="396"/>
      <c r="N129" s="396"/>
      <c r="O129" s="396"/>
      <c r="P129" s="396"/>
      <c r="Q129" s="396"/>
      <c r="R129" s="396"/>
      <c r="S129" s="259"/>
      <c r="T129" s="259"/>
      <c r="U129" s="259"/>
      <c r="V129" s="259"/>
      <c r="W129" s="259"/>
    </row>
    <row r="130" spans="1:23" x14ac:dyDescent="0.25">
      <c r="A130" s="259"/>
      <c r="B130" s="378"/>
      <c r="C130" s="378"/>
      <c r="D130" s="378"/>
      <c r="E130" s="378"/>
      <c r="F130" s="378"/>
      <c r="G130" s="378"/>
      <c r="H130" s="378"/>
      <c r="I130" s="378"/>
      <c r="J130" s="378"/>
      <c r="K130" s="378"/>
      <c r="L130" s="378"/>
      <c r="M130" s="396"/>
      <c r="N130" s="396"/>
      <c r="O130" s="396"/>
      <c r="P130" s="396"/>
      <c r="Q130" s="396"/>
      <c r="R130" s="396"/>
      <c r="S130" s="259"/>
      <c r="T130" s="259"/>
      <c r="U130" s="259"/>
      <c r="V130" s="259"/>
      <c r="W130" s="259"/>
    </row>
    <row r="131" spans="1:23" x14ac:dyDescent="0.25">
      <c r="A131" s="259"/>
      <c r="B131" s="378"/>
      <c r="C131" s="378"/>
      <c r="D131" s="378"/>
      <c r="E131" s="378"/>
      <c r="F131" s="378"/>
      <c r="G131" s="378"/>
      <c r="H131" s="378"/>
      <c r="I131" s="378"/>
      <c r="J131" s="378"/>
      <c r="K131" s="378"/>
      <c r="L131" s="378"/>
      <c r="M131" s="396"/>
      <c r="N131" s="396"/>
      <c r="O131" s="396"/>
      <c r="P131" s="396"/>
      <c r="Q131" s="396"/>
      <c r="R131" s="396"/>
      <c r="S131" s="259"/>
      <c r="T131" s="259"/>
      <c r="U131" s="259"/>
      <c r="V131" s="259"/>
      <c r="W131" s="259"/>
    </row>
    <row r="132" spans="1:23" x14ac:dyDescent="0.25">
      <c r="A132" s="259"/>
      <c r="B132" s="378"/>
      <c r="C132" s="378"/>
      <c r="D132" s="378"/>
      <c r="E132" s="378"/>
      <c r="F132" s="378"/>
      <c r="G132" s="378"/>
      <c r="H132" s="378"/>
      <c r="I132" s="378"/>
      <c r="J132" s="378"/>
      <c r="K132" s="378"/>
      <c r="L132" s="378"/>
      <c r="M132" s="396"/>
      <c r="N132" s="396"/>
      <c r="O132" s="396"/>
      <c r="P132" s="396"/>
      <c r="Q132" s="396"/>
      <c r="R132" s="396"/>
      <c r="S132" s="259"/>
      <c r="T132" s="259"/>
      <c r="U132" s="259"/>
      <c r="V132" s="259"/>
      <c r="W132" s="259"/>
    </row>
    <row r="133" spans="1:23" x14ac:dyDescent="0.25">
      <c r="A133" s="259"/>
      <c r="B133" s="378"/>
      <c r="C133" s="378"/>
      <c r="D133" s="378"/>
      <c r="E133" s="378"/>
      <c r="F133" s="378"/>
      <c r="G133" s="378"/>
      <c r="H133" s="378"/>
      <c r="I133" s="378"/>
      <c r="J133" s="378"/>
      <c r="K133" s="378"/>
      <c r="L133" s="378"/>
      <c r="M133" s="396"/>
      <c r="N133" s="396"/>
      <c r="O133" s="396"/>
      <c r="P133" s="396"/>
      <c r="Q133" s="396"/>
      <c r="R133" s="396"/>
      <c r="S133" s="259"/>
      <c r="T133" s="259"/>
      <c r="U133" s="259"/>
      <c r="V133" s="259"/>
      <c r="W133" s="259"/>
    </row>
    <row r="134" spans="1:23" x14ac:dyDescent="0.25">
      <c r="A134" s="259"/>
      <c r="B134" s="378"/>
      <c r="C134" s="378"/>
      <c r="D134" s="378"/>
      <c r="E134" s="378"/>
      <c r="F134" s="378"/>
      <c r="G134" s="378"/>
      <c r="H134" s="378"/>
      <c r="I134" s="378"/>
      <c r="J134" s="378"/>
      <c r="K134" s="378"/>
      <c r="L134" s="378"/>
      <c r="M134" s="396"/>
      <c r="N134" s="396"/>
      <c r="O134" s="396"/>
      <c r="P134" s="396"/>
      <c r="Q134" s="396"/>
      <c r="R134" s="396"/>
      <c r="S134" s="259"/>
      <c r="T134" s="259"/>
      <c r="U134" s="259"/>
      <c r="V134" s="259"/>
      <c r="W134" s="259"/>
    </row>
    <row r="135" spans="1:23" x14ac:dyDescent="0.25">
      <c r="A135" s="259"/>
      <c r="B135" s="378"/>
      <c r="C135" s="378"/>
      <c r="D135" s="378"/>
      <c r="E135" s="378"/>
      <c r="F135" s="378"/>
      <c r="G135" s="378"/>
      <c r="H135" s="378"/>
      <c r="I135" s="378"/>
      <c r="J135" s="378"/>
      <c r="K135" s="378"/>
      <c r="L135" s="378"/>
      <c r="M135" s="396"/>
      <c r="N135" s="396"/>
      <c r="O135" s="396"/>
      <c r="P135" s="396"/>
      <c r="Q135" s="396"/>
      <c r="R135" s="396"/>
      <c r="S135" s="259"/>
      <c r="T135" s="259"/>
      <c r="U135" s="259"/>
      <c r="V135" s="259"/>
      <c r="W135" s="259"/>
    </row>
    <row r="136" spans="1:23" x14ac:dyDescent="0.25">
      <c r="A136" s="259"/>
      <c r="B136" s="378"/>
      <c r="C136" s="378"/>
      <c r="D136" s="378"/>
      <c r="E136" s="378"/>
      <c r="F136" s="378"/>
      <c r="G136" s="378"/>
      <c r="H136" s="378"/>
      <c r="I136" s="378"/>
      <c r="J136" s="378"/>
      <c r="K136" s="378"/>
      <c r="L136" s="378"/>
      <c r="M136" s="396"/>
      <c r="N136" s="396"/>
      <c r="O136" s="396"/>
      <c r="P136" s="396"/>
      <c r="Q136" s="396"/>
      <c r="R136" s="396"/>
      <c r="S136" s="259"/>
      <c r="T136" s="259"/>
      <c r="U136" s="259"/>
      <c r="V136" s="259"/>
      <c r="W136" s="259"/>
    </row>
    <row r="137" spans="1:23" x14ac:dyDescent="0.25">
      <c r="A137" s="259"/>
      <c r="B137" s="378"/>
      <c r="C137" s="378"/>
      <c r="D137" s="378"/>
      <c r="E137" s="378"/>
      <c r="F137" s="378"/>
      <c r="G137" s="378"/>
      <c r="H137" s="378"/>
      <c r="I137" s="378"/>
      <c r="J137" s="378"/>
      <c r="K137" s="378"/>
      <c r="L137" s="378"/>
      <c r="M137" s="396"/>
      <c r="N137" s="396"/>
      <c r="O137" s="396"/>
      <c r="P137" s="396"/>
      <c r="Q137" s="396"/>
      <c r="R137" s="396"/>
      <c r="S137" s="259"/>
      <c r="T137" s="259"/>
      <c r="U137" s="259"/>
      <c r="V137" s="259"/>
      <c r="W137" s="259"/>
    </row>
    <row r="138" spans="1:23" x14ac:dyDescent="0.25">
      <c r="A138" s="259"/>
      <c r="B138" s="378"/>
      <c r="C138" s="378"/>
      <c r="D138" s="378"/>
      <c r="E138" s="378"/>
      <c r="F138" s="378"/>
      <c r="G138" s="378"/>
      <c r="H138" s="378"/>
      <c r="I138" s="378"/>
      <c r="J138" s="378"/>
      <c r="K138" s="378"/>
      <c r="L138" s="378"/>
      <c r="M138" s="396"/>
      <c r="N138" s="396"/>
      <c r="O138" s="396"/>
      <c r="P138" s="396"/>
      <c r="Q138" s="396"/>
      <c r="R138" s="396"/>
      <c r="S138" s="259"/>
      <c r="T138" s="259"/>
      <c r="U138" s="259"/>
      <c r="V138" s="259"/>
      <c r="W138" s="259"/>
    </row>
    <row r="139" spans="1:23" x14ac:dyDescent="0.25">
      <c r="A139" s="259"/>
      <c r="B139" s="378"/>
      <c r="C139" s="378"/>
      <c r="D139" s="378"/>
      <c r="E139" s="378"/>
      <c r="F139" s="378"/>
      <c r="G139" s="378"/>
      <c r="H139" s="378"/>
      <c r="I139" s="378"/>
      <c r="J139" s="378"/>
      <c r="K139" s="378"/>
      <c r="L139" s="378"/>
      <c r="M139" s="396"/>
      <c r="N139" s="396"/>
      <c r="O139" s="396"/>
      <c r="P139" s="396"/>
      <c r="Q139" s="396"/>
      <c r="R139" s="396"/>
      <c r="S139" s="259"/>
      <c r="T139" s="259"/>
      <c r="U139" s="259"/>
      <c r="V139" s="259"/>
      <c r="W139" s="259"/>
    </row>
    <row r="140" spans="1:23" x14ac:dyDescent="0.25">
      <c r="A140" s="259"/>
      <c r="B140" s="378"/>
      <c r="C140" s="378"/>
      <c r="D140" s="378"/>
      <c r="E140" s="378"/>
      <c r="F140" s="378"/>
      <c r="G140" s="378"/>
      <c r="H140" s="378"/>
      <c r="I140" s="378"/>
      <c r="J140" s="378"/>
      <c r="K140" s="378"/>
      <c r="L140" s="378"/>
      <c r="M140" s="396"/>
      <c r="N140" s="396"/>
      <c r="O140" s="396"/>
      <c r="P140" s="396"/>
      <c r="Q140" s="396"/>
      <c r="R140" s="396"/>
      <c r="S140" s="259"/>
      <c r="T140" s="259"/>
      <c r="U140" s="259"/>
      <c r="V140" s="259"/>
      <c r="W140" s="259"/>
    </row>
    <row r="141" spans="1:23" x14ac:dyDescent="0.25">
      <c r="A141" s="259"/>
      <c r="B141" s="378"/>
      <c r="C141" s="378"/>
      <c r="D141" s="378"/>
      <c r="E141" s="378"/>
      <c r="F141" s="378"/>
      <c r="G141" s="378"/>
      <c r="H141" s="378"/>
      <c r="I141" s="378"/>
      <c r="J141" s="378"/>
      <c r="K141" s="378"/>
      <c r="L141" s="378"/>
      <c r="M141" s="396"/>
      <c r="N141" s="396"/>
      <c r="O141" s="396"/>
      <c r="P141" s="396"/>
      <c r="Q141" s="396"/>
      <c r="R141" s="396"/>
      <c r="S141" s="259"/>
      <c r="T141" s="259"/>
      <c r="U141" s="259"/>
      <c r="V141" s="259"/>
      <c r="W141" s="259"/>
    </row>
    <row r="142" spans="1:23" x14ac:dyDescent="0.25">
      <c r="A142" s="259"/>
      <c r="B142" s="378"/>
      <c r="C142" s="378"/>
      <c r="D142" s="378"/>
      <c r="E142" s="378"/>
      <c r="F142" s="378"/>
      <c r="G142" s="378"/>
      <c r="H142" s="378"/>
      <c r="I142" s="378"/>
      <c r="J142" s="378"/>
      <c r="K142" s="378"/>
      <c r="L142" s="378"/>
      <c r="M142" s="396"/>
      <c r="N142" s="396"/>
      <c r="O142" s="396"/>
      <c r="P142" s="396"/>
      <c r="Q142" s="396"/>
      <c r="R142" s="396"/>
      <c r="S142" s="259"/>
      <c r="T142" s="259"/>
      <c r="U142" s="259"/>
      <c r="V142" s="259"/>
      <c r="W142" s="259"/>
    </row>
    <row r="143" spans="1:23" x14ac:dyDescent="0.25">
      <c r="A143" s="259"/>
      <c r="B143" s="378"/>
      <c r="C143" s="378"/>
      <c r="D143" s="378"/>
      <c r="E143" s="378"/>
      <c r="F143" s="378"/>
      <c r="G143" s="378"/>
      <c r="H143" s="378"/>
      <c r="I143" s="378"/>
      <c r="J143" s="378"/>
      <c r="K143" s="378"/>
      <c r="L143" s="378"/>
      <c r="M143" s="396"/>
      <c r="N143" s="396"/>
      <c r="O143" s="396"/>
      <c r="P143" s="396"/>
      <c r="Q143" s="396"/>
      <c r="R143" s="396"/>
      <c r="S143" s="259"/>
      <c r="T143" s="259"/>
      <c r="U143" s="259"/>
      <c r="V143" s="259"/>
      <c r="W143" s="259"/>
    </row>
    <row r="144" spans="1:23" x14ac:dyDescent="0.25">
      <c r="A144" s="259"/>
      <c r="B144" s="378"/>
      <c r="C144" s="378"/>
      <c r="D144" s="378"/>
      <c r="E144" s="378"/>
      <c r="F144" s="378"/>
      <c r="G144" s="378"/>
      <c r="H144" s="378"/>
      <c r="I144" s="378"/>
      <c r="J144" s="378"/>
      <c r="K144" s="378"/>
      <c r="L144" s="378"/>
      <c r="M144" s="396"/>
      <c r="N144" s="396"/>
      <c r="O144" s="396"/>
      <c r="P144" s="396"/>
      <c r="Q144" s="396"/>
      <c r="R144" s="396"/>
      <c r="S144" s="259"/>
      <c r="T144" s="259"/>
      <c r="U144" s="259"/>
      <c r="V144" s="259"/>
      <c r="W144" s="259"/>
    </row>
    <row r="145" spans="1:23" x14ac:dyDescent="0.25">
      <c r="A145" s="259"/>
      <c r="B145" s="378"/>
      <c r="C145" s="378"/>
      <c r="D145" s="378"/>
      <c r="E145" s="378"/>
      <c r="F145" s="378"/>
      <c r="G145" s="378"/>
      <c r="H145" s="378"/>
      <c r="I145" s="378"/>
      <c r="J145" s="378"/>
      <c r="K145" s="378"/>
      <c r="L145" s="378"/>
      <c r="M145" s="396"/>
      <c r="N145" s="396"/>
      <c r="O145" s="396"/>
      <c r="P145" s="396"/>
      <c r="Q145" s="396"/>
      <c r="R145" s="396"/>
      <c r="S145" s="259"/>
      <c r="T145" s="259"/>
      <c r="U145" s="259"/>
      <c r="V145" s="259"/>
      <c r="W145" s="259"/>
    </row>
    <row r="146" spans="1:23" x14ac:dyDescent="0.25">
      <c r="A146" s="259"/>
      <c r="B146" s="378"/>
      <c r="C146" s="378"/>
      <c r="D146" s="378"/>
      <c r="E146" s="378"/>
      <c r="F146" s="378"/>
      <c r="G146" s="378"/>
      <c r="H146" s="378"/>
      <c r="I146" s="378"/>
      <c r="J146" s="378"/>
      <c r="K146" s="378"/>
      <c r="L146" s="378"/>
      <c r="M146" s="396"/>
      <c r="N146" s="396"/>
      <c r="O146" s="396"/>
      <c r="P146" s="396"/>
      <c r="Q146" s="396"/>
      <c r="R146" s="396"/>
      <c r="S146" s="259"/>
      <c r="T146" s="259"/>
      <c r="U146" s="259"/>
      <c r="V146" s="259"/>
      <c r="W146" s="259"/>
    </row>
    <row r="147" spans="1:23" x14ac:dyDescent="0.25">
      <c r="A147" s="259"/>
      <c r="B147" s="378"/>
      <c r="C147" s="378"/>
      <c r="D147" s="378"/>
      <c r="E147" s="378"/>
      <c r="F147" s="378"/>
      <c r="G147" s="378"/>
      <c r="H147" s="378"/>
      <c r="I147" s="378"/>
      <c r="J147" s="378"/>
      <c r="K147" s="378"/>
      <c r="L147" s="378"/>
      <c r="M147" s="396"/>
      <c r="N147" s="396"/>
      <c r="O147" s="396"/>
      <c r="P147" s="396"/>
      <c r="Q147" s="396"/>
      <c r="R147" s="396"/>
      <c r="S147" s="259"/>
      <c r="T147" s="259"/>
      <c r="U147" s="259"/>
      <c r="V147" s="259"/>
      <c r="W147" s="259"/>
    </row>
    <row r="148" spans="1:23" x14ac:dyDescent="0.25">
      <c r="A148" s="259"/>
      <c r="B148" s="378"/>
      <c r="C148" s="378"/>
      <c r="D148" s="378"/>
      <c r="E148" s="378"/>
      <c r="F148" s="378"/>
      <c r="G148" s="378"/>
      <c r="H148" s="378"/>
      <c r="I148" s="378"/>
      <c r="J148" s="378"/>
      <c r="K148" s="378"/>
      <c r="L148" s="378"/>
      <c r="M148" s="396"/>
      <c r="N148" s="396"/>
      <c r="O148" s="396"/>
      <c r="P148" s="396"/>
      <c r="Q148" s="396"/>
      <c r="R148" s="396"/>
      <c r="S148" s="259"/>
      <c r="T148" s="259"/>
      <c r="U148" s="259"/>
      <c r="V148" s="259"/>
      <c r="W148" s="259"/>
    </row>
    <row r="149" spans="1:23" x14ac:dyDescent="0.25">
      <c r="A149" s="259"/>
      <c r="B149" s="378"/>
      <c r="C149" s="378"/>
      <c r="D149" s="378"/>
      <c r="E149" s="378"/>
      <c r="F149" s="378"/>
      <c r="G149" s="378"/>
      <c r="H149" s="378"/>
      <c r="I149" s="378"/>
      <c r="J149" s="378"/>
      <c r="K149" s="378"/>
      <c r="L149" s="378"/>
      <c r="M149" s="396"/>
      <c r="N149" s="396"/>
      <c r="O149" s="396"/>
      <c r="P149" s="396"/>
      <c r="Q149" s="396"/>
      <c r="R149" s="396"/>
      <c r="S149" s="259"/>
      <c r="T149" s="259"/>
      <c r="U149" s="259"/>
      <c r="V149" s="259"/>
      <c r="W149" s="259"/>
    </row>
    <row r="150" spans="1:23" x14ac:dyDescent="0.25">
      <c r="A150" s="259"/>
      <c r="B150" s="378"/>
      <c r="C150" s="378"/>
      <c r="D150" s="378"/>
      <c r="E150" s="378"/>
      <c r="F150" s="378"/>
      <c r="G150" s="378"/>
      <c r="H150" s="378"/>
      <c r="I150" s="378"/>
      <c r="J150" s="378"/>
      <c r="K150" s="378"/>
      <c r="L150" s="378"/>
      <c r="M150" s="396"/>
      <c r="N150" s="396"/>
      <c r="O150" s="396"/>
      <c r="P150" s="396"/>
      <c r="Q150" s="396"/>
      <c r="R150" s="396"/>
      <c r="S150" s="259"/>
      <c r="T150" s="259"/>
      <c r="U150" s="259"/>
      <c r="V150" s="259"/>
      <c r="W150" s="259"/>
    </row>
    <row r="151" spans="1:23" x14ac:dyDescent="0.25">
      <c r="A151" s="259"/>
      <c r="B151" s="378"/>
      <c r="C151" s="378"/>
      <c r="D151" s="378"/>
      <c r="E151" s="378"/>
      <c r="F151" s="378"/>
      <c r="G151" s="378"/>
      <c r="H151" s="378"/>
      <c r="I151" s="378"/>
      <c r="J151" s="378"/>
      <c r="K151" s="378"/>
      <c r="L151" s="378"/>
      <c r="M151" s="396"/>
      <c r="N151" s="396"/>
      <c r="O151" s="396"/>
      <c r="P151" s="396"/>
      <c r="Q151" s="396"/>
      <c r="R151" s="396"/>
      <c r="S151" s="259"/>
      <c r="T151" s="259"/>
      <c r="U151" s="259"/>
      <c r="V151" s="259"/>
      <c r="W151" s="259"/>
    </row>
    <row r="152" spans="1:23" x14ac:dyDescent="0.25">
      <c r="A152" s="259"/>
      <c r="B152" s="378"/>
      <c r="C152" s="378"/>
      <c r="D152" s="378"/>
      <c r="E152" s="378"/>
      <c r="F152" s="378"/>
      <c r="G152" s="378"/>
      <c r="H152" s="378"/>
      <c r="I152" s="378"/>
      <c r="J152" s="378"/>
      <c r="K152" s="378"/>
      <c r="L152" s="378"/>
      <c r="M152" s="396"/>
      <c r="N152" s="396"/>
      <c r="O152" s="396"/>
      <c r="P152" s="396"/>
      <c r="Q152" s="396"/>
      <c r="R152" s="396"/>
      <c r="S152" s="259"/>
      <c r="T152" s="259"/>
      <c r="U152" s="259"/>
      <c r="V152" s="259"/>
      <c r="W152" s="259"/>
    </row>
    <row r="153" spans="1:23" x14ac:dyDescent="0.25">
      <c r="A153" s="259"/>
      <c r="B153" s="378"/>
      <c r="C153" s="378"/>
      <c r="D153" s="378"/>
      <c r="E153" s="378"/>
      <c r="F153" s="378"/>
      <c r="G153" s="378"/>
      <c r="H153" s="378"/>
      <c r="I153" s="378"/>
      <c r="J153" s="378"/>
      <c r="K153" s="378"/>
      <c r="L153" s="378"/>
      <c r="M153" s="396"/>
      <c r="N153" s="396"/>
      <c r="O153" s="396"/>
      <c r="P153" s="396"/>
      <c r="Q153" s="396"/>
      <c r="R153" s="396"/>
      <c r="S153" s="259"/>
      <c r="T153" s="259"/>
      <c r="U153" s="259"/>
      <c r="V153" s="259"/>
      <c r="W153" s="259"/>
    </row>
    <row r="154" spans="1:23" x14ac:dyDescent="0.25">
      <c r="A154" s="259"/>
      <c r="B154" s="378"/>
      <c r="C154" s="378"/>
      <c r="D154" s="378"/>
      <c r="E154" s="378"/>
      <c r="F154" s="378"/>
      <c r="G154" s="378"/>
      <c r="H154" s="378"/>
      <c r="I154" s="378"/>
      <c r="J154" s="378"/>
      <c r="K154" s="378"/>
      <c r="L154" s="378"/>
      <c r="M154" s="396"/>
      <c r="N154" s="396"/>
      <c r="O154" s="396"/>
      <c r="P154" s="396"/>
      <c r="Q154" s="396"/>
      <c r="R154" s="396"/>
      <c r="S154" s="259"/>
      <c r="T154" s="259"/>
      <c r="U154" s="259"/>
      <c r="V154" s="259"/>
      <c r="W154" s="259"/>
    </row>
    <row r="155" spans="1:23" x14ac:dyDescent="0.25">
      <c r="A155" s="259"/>
      <c r="B155" s="378"/>
      <c r="C155" s="378"/>
      <c r="D155" s="378"/>
      <c r="E155" s="378"/>
      <c r="F155" s="378"/>
      <c r="G155" s="378"/>
      <c r="H155" s="378"/>
      <c r="I155" s="378"/>
      <c r="J155" s="378"/>
      <c r="K155" s="378"/>
      <c r="L155" s="378"/>
      <c r="M155" s="396"/>
      <c r="N155" s="396"/>
      <c r="O155" s="396"/>
      <c r="P155" s="396"/>
      <c r="Q155" s="396"/>
      <c r="R155" s="396"/>
      <c r="S155" s="259"/>
      <c r="T155" s="259"/>
      <c r="U155" s="259"/>
      <c r="V155" s="259"/>
      <c r="W155" s="259"/>
    </row>
    <row r="156" spans="1:23" x14ac:dyDescent="0.25">
      <c r="A156" s="259"/>
      <c r="B156" s="378"/>
      <c r="C156" s="378"/>
      <c r="D156" s="378"/>
      <c r="E156" s="378"/>
      <c r="F156" s="378"/>
      <c r="G156" s="378"/>
      <c r="H156" s="378"/>
      <c r="I156" s="378"/>
      <c r="J156" s="378"/>
      <c r="K156" s="378"/>
      <c r="L156" s="378"/>
      <c r="M156" s="396"/>
      <c r="N156" s="396"/>
      <c r="O156" s="396"/>
      <c r="P156" s="396"/>
      <c r="Q156" s="396"/>
      <c r="R156" s="396"/>
      <c r="S156" s="259"/>
      <c r="T156" s="259"/>
      <c r="U156" s="259"/>
      <c r="V156" s="259"/>
      <c r="W156" s="259"/>
    </row>
    <row r="157" spans="1:23" x14ac:dyDescent="0.25">
      <c r="A157" s="259"/>
      <c r="B157" s="378"/>
      <c r="C157" s="378"/>
      <c r="D157" s="378"/>
      <c r="E157" s="378"/>
      <c r="F157" s="378"/>
      <c r="G157" s="378"/>
      <c r="H157" s="378"/>
      <c r="I157" s="378"/>
      <c r="J157" s="378"/>
      <c r="K157" s="378"/>
      <c r="L157" s="378"/>
      <c r="M157" s="396"/>
      <c r="N157" s="396"/>
      <c r="O157" s="396"/>
      <c r="P157" s="396"/>
      <c r="Q157" s="396"/>
      <c r="R157" s="396"/>
      <c r="S157" s="259"/>
      <c r="T157" s="259"/>
      <c r="U157" s="259"/>
      <c r="V157" s="259"/>
      <c r="W157" s="259"/>
    </row>
    <row r="158" spans="1:23" x14ac:dyDescent="0.25">
      <c r="A158" s="259"/>
      <c r="B158" s="378"/>
      <c r="C158" s="378"/>
      <c r="D158" s="378"/>
      <c r="E158" s="378"/>
      <c r="F158" s="378"/>
      <c r="G158" s="378"/>
      <c r="H158" s="378"/>
      <c r="I158" s="378"/>
      <c r="J158" s="378"/>
      <c r="K158" s="378"/>
      <c r="L158" s="378"/>
      <c r="M158" s="396"/>
      <c r="N158" s="396"/>
      <c r="O158" s="396"/>
      <c r="P158" s="396"/>
      <c r="Q158" s="396"/>
      <c r="R158" s="396"/>
      <c r="S158" s="259"/>
      <c r="T158" s="259"/>
      <c r="U158" s="259"/>
      <c r="V158" s="259"/>
      <c r="W158" s="259"/>
    </row>
    <row r="159" spans="1:23" x14ac:dyDescent="0.25">
      <c r="A159" s="259"/>
      <c r="B159" s="378"/>
      <c r="C159" s="378"/>
      <c r="D159" s="378"/>
      <c r="E159" s="378"/>
      <c r="F159" s="378"/>
      <c r="G159" s="378"/>
      <c r="H159" s="378"/>
      <c r="I159" s="378"/>
      <c r="J159" s="378"/>
      <c r="K159" s="378"/>
      <c r="L159" s="378"/>
      <c r="M159" s="396"/>
      <c r="N159" s="396"/>
      <c r="O159" s="396"/>
      <c r="P159" s="396"/>
      <c r="Q159" s="396"/>
      <c r="R159" s="396"/>
      <c r="S159" s="259"/>
      <c r="T159" s="259"/>
      <c r="U159" s="259"/>
      <c r="V159" s="259"/>
      <c r="W159" s="259"/>
    </row>
    <row r="160" spans="1:23" x14ac:dyDescent="0.25">
      <c r="A160" s="259"/>
      <c r="B160" s="378"/>
      <c r="C160" s="378"/>
      <c r="D160" s="378"/>
      <c r="E160" s="378"/>
      <c r="F160" s="378"/>
      <c r="G160" s="378"/>
      <c r="H160" s="378"/>
      <c r="I160" s="378"/>
      <c r="J160" s="378"/>
      <c r="K160" s="378"/>
      <c r="L160" s="378"/>
      <c r="M160" s="396"/>
      <c r="N160" s="396"/>
      <c r="O160" s="396"/>
      <c r="P160" s="396"/>
      <c r="Q160" s="396"/>
      <c r="R160" s="396"/>
      <c r="S160" s="259"/>
      <c r="T160" s="259"/>
      <c r="U160" s="259"/>
      <c r="V160" s="259"/>
      <c r="W160" s="259"/>
    </row>
    <row r="161" spans="1:23" x14ac:dyDescent="0.25">
      <c r="A161" s="259"/>
      <c r="B161" s="378"/>
      <c r="C161" s="378"/>
      <c r="D161" s="378"/>
      <c r="E161" s="378"/>
      <c r="F161" s="378"/>
      <c r="G161" s="378"/>
      <c r="H161" s="378"/>
      <c r="I161" s="378"/>
      <c r="J161" s="378"/>
      <c r="K161" s="378"/>
      <c r="L161" s="378"/>
      <c r="M161" s="396"/>
      <c r="N161" s="396"/>
      <c r="O161" s="396"/>
      <c r="P161" s="396"/>
      <c r="Q161" s="396"/>
      <c r="R161" s="396"/>
      <c r="S161" s="259"/>
      <c r="T161" s="259"/>
      <c r="U161" s="259"/>
      <c r="V161" s="259"/>
      <c r="W161" s="259"/>
    </row>
    <row r="162" spans="1:23" x14ac:dyDescent="0.25">
      <c r="A162" s="259"/>
      <c r="B162" s="378"/>
      <c r="C162" s="378"/>
      <c r="D162" s="378"/>
      <c r="E162" s="378"/>
      <c r="F162" s="378"/>
      <c r="G162" s="378"/>
      <c r="H162" s="378"/>
      <c r="I162" s="378"/>
      <c r="J162" s="378"/>
      <c r="K162" s="378"/>
      <c r="L162" s="378"/>
      <c r="M162" s="396"/>
      <c r="N162" s="396"/>
      <c r="O162" s="396"/>
      <c r="P162" s="396"/>
      <c r="Q162" s="396"/>
      <c r="R162" s="396"/>
      <c r="S162" s="259"/>
      <c r="T162" s="259"/>
      <c r="U162" s="259"/>
      <c r="V162" s="259"/>
      <c r="W162" s="259"/>
    </row>
    <row r="163" spans="1:23" x14ac:dyDescent="0.25">
      <c r="A163" s="259"/>
      <c r="B163" s="378"/>
      <c r="C163" s="378"/>
      <c r="D163" s="378"/>
      <c r="E163" s="378"/>
      <c r="F163" s="378"/>
      <c r="G163" s="378"/>
      <c r="H163" s="378"/>
      <c r="I163" s="378"/>
      <c r="J163" s="378"/>
      <c r="K163" s="378"/>
      <c r="L163" s="378"/>
      <c r="M163" s="396"/>
      <c r="N163" s="396"/>
      <c r="O163" s="396"/>
      <c r="P163" s="396"/>
      <c r="Q163" s="396"/>
      <c r="R163" s="396"/>
      <c r="S163" s="259"/>
      <c r="T163" s="259"/>
      <c r="U163" s="259"/>
      <c r="V163" s="259"/>
      <c r="W163" s="259"/>
    </row>
    <row r="164" spans="1:23" x14ac:dyDescent="0.25">
      <c r="A164" s="259"/>
      <c r="B164" s="378"/>
      <c r="C164" s="378"/>
      <c r="D164" s="378"/>
      <c r="E164" s="378"/>
      <c r="F164" s="378"/>
      <c r="G164" s="378"/>
      <c r="H164" s="378"/>
      <c r="I164" s="378"/>
      <c r="J164" s="378"/>
      <c r="K164" s="378"/>
      <c r="L164" s="378"/>
      <c r="M164" s="396"/>
      <c r="N164" s="396"/>
      <c r="O164" s="396"/>
      <c r="P164" s="396"/>
      <c r="Q164" s="396"/>
      <c r="R164" s="396"/>
      <c r="S164" s="259"/>
      <c r="T164" s="259"/>
      <c r="U164" s="259"/>
      <c r="V164" s="259"/>
      <c r="W164" s="259"/>
    </row>
    <row r="165" spans="1:23" x14ac:dyDescent="0.25">
      <c r="A165" s="259"/>
      <c r="B165" s="378"/>
      <c r="C165" s="378"/>
      <c r="D165" s="378"/>
      <c r="E165" s="378"/>
      <c r="F165" s="378"/>
      <c r="G165" s="378"/>
      <c r="H165" s="378"/>
      <c r="I165" s="378"/>
      <c r="J165" s="378"/>
      <c r="K165" s="378"/>
      <c r="L165" s="378"/>
      <c r="M165" s="396"/>
      <c r="N165" s="396"/>
      <c r="O165" s="396"/>
      <c r="P165" s="396"/>
      <c r="Q165" s="396"/>
      <c r="R165" s="396"/>
      <c r="S165" s="259"/>
      <c r="T165" s="259"/>
      <c r="U165" s="259"/>
      <c r="V165" s="259"/>
      <c r="W165" s="259"/>
    </row>
    <row r="166" spans="1:23" x14ac:dyDescent="0.25">
      <c r="A166" s="259"/>
      <c r="B166" s="378"/>
      <c r="C166" s="378"/>
      <c r="D166" s="378"/>
      <c r="E166" s="378"/>
      <c r="F166" s="378"/>
      <c r="G166" s="378"/>
      <c r="H166" s="378"/>
      <c r="I166" s="378"/>
      <c r="J166" s="378"/>
      <c r="K166" s="378"/>
      <c r="L166" s="378"/>
      <c r="M166" s="396"/>
      <c r="N166" s="396"/>
      <c r="O166" s="396"/>
      <c r="P166" s="396"/>
      <c r="Q166" s="396"/>
      <c r="R166" s="396"/>
      <c r="S166" s="259"/>
      <c r="T166" s="259"/>
      <c r="U166" s="259"/>
      <c r="V166" s="259"/>
      <c r="W166" s="259"/>
    </row>
    <row r="167" spans="1:23" x14ac:dyDescent="0.25">
      <c r="A167" s="259"/>
      <c r="B167" s="378"/>
      <c r="C167" s="378"/>
      <c r="D167" s="378"/>
      <c r="E167" s="378"/>
      <c r="F167" s="378"/>
      <c r="G167" s="378"/>
      <c r="H167" s="378"/>
      <c r="I167" s="378"/>
      <c r="J167" s="378"/>
      <c r="K167" s="378"/>
      <c r="L167" s="378"/>
      <c r="M167" s="396"/>
      <c r="N167" s="396"/>
      <c r="O167" s="396"/>
      <c r="P167" s="396"/>
      <c r="Q167" s="396"/>
      <c r="R167" s="396"/>
      <c r="S167" s="259"/>
      <c r="T167" s="259"/>
      <c r="U167" s="259"/>
      <c r="V167" s="259"/>
      <c r="W167" s="259"/>
    </row>
    <row r="168" spans="1:23" x14ac:dyDescent="0.25">
      <c r="A168" s="259"/>
      <c r="B168" s="378"/>
      <c r="C168" s="378"/>
      <c r="D168" s="378"/>
      <c r="E168" s="378"/>
      <c r="F168" s="378"/>
      <c r="G168" s="378"/>
      <c r="H168" s="378"/>
      <c r="I168" s="378"/>
      <c r="J168" s="378"/>
      <c r="K168" s="378"/>
      <c r="L168" s="378"/>
      <c r="M168" s="396"/>
      <c r="N168" s="396"/>
      <c r="O168" s="396"/>
      <c r="P168" s="396"/>
      <c r="Q168" s="396"/>
      <c r="R168" s="396"/>
      <c r="S168" s="259"/>
      <c r="T168" s="259"/>
      <c r="U168" s="259"/>
      <c r="V168" s="259"/>
      <c r="W168" s="259"/>
    </row>
    <row r="169" spans="1:23" x14ac:dyDescent="0.25">
      <c r="A169" s="259"/>
      <c r="B169" s="378"/>
      <c r="C169" s="378"/>
      <c r="D169" s="378"/>
      <c r="E169" s="378"/>
      <c r="F169" s="378"/>
      <c r="G169" s="378"/>
      <c r="H169" s="378"/>
      <c r="I169" s="378"/>
      <c r="J169" s="378"/>
      <c r="K169" s="378"/>
      <c r="L169" s="378"/>
      <c r="M169" s="396"/>
      <c r="N169" s="396"/>
      <c r="O169" s="396"/>
      <c r="P169" s="396"/>
      <c r="Q169" s="396"/>
      <c r="R169" s="396"/>
      <c r="S169" s="259"/>
      <c r="T169" s="259"/>
      <c r="U169" s="259"/>
      <c r="V169" s="259"/>
      <c r="W169" s="259"/>
    </row>
    <row r="170" spans="1:23" x14ac:dyDescent="0.25">
      <c r="A170" s="259"/>
      <c r="B170" s="378"/>
      <c r="C170" s="378"/>
      <c r="D170" s="378"/>
      <c r="E170" s="378"/>
      <c r="F170" s="378"/>
      <c r="G170" s="378"/>
      <c r="H170" s="378"/>
      <c r="I170" s="378"/>
      <c r="J170" s="378"/>
      <c r="K170" s="378"/>
      <c r="L170" s="378"/>
      <c r="M170" s="396"/>
      <c r="N170" s="396"/>
      <c r="O170" s="396"/>
      <c r="P170" s="396"/>
      <c r="Q170" s="396"/>
      <c r="R170" s="396"/>
      <c r="S170" s="259"/>
      <c r="T170" s="259"/>
      <c r="U170" s="259"/>
      <c r="V170" s="259"/>
      <c r="W170" s="259"/>
    </row>
    <row r="171" spans="1:23" x14ac:dyDescent="0.25">
      <c r="A171" s="259"/>
      <c r="B171" s="378"/>
      <c r="C171" s="378"/>
      <c r="D171" s="378"/>
      <c r="E171" s="378"/>
      <c r="F171" s="378"/>
      <c r="G171" s="378"/>
      <c r="H171" s="378"/>
      <c r="I171" s="378"/>
      <c r="J171" s="378"/>
      <c r="K171" s="378"/>
      <c r="L171" s="378"/>
      <c r="M171" s="396"/>
      <c r="N171" s="396"/>
      <c r="O171" s="396"/>
      <c r="P171" s="396"/>
      <c r="Q171" s="396"/>
      <c r="R171" s="396"/>
      <c r="S171" s="259"/>
      <c r="T171" s="259"/>
      <c r="U171" s="259"/>
      <c r="V171" s="259"/>
      <c r="W171" s="259"/>
    </row>
    <row r="172" spans="1:23" x14ac:dyDescent="0.25">
      <c r="A172" s="259"/>
      <c r="B172" s="378"/>
      <c r="C172" s="378"/>
      <c r="D172" s="378"/>
      <c r="E172" s="378"/>
      <c r="F172" s="378"/>
      <c r="G172" s="378"/>
      <c r="H172" s="378"/>
      <c r="I172" s="378"/>
      <c r="J172" s="378"/>
      <c r="K172" s="378"/>
      <c r="L172" s="378"/>
      <c r="M172" s="396"/>
      <c r="N172" s="396"/>
      <c r="O172" s="396"/>
      <c r="P172" s="396"/>
      <c r="Q172" s="396"/>
      <c r="R172" s="396"/>
      <c r="S172" s="259"/>
      <c r="T172" s="259"/>
      <c r="U172" s="259"/>
      <c r="V172" s="259"/>
      <c r="W172" s="259"/>
    </row>
    <row r="173" spans="1:23" x14ac:dyDescent="0.25">
      <c r="A173" s="259"/>
      <c r="B173" s="378"/>
      <c r="C173" s="378"/>
      <c r="D173" s="378"/>
      <c r="E173" s="378"/>
      <c r="F173" s="378"/>
      <c r="G173" s="378"/>
      <c r="H173" s="378"/>
      <c r="I173" s="378"/>
      <c r="J173" s="378"/>
      <c r="K173" s="378"/>
      <c r="L173" s="378"/>
      <c r="M173" s="396"/>
      <c r="N173" s="396"/>
      <c r="O173" s="396"/>
      <c r="P173" s="396"/>
      <c r="Q173" s="396"/>
      <c r="R173" s="396"/>
      <c r="S173" s="259"/>
      <c r="T173" s="259"/>
      <c r="U173" s="259"/>
      <c r="V173" s="259"/>
      <c r="W173" s="259"/>
    </row>
    <row r="174" spans="1:23" x14ac:dyDescent="0.25">
      <c r="A174" s="259"/>
      <c r="B174" s="378"/>
      <c r="C174" s="378"/>
      <c r="D174" s="378"/>
      <c r="E174" s="378"/>
      <c r="F174" s="378"/>
      <c r="G174" s="378"/>
      <c r="H174" s="378"/>
      <c r="I174" s="378"/>
      <c r="J174" s="378"/>
      <c r="K174" s="378"/>
      <c r="L174" s="378"/>
      <c r="M174" s="396"/>
      <c r="N174" s="396"/>
      <c r="O174" s="396"/>
      <c r="P174" s="396"/>
      <c r="Q174" s="396"/>
      <c r="R174" s="396"/>
      <c r="S174" s="259"/>
      <c r="T174" s="259"/>
      <c r="U174" s="259"/>
      <c r="V174" s="259"/>
      <c r="W174" s="259"/>
    </row>
    <row r="175" spans="1:23" x14ac:dyDescent="0.25">
      <c r="A175" s="259"/>
      <c r="B175" s="378"/>
      <c r="C175" s="378"/>
      <c r="D175" s="378"/>
      <c r="E175" s="378"/>
      <c r="F175" s="378"/>
      <c r="G175" s="378"/>
      <c r="H175" s="378"/>
      <c r="I175" s="378"/>
      <c r="J175" s="378"/>
      <c r="K175" s="378"/>
      <c r="L175" s="378"/>
      <c r="M175" s="396"/>
      <c r="N175" s="396"/>
      <c r="O175" s="396"/>
      <c r="P175" s="396"/>
      <c r="Q175" s="396"/>
      <c r="R175" s="396"/>
      <c r="S175" s="259"/>
      <c r="T175" s="259"/>
      <c r="U175" s="259"/>
      <c r="V175" s="259"/>
      <c r="W175" s="259"/>
    </row>
    <row r="176" spans="1:23" x14ac:dyDescent="0.25">
      <c r="A176" s="259"/>
      <c r="B176" s="378"/>
      <c r="C176" s="378"/>
      <c r="D176" s="378"/>
      <c r="E176" s="378"/>
      <c r="F176" s="378"/>
      <c r="G176" s="378"/>
      <c r="H176" s="378"/>
      <c r="I176" s="378"/>
      <c r="J176" s="378"/>
      <c r="K176" s="378"/>
      <c r="L176" s="378"/>
      <c r="M176" s="396"/>
      <c r="N176" s="396"/>
      <c r="O176" s="396"/>
      <c r="P176" s="396"/>
      <c r="Q176" s="396"/>
      <c r="R176" s="396"/>
      <c r="S176" s="259"/>
      <c r="T176" s="259"/>
      <c r="U176" s="259"/>
      <c r="V176" s="259"/>
      <c r="W176" s="259"/>
    </row>
    <row r="177" spans="1:23" x14ac:dyDescent="0.25">
      <c r="A177" s="259"/>
      <c r="B177" s="378"/>
      <c r="C177" s="378"/>
      <c r="D177" s="378"/>
      <c r="E177" s="378"/>
      <c r="F177" s="378"/>
      <c r="G177" s="378"/>
      <c r="H177" s="378"/>
      <c r="I177" s="378"/>
      <c r="J177" s="378"/>
      <c r="K177" s="378"/>
      <c r="L177" s="378"/>
      <c r="M177" s="396"/>
      <c r="N177" s="396"/>
      <c r="O177" s="396"/>
      <c r="P177" s="396"/>
      <c r="Q177" s="396"/>
      <c r="R177" s="396"/>
      <c r="S177" s="259"/>
      <c r="T177" s="259"/>
      <c r="U177" s="259"/>
      <c r="V177" s="259"/>
      <c r="W177" s="259"/>
    </row>
    <row r="178" spans="1:23" x14ac:dyDescent="0.25">
      <c r="A178" s="259"/>
      <c r="B178" s="378"/>
      <c r="C178" s="378"/>
      <c r="D178" s="378"/>
      <c r="E178" s="378"/>
      <c r="F178" s="378"/>
      <c r="G178" s="378"/>
      <c r="H178" s="378"/>
      <c r="I178" s="378"/>
      <c r="J178" s="378"/>
      <c r="K178" s="378"/>
      <c r="L178" s="378"/>
      <c r="M178" s="396"/>
      <c r="N178" s="396"/>
      <c r="O178" s="396"/>
      <c r="P178" s="396"/>
      <c r="Q178" s="396"/>
      <c r="R178" s="396"/>
      <c r="S178" s="259"/>
      <c r="T178" s="259"/>
      <c r="U178" s="259"/>
      <c r="V178" s="259"/>
      <c r="W178" s="259"/>
    </row>
    <row r="179" spans="1:23" x14ac:dyDescent="0.25">
      <c r="A179" s="259"/>
      <c r="B179" s="378"/>
      <c r="C179" s="378"/>
      <c r="D179" s="378"/>
      <c r="E179" s="378"/>
      <c r="F179" s="378"/>
      <c r="G179" s="378"/>
      <c r="H179" s="378"/>
      <c r="I179" s="378"/>
      <c r="J179" s="378"/>
      <c r="K179" s="378"/>
      <c r="L179" s="378"/>
      <c r="M179" s="396"/>
      <c r="N179" s="396"/>
      <c r="O179" s="396"/>
      <c r="P179" s="396"/>
      <c r="Q179" s="396"/>
      <c r="R179" s="396"/>
      <c r="S179" s="259"/>
      <c r="T179" s="259"/>
      <c r="U179" s="259"/>
      <c r="V179" s="259"/>
      <c r="W179" s="259"/>
    </row>
    <row r="180" spans="1:23" x14ac:dyDescent="0.25">
      <c r="A180" s="259"/>
      <c r="B180" s="378"/>
      <c r="C180" s="378"/>
      <c r="D180" s="378"/>
      <c r="E180" s="378"/>
      <c r="F180" s="378"/>
      <c r="G180" s="378"/>
      <c r="H180" s="378"/>
      <c r="I180" s="378"/>
      <c r="J180" s="378"/>
      <c r="K180" s="378"/>
      <c r="L180" s="378"/>
      <c r="M180" s="396"/>
      <c r="N180" s="396"/>
      <c r="O180" s="396"/>
      <c r="P180" s="396"/>
      <c r="Q180" s="396"/>
      <c r="R180" s="396"/>
      <c r="S180" s="259"/>
      <c r="T180" s="259"/>
      <c r="U180" s="259"/>
      <c r="V180" s="259"/>
      <c r="W180" s="259"/>
    </row>
    <row r="181" spans="1:23" x14ac:dyDescent="0.25">
      <c r="A181" s="259"/>
      <c r="B181" s="378"/>
      <c r="C181" s="378"/>
      <c r="D181" s="378"/>
      <c r="E181" s="378"/>
      <c r="F181" s="378"/>
      <c r="G181" s="378"/>
      <c r="H181" s="378"/>
      <c r="I181" s="378"/>
      <c r="J181" s="378"/>
      <c r="K181" s="378"/>
      <c r="L181" s="378"/>
      <c r="M181" s="396"/>
      <c r="N181" s="396"/>
      <c r="O181" s="396"/>
      <c r="P181" s="396"/>
      <c r="Q181" s="396"/>
      <c r="R181" s="396"/>
      <c r="S181" s="259"/>
      <c r="T181" s="259"/>
      <c r="U181" s="259"/>
      <c r="V181" s="259"/>
      <c r="W181" s="259"/>
    </row>
    <row r="182" spans="1:23" x14ac:dyDescent="0.25">
      <c r="A182" s="259"/>
      <c r="B182" s="378"/>
      <c r="C182" s="378"/>
      <c r="D182" s="378"/>
      <c r="E182" s="378"/>
      <c r="F182" s="378"/>
      <c r="G182" s="378"/>
      <c r="H182" s="378"/>
      <c r="I182" s="378"/>
      <c r="J182" s="378"/>
      <c r="K182" s="378"/>
      <c r="L182" s="378"/>
      <c r="M182" s="396"/>
      <c r="N182" s="396"/>
      <c r="O182" s="396"/>
      <c r="P182" s="396"/>
      <c r="Q182" s="396"/>
      <c r="R182" s="396"/>
      <c r="S182" s="259"/>
      <c r="T182" s="259"/>
      <c r="U182" s="259"/>
      <c r="V182" s="259"/>
      <c r="W182" s="259"/>
    </row>
    <row r="183" spans="1:23" x14ac:dyDescent="0.25">
      <c r="A183" s="259"/>
      <c r="B183" s="378"/>
      <c r="C183" s="378"/>
      <c r="D183" s="378"/>
      <c r="E183" s="378"/>
      <c r="F183" s="378"/>
      <c r="G183" s="378"/>
      <c r="H183" s="378"/>
      <c r="I183" s="378"/>
      <c r="J183" s="378"/>
      <c r="K183" s="378"/>
      <c r="L183" s="378"/>
      <c r="M183" s="396"/>
      <c r="N183" s="396"/>
      <c r="O183" s="396"/>
      <c r="P183" s="396"/>
      <c r="Q183" s="396"/>
      <c r="R183" s="396"/>
      <c r="S183" s="259"/>
      <c r="T183" s="259"/>
      <c r="U183" s="259"/>
      <c r="V183" s="259"/>
      <c r="W183" s="259"/>
    </row>
    <row r="184" spans="1:23" x14ac:dyDescent="0.25">
      <c r="A184" s="259"/>
      <c r="B184" s="378"/>
      <c r="C184" s="378"/>
      <c r="D184" s="378"/>
      <c r="E184" s="378"/>
      <c r="F184" s="378"/>
      <c r="G184" s="378"/>
      <c r="H184" s="378"/>
      <c r="I184" s="378"/>
      <c r="J184" s="378"/>
      <c r="K184" s="378"/>
      <c r="L184" s="378"/>
      <c r="M184" s="396"/>
      <c r="N184" s="396"/>
      <c r="O184" s="396"/>
      <c r="P184" s="396"/>
      <c r="Q184" s="396"/>
      <c r="R184" s="396"/>
      <c r="S184" s="259"/>
      <c r="T184" s="259"/>
      <c r="U184" s="259"/>
      <c r="V184" s="259"/>
      <c r="W184" s="259"/>
    </row>
    <row r="185" spans="1:23" x14ac:dyDescent="0.25">
      <c r="A185" s="259"/>
      <c r="B185" s="378"/>
      <c r="C185" s="378"/>
      <c r="D185" s="378"/>
      <c r="E185" s="378"/>
      <c r="F185" s="378"/>
      <c r="G185" s="378"/>
      <c r="H185" s="378"/>
      <c r="I185" s="378"/>
      <c r="J185" s="378"/>
      <c r="K185" s="378"/>
      <c r="L185" s="378"/>
      <c r="M185" s="396"/>
      <c r="N185" s="396"/>
      <c r="O185" s="396"/>
      <c r="P185" s="396"/>
      <c r="Q185" s="396"/>
      <c r="R185" s="396"/>
      <c r="S185" s="259"/>
      <c r="T185" s="259"/>
      <c r="U185" s="259"/>
      <c r="V185" s="259"/>
      <c r="W185" s="259"/>
    </row>
    <row r="186" spans="1:23" x14ac:dyDescent="0.25">
      <c r="A186" s="259"/>
      <c r="B186" s="378"/>
      <c r="C186" s="378"/>
      <c r="D186" s="378"/>
      <c r="E186" s="378"/>
      <c r="F186" s="378"/>
      <c r="G186" s="378"/>
      <c r="H186" s="378"/>
      <c r="I186" s="378"/>
      <c r="J186" s="378"/>
      <c r="K186" s="378"/>
      <c r="L186" s="378"/>
      <c r="M186" s="396"/>
      <c r="N186" s="396"/>
      <c r="O186" s="396"/>
      <c r="P186" s="396"/>
      <c r="Q186" s="396"/>
      <c r="R186" s="396"/>
      <c r="S186" s="259"/>
      <c r="T186" s="259"/>
      <c r="U186" s="259"/>
      <c r="V186" s="259"/>
      <c r="W186" s="259"/>
    </row>
    <row r="187" spans="1:23" x14ac:dyDescent="0.25">
      <c r="A187" s="259"/>
      <c r="B187" s="378"/>
      <c r="C187" s="378"/>
      <c r="D187" s="378"/>
      <c r="E187" s="378"/>
      <c r="F187" s="378"/>
      <c r="G187" s="378"/>
      <c r="H187" s="378"/>
      <c r="I187" s="378"/>
      <c r="J187" s="378"/>
      <c r="K187" s="378"/>
      <c r="L187" s="378"/>
      <c r="M187" s="396"/>
      <c r="N187" s="396"/>
      <c r="O187" s="396"/>
      <c r="P187" s="396"/>
      <c r="Q187" s="396"/>
      <c r="R187" s="396"/>
      <c r="S187" s="259"/>
      <c r="T187" s="259"/>
      <c r="U187" s="259"/>
      <c r="V187" s="259"/>
      <c r="W187" s="259"/>
    </row>
    <row r="188" spans="1:23" x14ac:dyDescent="0.25">
      <c r="A188" s="259"/>
      <c r="B188" s="378"/>
      <c r="C188" s="378"/>
      <c r="D188" s="378"/>
      <c r="E188" s="378"/>
      <c r="F188" s="378"/>
      <c r="G188" s="378"/>
      <c r="H188" s="378"/>
      <c r="I188" s="378"/>
      <c r="J188" s="378"/>
      <c r="K188" s="378"/>
      <c r="L188" s="378"/>
      <c r="M188" s="396"/>
      <c r="N188" s="396"/>
      <c r="O188" s="396"/>
      <c r="P188" s="396"/>
      <c r="Q188" s="396"/>
      <c r="R188" s="396"/>
      <c r="S188" s="259"/>
      <c r="T188" s="259"/>
      <c r="U188" s="259"/>
      <c r="V188" s="259"/>
      <c r="W188" s="259"/>
    </row>
    <row r="189" spans="1:23" x14ac:dyDescent="0.25">
      <c r="A189" s="259"/>
      <c r="B189" s="378"/>
      <c r="C189" s="378"/>
      <c r="D189" s="378"/>
      <c r="E189" s="378"/>
      <c r="F189" s="378"/>
      <c r="G189" s="378"/>
      <c r="H189" s="378"/>
      <c r="I189" s="378"/>
      <c r="J189" s="378"/>
      <c r="K189" s="378"/>
      <c r="L189" s="378"/>
      <c r="M189" s="396"/>
      <c r="N189" s="396"/>
      <c r="O189" s="396"/>
      <c r="P189" s="396"/>
      <c r="Q189" s="396"/>
      <c r="R189" s="396"/>
      <c r="S189" s="259"/>
      <c r="T189" s="259"/>
      <c r="U189" s="259"/>
      <c r="V189" s="259"/>
      <c r="W189" s="259"/>
    </row>
    <row r="190" spans="1:23" x14ac:dyDescent="0.25">
      <c r="A190" s="259"/>
      <c r="B190" s="378"/>
      <c r="C190" s="378"/>
      <c r="D190" s="378"/>
      <c r="E190" s="378"/>
      <c r="F190" s="378"/>
      <c r="G190" s="378"/>
      <c r="H190" s="378"/>
      <c r="I190" s="378"/>
      <c r="J190" s="378"/>
      <c r="K190" s="378"/>
      <c r="L190" s="378"/>
      <c r="M190" s="396"/>
      <c r="N190" s="396"/>
      <c r="O190" s="396"/>
      <c r="P190" s="396"/>
      <c r="Q190" s="396"/>
      <c r="R190" s="396"/>
      <c r="S190" s="259"/>
      <c r="T190" s="259"/>
      <c r="U190" s="259"/>
      <c r="V190" s="259"/>
      <c r="W190" s="259"/>
    </row>
    <row r="191" spans="1:23" x14ac:dyDescent="0.25">
      <c r="A191" s="259"/>
      <c r="B191" s="378"/>
      <c r="C191" s="378"/>
      <c r="D191" s="378"/>
      <c r="E191" s="378"/>
      <c r="F191" s="378"/>
      <c r="G191" s="378"/>
      <c r="H191" s="378"/>
      <c r="I191" s="378"/>
      <c r="J191" s="378"/>
      <c r="K191" s="378"/>
      <c r="L191" s="378"/>
      <c r="M191" s="396"/>
      <c r="N191" s="396"/>
      <c r="O191" s="396"/>
      <c r="P191" s="396"/>
      <c r="Q191" s="396"/>
      <c r="R191" s="396"/>
      <c r="S191" s="259"/>
      <c r="T191" s="259"/>
      <c r="U191" s="259"/>
      <c r="V191" s="259"/>
      <c r="W191" s="259"/>
    </row>
    <row r="192" spans="1:23" x14ac:dyDescent="0.25">
      <c r="A192" s="259"/>
      <c r="B192" s="378"/>
      <c r="C192" s="378"/>
      <c r="D192" s="378"/>
      <c r="E192" s="378"/>
      <c r="F192" s="378"/>
      <c r="G192" s="378"/>
      <c r="H192" s="378"/>
      <c r="I192" s="378"/>
      <c r="J192" s="378"/>
      <c r="K192" s="378"/>
      <c r="L192" s="378"/>
      <c r="M192" s="396"/>
      <c r="N192" s="396"/>
      <c r="O192" s="396"/>
      <c r="P192" s="396"/>
      <c r="Q192" s="396"/>
      <c r="R192" s="396"/>
      <c r="S192" s="259"/>
      <c r="T192" s="259"/>
      <c r="U192" s="259"/>
      <c r="V192" s="259"/>
      <c r="W192" s="259"/>
    </row>
    <row r="193" spans="1:23" x14ac:dyDescent="0.25">
      <c r="A193" s="259"/>
      <c r="B193" s="378"/>
      <c r="C193" s="378"/>
      <c r="D193" s="378"/>
      <c r="E193" s="378"/>
      <c r="F193" s="378"/>
      <c r="G193" s="378"/>
      <c r="H193" s="378"/>
      <c r="I193" s="378"/>
      <c r="J193" s="378"/>
      <c r="K193" s="378"/>
      <c r="L193" s="378"/>
      <c r="M193" s="396"/>
      <c r="N193" s="396"/>
      <c r="O193" s="396"/>
      <c r="P193" s="396"/>
      <c r="Q193" s="396"/>
      <c r="R193" s="396"/>
      <c r="S193" s="259"/>
      <c r="T193" s="259"/>
      <c r="U193" s="259"/>
      <c r="V193" s="259"/>
      <c r="W193" s="259"/>
    </row>
    <row r="194" spans="1:23" x14ac:dyDescent="0.25">
      <c r="A194" s="259"/>
      <c r="B194" s="378"/>
      <c r="C194" s="378"/>
      <c r="D194" s="378"/>
      <c r="E194" s="378"/>
      <c r="F194" s="378"/>
      <c r="G194" s="378"/>
      <c r="H194" s="378"/>
      <c r="I194" s="378"/>
      <c r="J194" s="378"/>
      <c r="K194" s="378"/>
      <c r="L194" s="378"/>
      <c r="M194" s="396"/>
      <c r="N194" s="396"/>
      <c r="O194" s="396"/>
      <c r="P194" s="396"/>
      <c r="Q194" s="396"/>
      <c r="R194" s="396"/>
      <c r="S194" s="259"/>
      <c r="T194" s="259"/>
      <c r="U194" s="259"/>
      <c r="V194" s="259"/>
      <c r="W194" s="259"/>
    </row>
    <row r="195" spans="1:23" x14ac:dyDescent="0.25">
      <c r="A195" s="259"/>
      <c r="B195" s="378"/>
      <c r="C195" s="378"/>
      <c r="D195" s="378"/>
      <c r="E195" s="378"/>
      <c r="F195" s="378"/>
      <c r="G195" s="378"/>
      <c r="H195" s="378"/>
      <c r="I195" s="378"/>
      <c r="J195" s="378"/>
      <c r="K195" s="378"/>
      <c r="L195" s="378"/>
      <c r="M195" s="396"/>
      <c r="N195" s="396"/>
      <c r="O195" s="396"/>
      <c r="P195" s="396"/>
      <c r="Q195" s="396"/>
      <c r="R195" s="396"/>
      <c r="S195" s="259"/>
      <c r="T195" s="259"/>
      <c r="U195" s="259"/>
      <c r="V195" s="259"/>
      <c r="W195" s="259"/>
    </row>
    <row r="196" spans="1:23" x14ac:dyDescent="0.25">
      <c r="A196" s="259"/>
      <c r="B196" s="378"/>
      <c r="C196" s="378"/>
      <c r="D196" s="378"/>
      <c r="E196" s="378"/>
      <c r="F196" s="378"/>
      <c r="G196" s="378"/>
      <c r="H196" s="378"/>
      <c r="I196" s="378"/>
      <c r="J196" s="378"/>
      <c r="K196" s="378"/>
      <c r="L196" s="378"/>
      <c r="M196" s="396"/>
      <c r="N196" s="396"/>
      <c r="O196" s="396"/>
      <c r="P196" s="396"/>
      <c r="Q196" s="396"/>
      <c r="R196" s="396"/>
      <c r="S196" s="259"/>
      <c r="T196" s="259"/>
      <c r="U196" s="259"/>
      <c r="V196" s="259"/>
      <c r="W196" s="259"/>
    </row>
    <row r="197" spans="1:23" x14ac:dyDescent="0.25">
      <c r="A197" s="259"/>
      <c r="B197" s="378"/>
      <c r="C197" s="378"/>
      <c r="D197" s="378"/>
      <c r="E197" s="378"/>
      <c r="F197" s="378"/>
      <c r="G197" s="378"/>
      <c r="H197" s="378"/>
      <c r="I197" s="378"/>
      <c r="J197" s="378"/>
      <c r="K197" s="378"/>
      <c r="L197" s="378"/>
      <c r="M197" s="396"/>
      <c r="N197" s="396"/>
      <c r="O197" s="396"/>
      <c r="P197" s="396"/>
      <c r="Q197" s="396"/>
      <c r="R197" s="396"/>
      <c r="S197" s="259"/>
      <c r="T197" s="259"/>
      <c r="U197" s="259"/>
      <c r="V197" s="259"/>
      <c r="W197" s="259"/>
    </row>
    <row r="198" spans="1:23" x14ac:dyDescent="0.25">
      <c r="A198" s="259"/>
      <c r="B198" s="378"/>
      <c r="C198" s="378"/>
      <c r="D198" s="378"/>
      <c r="E198" s="378"/>
      <c r="F198" s="378"/>
      <c r="G198" s="378"/>
      <c r="H198" s="378"/>
      <c r="I198" s="378"/>
      <c r="J198" s="378"/>
      <c r="K198" s="378"/>
      <c r="L198" s="378"/>
      <c r="M198" s="396"/>
      <c r="N198" s="396"/>
      <c r="O198" s="396"/>
      <c r="P198" s="396"/>
      <c r="Q198" s="396"/>
      <c r="R198" s="396"/>
      <c r="S198" s="259"/>
      <c r="T198" s="259"/>
      <c r="U198" s="259"/>
      <c r="V198" s="259"/>
      <c r="W198" s="259"/>
    </row>
    <row r="199" spans="1:23" x14ac:dyDescent="0.25">
      <c r="A199" s="259"/>
      <c r="B199" s="378"/>
      <c r="C199" s="378"/>
      <c r="D199" s="378"/>
      <c r="E199" s="378"/>
      <c r="F199" s="378"/>
      <c r="G199" s="378"/>
      <c r="H199" s="378"/>
      <c r="I199" s="378"/>
      <c r="J199" s="378"/>
      <c r="K199" s="378"/>
      <c r="L199" s="378"/>
      <c r="M199" s="396"/>
      <c r="N199" s="396"/>
      <c r="O199" s="396"/>
      <c r="P199" s="396"/>
      <c r="Q199" s="396"/>
      <c r="R199" s="396"/>
      <c r="S199" s="259"/>
      <c r="T199" s="259"/>
      <c r="U199" s="259"/>
      <c r="V199" s="259"/>
      <c r="W199" s="259"/>
    </row>
    <row r="200" spans="1:23" x14ac:dyDescent="0.25">
      <c r="A200" s="259"/>
      <c r="B200" s="378"/>
      <c r="C200" s="378"/>
      <c r="D200" s="378"/>
      <c r="E200" s="378"/>
      <c r="F200" s="378"/>
      <c r="G200" s="378"/>
      <c r="H200" s="378"/>
      <c r="I200" s="378"/>
      <c r="J200" s="378"/>
      <c r="K200" s="378"/>
      <c r="L200" s="378"/>
      <c r="M200" s="396"/>
      <c r="N200" s="396"/>
      <c r="O200" s="396"/>
      <c r="P200" s="396"/>
      <c r="Q200" s="396"/>
      <c r="R200" s="396"/>
      <c r="S200" s="259"/>
      <c r="T200" s="259"/>
      <c r="U200" s="259"/>
      <c r="V200" s="259"/>
      <c r="W200" s="259"/>
    </row>
    <row r="201" spans="1:23" x14ac:dyDescent="0.25">
      <c r="A201" s="259"/>
      <c r="B201" s="378"/>
      <c r="C201" s="378"/>
      <c r="D201" s="378"/>
      <c r="E201" s="378"/>
      <c r="F201" s="378"/>
      <c r="G201" s="378"/>
      <c r="H201" s="378"/>
      <c r="I201" s="378"/>
      <c r="J201" s="378"/>
      <c r="K201" s="378"/>
      <c r="L201" s="378"/>
      <c r="M201" s="396"/>
      <c r="N201" s="396"/>
      <c r="O201" s="396"/>
      <c r="P201" s="396"/>
      <c r="Q201" s="396"/>
      <c r="R201" s="396"/>
      <c r="S201" s="259"/>
      <c r="T201" s="259"/>
      <c r="U201" s="259"/>
      <c r="V201" s="259"/>
      <c r="W201" s="259"/>
    </row>
    <row r="202" spans="1:23" x14ac:dyDescent="0.25">
      <c r="A202" s="259"/>
      <c r="B202" s="378"/>
      <c r="C202" s="378"/>
      <c r="D202" s="378"/>
      <c r="E202" s="378"/>
      <c r="F202" s="378"/>
      <c r="G202" s="378"/>
      <c r="H202" s="378"/>
      <c r="I202" s="378"/>
      <c r="J202" s="378"/>
      <c r="K202" s="378"/>
      <c r="L202" s="378"/>
      <c r="M202" s="396"/>
      <c r="N202" s="396"/>
      <c r="O202" s="396"/>
      <c r="P202" s="396"/>
      <c r="Q202" s="396"/>
      <c r="R202" s="396"/>
      <c r="S202" s="259"/>
      <c r="T202" s="259"/>
      <c r="U202" s="259"/>
      <c r="V202" s="259"/>
      <c r="W202" s="259"/>
    </row>
    <row r="203" spans="1:23" x14ac:dyDescent="0.25">
      <c r="A203" s="259"/>
      <c r="B203" s="378"/>
      <c r="C203" s="378"/>
      <c r="D203" s="378"/>
      <c r="E203" s="378"/>
      <c r="F203" s="378"/>
      <c r="G203" s="378"/>
      <c r="H203" s="378"/>
      <c r="I203" s="378"/>
      <c r="J203" s="378"/>
      <c r="K203" s="378"/>
      <c r="L203" s="378"/>
      <c r="M203" s="396"/>
      <c r="N203" s="396"/>
      <c r="O203" s="396"/>
      <c r="P203" s="396"/>
      <c r="Q203" s="396"/>
      <c r="R203" s="396"/>
      <c r="S203" s="259"/>
      <c r="T203" s="259"/>
      <c r="U203" s="259"/>
      <c r="V203" s="259"/>
      <c r="W203" s="259"/>
    </row>
    <row r="204" spans="1:23" x14ac:dyDescent="0.25">
      <c r="A204" s="259"/>
      <c r="B204" s="378"/>
      <c r="C204" s="378"/>
      <c r="D204" s="378"/>
      <c r="E204" s="378"/>
      <c r="F204" s="378"/>
      <c r="G204" s="378"/>
      <c r="H204" s="378"/>
      <c r="I204" s="378"/>
      <c r="J204" s="378"/>
      <c r="K204" s="378"/>
      <c r="L204" s="378"/>
      <c r="M204" s="396"/>
      <c r="N204" s="396"/>
      <c r="O204" s="396"/>
      <c r="P204" s="396"/>
      <c r="Q204" s="396"/>
      <c r="R204" s="396"/>
      <c r="S204" s="259"/>
      <c r="T204" s="259"/>
      <c r="U204" s="259"/>
      <c r="V204" s="259"/>
      <c r="W204" s="259"/>
    </row>
    <row r="205" spans="1:23" x14ac:dyDescent="0.25">
      <c r="A205" s="259"/>
      <c r="B205" s="378"/>
      <c r="C205" s="378"/>
      <c r="D205" s="378"/>
      <c r="E205" s="378"/>
      <c r="F205" s="378"/>
      <c r="G205" s="378"/>
      <c r="H205" s="378"/>
      <c r="I205" s="378"/>
      <c r="J205" s="378"/>
      <c r="K205" s="378"/>
      <c r="L205" s="378"/>
      <c r="M205" s="396"/>
      <c r="N205" s="396"/>
      <c r="O205" s="396"/>
      <c r="P205" s="396"/>
      <c r="Q205" s="396"/>
      <c r="R205" s="396"/>
      <c r="S205" s="259"/>
      <c r="T205" s="259"/>
      <c r="U205" s="259"/>
      <c r="V205" s="259"/>
      <c r="W205" s="259"/>
    </row>
    <row r="206" spans="1:23" x14ac:dyDescent="0.25">
      <c r="A206" s="259"/>
      <c r="B206" s="378"/>
      <c r="C206" s="378"/>
      <c r="D206" s="378"/>
      <c r="E206" s="378"/>
      <c r="F206" s="378"/>
      <c r="G206" s="378"/>
      <c r="H206" s="378"/>
      <c r="I206" s="378"/>
      <c r="J206" s="378"/>
      <c r="K206" s="378"/>
      <c r="L206" s="378"/>
      <c r="M206" s="396"/>
      <c r="N206" s="396"/>
      <c r="O206" s="396"/>
      <c r="P206" s="396"/>
      <c r="Q206" s="396"/>
      <c r="R206" s="396"/>
      <c r="S206" s="259"/>
      <c r="T206" s="259"/>
      <c r="U206" s="259"/>
      <c r="V206" s="259"/>
      <c r="W206" s="259"/>
    </row>
    <row r="207" spans="1:23" x14ac:dyDescent="0.25">
      <c r="A207" s="259"/>
      <c r="B207" s="378"/>
      <c r="C207" s="378"/>
      <c r="D207" s="378"/>
      <c r="E207" s="378"/>
      <c r="F207" s="378"/>
      <c r="G207" s="378"/>
      <c r="H207" s="378"/>
      <c r="I207" s="378"/>
      <c r="J207" s="378"/>
      <c r="K207" s="378"/>
      <c r="L207" s="378"/>
      <c r="M207" s="396"/>
      <c r="N207" s="396"/>
      <c r="O207" s="396"/>
      <c r="P207" s="396"/>
      <c r="Q207" s="396"/>
      <c r="R207" s="396"/>
      <c r="S207" s="259"/>
      <c r="T207" s="259"/>
      <c r="U207" s="259"/>
      <c r="V207" s="259"/>
      <c r="W207" s="259"/>
    </row>
    <row r="208" spans="1:23" x14ac:dyDescent="0.25">
      <c r="A208" s="259"/>
      <c r="B208" s="378"/>
      <c r="C208" s="378"/>
      <c r="D208" s="378"/>
      <c r="E208" s="378"/>
      <c r="F208" s="378"/>
      <c r="G208" s="378"/>
      <c r="H208" s="378"/>
      <c r="I208" s="378"/>
      <c r="J208" s="378"/>
      <c r="K208" s="378"/>
      <c r="L208" s="378"/>
      <c r="M208" s="396"/>
      <c r="N208" s="396"/>
      <c r="O208" s="396"/>
      <c r="P208" s="396"/>
      <c r="Q208" s="396"/>
      <c r="R208" s="396"/>
      <c r="S208" s="259"/>
      <c r="T208" s="259"/>
      <c r="U208" s="259"/>
      <c r="V208" s="259"/>
      <c r="W208" s="259"/>
    </row>
    <row r="209" spans="1:23" x14ac:dyDescent="0.25">
      <c r="A209" s="259"/>
      <c r="B209" s="378"/>
      <c r="C209" s="378"/>
      <c r="D209" s="378"/>
      <c r="E209" s="378"/>
      <c r="F209" s="378"/>
      <c r="G209" s="378"/>
      <c r="H209" s="378"/>
      <c r="I209" s="378"/>
      <c r="J209" s="378"/>
      <c r="K209" s="378"/>
      <c r="L209" s="378"/>
      <c r="M209" s="396"/>
      <c r="N209" s="396"/>
      <c r="O209" s="396"/>
      <c r="P209" s="396"/>
      <c r="Q209" s="396"/>
      <c r="R209" s="396"/>
      <c r="S209" s="259"/>
      <c r="T209" s="259"/>
      <c r="U209" s="259"/>
      <c r="V209" s="259"/>
      <c r="W209" s="259"/>
    </row>
    <row r="210" spans="1:23" x14ac:dyDescent="0.25">
      <c r="A210" s="259"/>
      <c r="B210" s="378"/>
      <c r="C210" s="378"/>
      <c r="D210" s="378"/>
      <c r="E210" s="378"/>
      <c r="F210" s="378"/>
      <c r="G210" s="378"/>
      <c r="H210" s="378"/>
      <c r="I210" s="378"/>
      <c r="J210" s="378"/>
      <c r="K210" s="378"/>
      <c r="L210" s="378"/>
      <c r="M210" s="396"/>
      <c r="N210" s="396"/>
      <c r="O210" s="396"/>
      <c r="P210" s="396"/>
      <c r="Q210" s="396"/>
      <c r="R210" s="396"/>
      <c r="S210" s="259"/>
      <c r="T210" s="259"/>
      <c r="U210" s="259"/>
      <c r="V210" s="259"/>
      <c r="W210" s="259"/>
    </row>
    <row r="211" spans="1:23" x14ac:dyDescent="0.25">
      <c r="A211" s="259"/>
      <c r="B211" s="378"/>
      <c r="C211" s="378"/>
      <c r="D211" s="378"/>
      <c r="E211" s="378"/>
      <c r="F211" s="378"/>
      <c r="G211" s="378"/>
      <c r="H211" s="378"/>
      <c r="I211" s="378"/>
      <c r="J211" s="378"/>
      <c r="K211" s="378"/>
      <c r="L211" s="378"/>
      <c r="M211" s="396"/>
      <c r="N211" s="396"/>
      <c r="O211" s="396"/>
      <c r="P211" s="396"/>
      <c r="Q211" s="396"/>
      <c r="R211" s="396"/>
      <c r="S211" s="259"/>
      <c r="T211" s="259"/>
      <c r="U211" s="259"/>
      <c r="V211" s="259"/>
      <c r="W211" s="259"/>
    </row>
    <row r="212" spans="1:23" x14ac:dyDescent="0.25">
      <c r="A212" s="259"/>
      <c r="B212" s="378"/>
      <c r="C212" s="378"/>
      <c r="D212" s="378"/>
      <c r="E212" s="378"/>
      <c r="F212" s="378"/>
      <c r="G212" s="378"/>
      <c r="H212" s="378"/>
      <c r="I212" s="378"/>
      <c r="J212" s="378"/>
      <c r="K212" s="378"/>
      <c r="L212" s="378"/>
      <c r="M212" s="396"/>
      <c r="N212" s="396"/>
      <c r="O212" s="396"/>
      <c r="P212" s="396"/>
      <c r="Q212" s="396"/>
      <c r="R212" s="396"/>
      <c r="S212" s="259"/>
      <c r="T212" s="259"/>
      <c r="U212" s="259"/>
      <c r="V212" s="259"/>
      <c r="W212" s="259"/>
    </row>
    <row r="213" spans="1:23" x14ac:dyDescent="0.25">
      <c r="A213" s="259"/>
      <c r="B213" s="378"/>
      <c r="C213" s="378"/>
      <c r="D213" s="378"/>
      <c r="E213" s="378"/>
      <c r="F213" s="378"/>
      <c r="G213" s="378"/>
      <c r="H213" s="378"/>
      <c r="I213" s="378"/>
      <c r="J213" s="378"/>
      <c r="K213" s="378"/>
      <c r="L213" s="378"/>
      <c r="M213" s="396"/>
      <c r="N213" s="396"/>
      <c r="O213" s="396"/>
      <c r="P213" s="396"/>
      <c r="Q213" s="396"/>
      <c r="R213" s="396"/>
      <c r="S213" s="259"/>
      <c r="T213" s="259"/>
      <c r="U213" s="259"/>
      <c r="V213" s="259"/>
      <c r="W213" s="259"/>
    </row>
    <row r="214" spans="1:23" x14ac:dyDescent="0.25">
      <c r="A214" s="259"/>
      <c r="B214" s="378"/>
      <c r="C214" s="378"/>
      <c r="D214" s="378"/>
      <c r="E214" s="378"/>
      <c r="F214" s="378"/>
      <c r="G214" s="378"/>
      <c r="H214" s="378"/>
      <c r="I214" s="378"/>
      <c r="J214" s="378"/>
      <c r="K214" s="378"/>
      <c r="L214" s="378"/>
      <c r="M214" s="396"/>
      <c r="N214" s="396"/>
      <c r="O214" s="396"/>
      <c r="P214" s="396"/>
      <c r="Q214" s="396"/>
      <c r="R214" s="396"/>
      <c r="S214" s="259"/>
      <c r="T214" s="259"/>
      <c r="U214" s="259"/>
      <c r="V214" s="259"/>
      <c r="W214" s="259"/>
    </row>
    <row r="215" spans="1:23" x14ac:dyDescent="0.25">
      <c r="A215" s="259"/>
      <c r="B215" s="378"/>
      <c r="C215" s="378"/>
      <c r="D215" s="378"/>
      <c r="E215" s="378"/>
      <c r="F215" s="378"/>
      <c r="G215" s="378"/>
      <c r="H215" s="378"/>
      <c r="I215" s="378"/>
      <c r="J215" s="378"/>
      <c r="K215" s="378"/>
      <c r="L215" s="378"/>
      <c r="M215" s="396"/>
      <c r="N215" s="396"/>
      <c r="O215" s="396"/>
      <c r="P215" s="396"/>
      <c r="Q215" s="396"/>
      <c r="R215" s="396"/>
      <c r="S215" s="259"/>
      <c r="T215" s="259"/>
      <c r="U215" s="259"/>
      <c r="V215" s="259"/>
      <c r="W215" s="259"/>
    </row>
    <row r="216" spans="1:23" x14ac:dyDescent="0.25">
      <c r="A216" s="259"/>
      <c r="B216" s="378"/>
      <c r="C216" s="378"/>
      <c r="D216" s="378"/>
      <c r="E216" s="378"/>
      <c r="F216" s="378"/>
      <c r="G216" s="378"/>
      <c r="H216" s="378"/>
      <c r="I216" s="378"/>
      <c r="J216" s="378"/>
      <c r="K216" s="378"/>
      <c r="L216" s="378"/>
      <c r="M216" s="396"/>
      <c r="N216" s="396"/>
      <c r="O216" s="396"/>
      <c r="P216" s="396"/>
      <c r="Q216" s="396"/>
      <c r="R216" s="396"/>
      <c r="S216" s="259"/>
      <c r="T216" s="259"/>
      <c r="U216" s="259"/>
      <c r="V216" s="259"/>
      <c r="W216" s="259"/>
    </row>
    <row r="217" spans="1:23" x14ac:dyDescent="0.25">
      <c r="A217" s="259"/>
      <c r="B217" s="378"/>
      <c r="C217" s="378"/>
      <c r="D217" s="378"/>
      <c r="E217" s="378"/>
      <c r="F217" s="378"/>
      <c r="G217" s="378"/>
      <c r="H217" s="378"/>
      <c r="I217" s="378"/>
      <c r="J217" s="378"/>
      <c r="K217" s="378"/>
      <c r="L217" s="378"/>
      <c r="M217" s="396"/>
      <c r="N217" s="396"/>
      <c r="O217" s="396"/>
      <c r="P217" s="396"/>
      <c r="Q217" s="396"/>
      <c r="R217" s="396"/>
      <c r="S217" s="259"/>
      <c r="T217" s="259"/>
      <c r="U217" s="259"/>
      <c r="V217" s="259"/>
      <c r="W217" s="259"/>
    </row>
    <row r="218" spans="1:23" x14ac:dyDescent="0.25">
      <c r="A218" s="259"/>
      <c r="B218" s="378"/>
      <c r="C218" s="378"/>
      <c r="D218" s="378"/>
      <c r="E218" s="378"/>
      <c r="F218" s="378"/>
      <c r="G218" s="378"/>
      <c r="H218" s="378"/>
      <c r="I218" s="378"/>
      <c r="J218" s="378"/>
      <c r="K218" s="378"/>
      <c r="L218" s="378"/>
      <c r="M218" s="396"/>
      <c r="N218" s="396"/>
      <c r="O218" s="396"/>
      <c r="P218" s="396"/>
      <c r="Q218" s="396"/>
      <c r="R218" s="396"/>
      <c r="S218" s="259"/>
      <c r="T218" s="259"/>
      <c r="U218" s="259"/>
      <c r="V218" s="259"/>
      <c r="W218" s="259"/>
    </row>
    <row r="219" spans="1:23" x14ac:dyDescent="0.25">
      <c r="A219" s="259"/>
      <c r="B219" s="378"/>
      <c r="C219" s="378"/>
      <c r="D219" s="378"/>
      <c r="E219" s="378"/>
      <c r="F219" s="378"/>
      <c r="G219" s="378"/>
      <c r="H219" s="378"/>
      <c r="I219" s="378"/>
      <c r="J219" s="378"/>
      <c r="K219" s="378"/>
      <c r="L219" s="378"/>
      <c r="M219" s="396"/>
      <c r="N219" s="396"/>
      <c r="O219" s="396"/>
      <c r="P219" s="396"/>
      <c r="Q219" s="396"/>
      <c r="R219" s="396"/>
      <c r="S219" s="259"/>
      <c r="T219" s="259"/>
      <c r="U219" s="259"/>
      <c r="V219" s="259"/>
      <c r="W219" s="259"/>
    </row>
    <row r="220" spans="1:23" x14ac:dyDescent="0.25">
      <c r="A220" s="259"/>
      <c r="B220" s="378"/>
      <c r="C220" s="378"/>
      <c r="D220" s="378"/>
      <c r="E220" s="378"/>
      <c r="F220" s="378"/>
      <c r="G220" s="378"/>
      <c r="H220" s="378"/>
      <c r="I220" s="378"/>
      <c r="J220" s="378"/>
      <c r="K220" s="378"/>
      <c r="L220" s="378"/>
      <c r="M220" s="396"/>
      <c r="N220" s="396"/>
      <c r="O220" s="396"/>
      <c r="P220" s="396"/>
      <c r="Q220" s="396"/>
      <c r="R220" s="396"/>
      <c r="S220" s="259"/>
      <c r="T220" s="259"/>
      <c r="U220" s="259"/>
      <c r="V220" s="259"/>
      <c r="W220" s="259"/>
    </row>
    <row r="221" spans="1:23" x14ac:dyDescent="0.25">
      <c r="A221" s="259"/>
      <c r="B221" s="378"/>
      <c r="C221" s="378"/>
      <c r="D221" s="378"/>
      <c r="E221" s="378"/>
      <c r="F221" s="378"/>
      <c r="G221" s="378"/>
      <c r="H221" s="378"/>
      <c r="I221" s="378"/>
      <c r="J221" s="378"/>
      <c r="K221" s="378"/>
      <c r="L221" s="378"/>
      <c r="M221" s="396"/>
      <c r="N221" s="396"/>
      <c r="O221" s="396"/>
      <c r="P221" s="396"/>
      <c r="Q221" s="396"/>
      <c r="R221" s="396"/>
      <c r="S221" s="259"/>
      <c r="T221" s="259"/>
      <c r="U221" s="259"/>
      <c r="V221" s="259"/>
      <c r="W221" s="259"/>
    </row>
    <row r="222" spans="1:23" x14ac:dyDescent="0.25">
      <c r="A222" s="259"/>
      <c r="B222" s="378"/>
      <c r="C222" s="378"/>
      <c r="D222" s="378"/>
      <c r="E222" s="378"/>
      <c r="F222" s="378"/>
      <c r="G222" s="378"/>
      <c r="H222" s="378"/>
      <c r="I222" s="378"/>
      <c r="J222" s="378"/>
      <c r="K222" s="378"/>
      <c r="L222" s="378"/>
      <c r="M222" s="396"/>
      <c r="N222" s="396"/>
      <c r="O222" s="396"/>
      <c r="P222" s="396"/>
      <c r="Q222" s="396"/>
      <c r="R222" s="396"/>
      <c r="S222" s="259"/>
      <c r="T222" s="259"/>
      <c r="U222" s="259"/>
      <c r="V222" s="259"/>
      <c r="W222" s="259"/>
    </row>
    <row r="223" spans="1:23" x14ac:dyDescent="0.25">
      <c r="A223" s="259"/>
      <c r="B223" s="378"/>
      <c r="C223" s="378"/>
      <c r="D223" s="378"/>
      <c r="E223" s="378"/>
      <c r="F223" s="378"/>
      <c r="G223" s="378"/>
      <c r="H223" s="378"/>
      <c r="I223" s="378"/>
      <c r="J223" s="378"/>
      <c r="K223" s="378"/>
      <c r="L223" s="378"/>
      <c r="M223" s="396"/>
      <c r="N223" s="396"/>
      <c r="O223" s="396"/>
      <c r="P223" s="396"/>
      <c r="Q223" s="396"/>
      <c r="R223" s="396"/>
      <c r="S223" s="259"/>
      <c r="T223" s="259"/>
      <c r="U223" s="259"/>
      <c r="V223" s="259"/>
      <c r="W223" s="259"/>
    </row>
    <row r="224" spans="1:23" x14ac:dyDescent="0.25">
      <c r="A224" s="259"/>
      <c r="B224" s="378"/>
      <c r="C224" s="378"/>
      <c r="D224" s="378"/>
      <c r="E224" s="378"/>
      <c r="F224" s="378"/>
      <c r="G224" s="378"/>
      <c r="H224" s="378"/>
      <c r="I224" s="378"/>
      <c r="J224" s="378"/>
      <c r="K224" s="378"/>
      <c r="L224" s="378"/>
      <c r="M224" s="396"/>
      <c r="N224" s="396"/>
      <c r="O224" s="396"/>
      <c r="P224" s="396"/>
      <c r="Q224" s="396"/>
      <c r="R224" s="396"/>
      <c r="S224" s="259"/>
      <c r="T224" s="259"/>
      <c r="U224" s="259"/>
      <c r="V224" s="259"/>
      <c r="W224" s="259"/>
    </row>
    <row r="225" spans="1:23" x14ac:dyDescent="0.25">
      <c r="A225" s="259"/>
      <c r="B225" s="378"/>
      <c r="C225" s="378"/>
      <c r="D225" s="378"/>
      <c r="E225" s="378"/>
      <c r="F225" s="378"/>
      <c r="G225" s="378"/>
      <c r="H225" s="378"/>
      <c r="I225" s="378"/>
      <c r="J225" s="378"/>
      <c r="K225" s="378"/>
      <c r="L225" s="378"/>
      <c r="M225" s="396"/>
      <c r="N225" s="396"/>
      <c r="O225" s="396"/>
      <c r="P225" s="396"/>
      <c r="Q225" s="396"/>
      <c r="R225" s="396"/>
      <c r="S225" s="259"/>
      <c r="T225" s="259"/>
      <c r="U225" s="259"/>
      <c r="V225" s="259"/>
      <c r="W225" s="259"/>
    </row>
    <row r="226" spans="1:23" x14ac:dyDescent="0.25">
      <c r="A226" s="259"/>
      <c r="B226" s="378"/>
      <c r="C226" s="378"/>
      <c r="D226" s="378"/>
      <c r="E226" s="378"/>
      <c r="F226" s="378"/>
      <c r="G226" s="378"/>
      <c r="H226" s="378"/>
      <c r="I226" s="378"/>
      <c r="J226" s="378"/>
      <c r="K226" s="378"/>
      <c r="L226" s="378"/>
      <c r="M226" s="396"/>
      <c r="N226" s="396"/>
      <c r="O226" s="396"/>
      <c r="P226" s="396"/>
      <c r="Q226" s="396"/>
      <c r="R226" s="396"/>
      <c r="S226" s="259"/>
      <c r="T226" s="259"/>
      <c r="U226" s="259"/>
      <c r="V226" s="259"/>
      <c r="W226" s="259"/>
    </row>
    <row r="227" spans="1:23" x14ac:dyDescent="0.25">
      <c r="A227" s="259"/>
      <c r="B227" s="378"/>
      <c r="C227" s="378"/>
      <c r="D227" s="378"/>
      <c r="E227" s="378"/>
      <c r="F227" s="378"/>
      <c r="G227" s="378"/>
      <c r="H227" s="378"/>
      <c r="I227" s="378"/>
      <c r="J227" s="378"/>
      <c r="K227" s="378"/>
      <c r="L227" s="378"/>
      <c r="M227" s="396"/>
      <c r="N227" s="396"/>
      <c r="O227" s="396"/>
      <c r="P227" s="396"/>
      <c r="Q227" s="396"/>
      <c r="R227" s="396"/>
      <c r="S227" s="259"/>
      <c r="T227" s="259"/>
      <c r="U227" s="259"/>
      <c r="V227" s="259"/>
      <c r="W227" s="259"/>
    </row>
    <row r="228" spans="1:23" x14ac:dyDescent="0.25">
      <c r="A228" s="259"/>
      <c r="B228" s="378"/>
      <c r="C228" s="378"/>
      <c r="D228" s="378"/>
      <c r="E228" s="378"/>
      <c r="F228" s="378"/>
      <c r="G228" s="378"/>
      <c r="H228" s="378"/>
      <c r="I228" s="378"/>
      <c r="J228" s="378"/>
      <c r="K228" s="378"/>
      <c r="L228" s="378"/>
      <c r="M228" s="396"/>
      <c r="N228" s="396"/>
      <c r="O228" s="396"/>
      <c r="P228" s="396"/>
      <c r="Q228" s="396"/>
      <c r="R228" s="396"/>
      <c r="S228" s="259"/>
      <c r="T228" s="259"/>
      <c r="U228" s="259"/>
      <c r="V228" s="259"/>
      <c r="W228" s="259"/>
    </row>
    <row r="229" spans="1:23" x14ac:dyDescent="0.25">
      <c r="A229" s="259"/>
      <c r="B229" s="378"/>
      <c r="C229" s="378"/>
      <c r="D229" s="378"/>
      <c r="E229" s="378"/>
      <c r="F229" s="378"/>
      <c r="G229" s="378"/>
      <c r="H229" s="378"/>
      <c r="I229" s="378"/>
      <c r="J229" s="378"/>
      <c r="K229" s="378"/>
      <c r="L229" s="378"/>
      <c r="M229" s="396"/>
      <c r="N229" s="396"/>
      <c r="O229" s="396"/>
      <c r="P229" s="396"/>
      <c r="Q229" s="396"/>
      <c r="R229" s="396"/>
      <c r="S229" s="259"/>
      <c r="T229" s="259"/>
      <c r="U229" s="259"/>
      <c r="V229" s="259"/>
      <c r="W229" s="259"/>
    </row>
    <row r="230" spans="1:23" x14ac:dyDescent="0.25">
      <c r="A230" s="259"/>
      <c r="B230" s="378"/>
      <c r="C230" s="378"/>
      <c r="D230" s="378"/>
      <c r="E230" s="378"/>
      <c r="F230" s="378"/>
      <c r="G230" s="378"/>
      <c r="H230" s="378"/>
      <c r="I230" s="378"/>
      <c r="J230" s="378"/>
      <c r="K230" s="378"/>
      <c r="L230" s="378"/>
      <c r="M230" s="396"/>
      <c r="N230" s="396"/>
      <c r="O230" s="396"/>
      <c r="P230" s="396"/>
      <c r="Q230" s="396"/>
      <c r="R230" s="396"/>
      <c r="S230" s="259"/>
      <c r="T230" s="259"/>
      <c r="U230" s="259"/>
      <c r="V230" s="259"/>
      <c r="W230" s="259"/>
    </row>
    <row r="231" spans="1:23" x14ac:dyDescent="0.25">
      <c r="A231" s="259"/>
      <c r="B231" s="378"/>
      <c r="C231" s="378"/>
      <c r="D231" s="378"/>
      <c r="E231" s="378"/>
      <c r="F231" s="378"/>
      <c r="G231" s="378"/>
      <c r="H231" s="378"/>
      <c r="I231" s="378"/>
      <c r="J231" s="378"/>
      <c r="K231" s="378"/>
      <c r="L231" s="378"/>
      <c r="M231" s="396"/>
      <c r="N231" s="396"/>
      <c r="O231" s="396"/>
      <c r="P231" s="396"/>
      <c r="Q231" s="396"/>
      <c r="R231" s="396"/>
      <c r="S231" s="259"/>
      <c r="T231" s="259"/>
      <c r="U231" s="259"/>
      <c r="V231" s="259"/>
      <c r="W231" s="259"/>
    </row>
    <row r="232" spans="1:23" x14ac:dyDescent="0.25">
      <c r="A232" s="259"/>
      <c r="B232" s="378"/>
      <c r="C232" s="378"/>
      <c r="D232" s="378"/>
      <c r="E232" s="378"/>
      <c r="F232" s="378"/>
      <c r="G232" s="378"/>
      <c r="H232" s="378"/>
      <c r="I232" s="378"/>
      <c r="J232" s="378"/>
      <c r="K232" s="378"/>
      <c r="L232" s="378"/>
      <c r="M232" s="396"/>
      <c r="N232" s="396"/>
      <c r="O232" s="396"/>
      <c r="P232" s="396"/>
      <c r="Q232" s="396"/>
      <c r="R232" s="396"/>
      <c r="S232" s="259"/>
      <c r="T232" s="259"/>
      <c r="U232" s="259"/>
      <c r="V232" s="259"/>
      <c r="W232" s="259"/>
    </row>
    <row r="233" spans="1:23" x14ac:dyDescent="0.25">
      <c r="A233" s="259"/>
      <c r="B233" s="378"/>
      <c r="C233" s="378"/>
      <c r="D233" s="378"/>
      <c r="E233" s="378"/>
      <c r="F233" s="378"/>
      <c r="G233" s="378"/>
      <c r="H233" s="378"/>
      <c r="I233" s="378"/>
      <c r="J233" s="378"/>
      <c r="K233" s="378"/>
      <c r="L233" s="378"/>
      <c r="M233" s="396"/>
      <c r="N233" s="396"/>
      <c r="O233" s="396"/>
      <c r="P233" s="396"/>
      <c r="Q233" s="396"/>
      <c r="R233" s="396"/>
      <c r="S233" s="259"/>
      <c r="T233" s="259"/>
      <c r="U233" s="259"/>
      <c r="V233" s="259"/>
      <c r="W233" s="259"/>
    </row>
    <row r="234" spans="1:23" x14ac:dyDescent="0.25">
      <c r="A234" s="259"/>
      <c r="B234" s="378"/>
      <c r="C234" s="378"/>
      <c r="D234" s="378"/>
      <c r="E234" s="378"/>
      <c r="F234" s="378"/>
      <c r="G234" s="378"/>
      <c r="H234" s="378"/>
      <c r="I234" s="378"/>
      <c r="J234" s="378"/>
      <c r="K234" s="378"/>
      <c r="L234" s="378"/>
      <c r="M234" s="396"/>
      <c r="N234" s="396"/>
      <c r="O234" s="396"/>
      <c r="P234" s="396"/>
      <c r="Q234" s="396"/>
      <c r="R234" s="396"/>
      <c r="S234" s="259"/>
      <c r="T234" s="259"/>
      <c r="U234" s="259"/>
      <c r="V234" s="259"/>
      <c r="W234" s="259"/>
    </row>
    <row r="235" spans="1:23" x14ac:dyDescent="0.25">
      <c r="A235" s="259"/>
      <c r="B235" s="378"/>
      <c r="C235" s="378"/>
      <c r="D235" s="378"/>
      <c r="E235" s="378"/>
      <c r="F235" s="378"/>
      <c r="G235" s="378"/>
      <c r="H235" s="378"/>
      <c r="I235" s="378"/>
      <c r="J235" s="378"/>
      <c r="K235" s="378"/>
      <c r="L235" s="378"/>
      <c r="M235" s="396"/>
      <c r="N235" s="396"/>
      <c r="O235" s="396"/>
      <c r="P235" s="396"/>
      <c r="Q235" s="396"/>
      <c r="R235" s="396"/>
      <c r="S235" s="259"/>
      <c r="T235" s="259"/>
      <c r="U235" s="259"/>
      <c r="V235" s="259"/>
      <c r="W235" s="259"/>
    </row>
    <row r="236" spans="1:23" x14ac:dyDescent="0.25">
      <c r="A236" s="259"/>
      <c r="B236" s="378"/>
      <c r="C236" s="378"/>
      <c r="D236" s="378"/>
      <c r="E236" s="378"/>
      <c r="F236" s="378"/>
      <c r="G236" s="378"/>
      <c r="H236" s="378"/>
      <c r="I236" s="378"/>
      <c r="J236" s="378"/>
      <c r="K236" s="378"/>
      <c r="L236" s="378"/>
      <c r="M236" s="396"/>
      <c r="N236" s="396"/>
      <c r="O236" s="396"/>
      <c r="P236" s="396"/>
      <c r="Q236" s="396"/>
      <c r="R236" s="396"/>
      <c r="S236" s="259"/>
      <c r="T236" s="259"/>
      <c r="U236" s="259"/>
      <c r="V236" s="259"/>
      <c r="W236" s="259"/>
    </row>
    <row r="237" spans="1:23" x14ac:dyDescent="0.25">
      <c r="A237" s="259"/>
      <c r="B237" s="378"/>
      <c r="C237" s="378"/>
      <c r="D237" s="378"/>
      <c r="E237" s="378"/>
      <c r="F237" s="378"/>
      <c r="G237" s="378"/>
      <c r="H237" s="378"/>
      <c r="I237" s="378"/>
      <c r="J237" s="378"/>
      <c r="K237" s="378"/>
      <c r="L237" s="378"/>
      <c r="M237" s="396"/>
      <c r="N237" s="396"/>
      <c r="O237" s="396"/>
      <c r="P237" s="396"/>
      <c r="Q237" s="396"/>
      <c r="R237" s="396"/>
      <c r="S237" s="259"/>
      <c r="T237" s="259"/>
      <c r="U237" s="259"/>
      <c r="V237" s="259"/>
      <c r="W237" s="259"/>
    </row>
    <row r="238" spans="1:23" x14ac:dyDescent="0.25">
      <c r="A238" s="259"/>
      <c r="B238" s="378"/>
      <c r="C238" s="378"/>
      <c r="D238" s="378"/>
      <c r="E238" s="378"/>
      <c r="F238" s="378"/>
      <c r="G238" s="378"/>
      <c r="H238" s="378"/>
      <c r="I238" s="378"/>
      <c r="J238" s="378"/>
      <c r="K238" s="378"/>
      <c r="L238" s="378"/>
      <c r="M238" s="396"/>
      <c r="N238" s="396"/>
      <c r="O238" s="396"/>
      <c r="P238" s="396"/>
      <c r="Q238" s="396"/>
      <c r="R238" s="396"/>
      <c r="S238" s="259"/>
      <c r="T238" s="259"/>
      <c r="U238" s="259"/>
      <c r="V238" s="259"/>
      <c r="W238" s="259"/>
    </row>
    <row r="239" spans="1:23" x14ac:dyDescent="0.25">
      <c r="A239" s="259"/>
      <c r="B239" s="378"/>
      <c r="C239" s="378"/>
      <c r="D239" s="378"/>
      <c r="E239" s="378"/>
      <c r="F239" s="378"/>
      <c r="G239" s="378"/>
      <c r="H239" s="378"/>
      <c r="I239" s="378"/>
      <c r="J239" s="378"/>
      <c r="K239" s="378"/>
      <c r="L239" s="378"/>
      <c r="M239" s="396"/>
      <c r="N239" s="396"/>
      <c r="O239" s="396"/>
      <c r="P239" s="396"/>
      <c r="Q239" s="396"/>
      <c r="R239" s="396"/>
      <c r="S239" s="259"/>
      <c r="T239" s="259"/>
      <c r="U239" s="259"/>
      <c r="V239" s="259"/>
      <c r="W239" s="259"/>
    </row>
    <row r="240" spans="1:23" x14ac:dyDescent="0.25">
      <c r="A240" s="259"/>
      <c r="B240" s="378"/>
      <c r="C240" s="378"/>
      <c r="D240" s="378"/>
      <c r="E240" s="378"/>
      <c r="F240" s="378"/>
      <c r="G240" s="378"/>
      <c r="H240" s="378"/>
      <c r="I240" s="378"/>
      <c r="J240" s="378"/>
      <c r="K240" s="378"/>
      <c r="L240" s="378"/>
      <c r="M240" s="396"/>
      <c r="N240" s="396"/>
      <c r="O240" s="396"/>
      <c r="P240" s="396"/>
      <c r="Q240" s="396"/>
      <c r="R240" s="396"/>
      <c r="S240" s="259"/>
      <c r="T240" s="259"/>
      <c r="U240" s="259"/>
      <c r="V240" s="259"/>
      <c r="W240" s="259"/>
    </row>
    <row r="241" spans="1:23" x14ac:dyDescent="0.25">
      <c r="A241" s="259"/>
      <c r="B241" s="378"/>
      <c r="C241" s="378"/>
      <c r="D241" s="378"/>
      <c r="E241" s="378"/>
      <c r="F241" s="378"/>
      <c r="G241" s="378"/>
      <c r="H241" s="378"/>
      <c r="I241" s="378"/>
      <c r="J241" s="378"/>
      <c r="K241" s="378"/>
      <c r="L241" s="378"/>
      <c r="M241" s="396"/>
      <c r="N241" s="396"/>
      <c r="O241" s="396"/>
      <c r="P241" s="396"/>
      <c r="Q241" s="396"/>
      <c r="R241" s="396"/>
      <c r="S241" s="259"/>
      <c r="T241" s="259"/>
      <c r="U241" s="259"/>
      <c r="V241" s="259"/>
      <c r="W241" s="259"/>
    </row>
    <row r="242" spans="1:23" x14ac:dyDescent="0.25">
      <c r="A242" s="259"/>
      <c r="B242" s="378"/>
      <c r="C242" s="378"/>
      <c r="D242" s="378"/>
      <c r="E242" s="378"/>
      <c r="F242" s="378"/>
      <c r="G242" s="378"/>
      <c r="H242" s="378"/>
      <c r="I242" s="378"/>
      <c r="J242" s="378"/>
      <c r="K242" s="378"/>
      <c r="L242" s="378"/>
      <c r="M242" s="396"/>
      <c r="N242" s="396"/>
      <c r="O242" s="396"/>
      <c r="P242" s="396"/>
      <c r="Q242" s="396"/>
      <c r="R242" s="396"/>
      <c r="S242" s="259"/>
      <c r="T242" s="259"/>
      <c r="U242" s="259"/>
      <c r="V242" s="259"/>
      <c r="W242" s="259"/>
    </row>
    <row r="243" spans="1:23" x14ac:dyDescent="0.25">
      <c r="A243" s="259"/>
      <c r="B243" s="378"/>
      <c r="C243" s="378"/>
      <c r="D243" s="378"/>
      <c r="E243" s="378"/>
      <c r="F243" s="378"/>
      <c r="G243" s="378"/>
      <c r="H243" s="378"/>
      <c r="I243" s="378"/>
      <c r="J243" s="378"/>
      <c r="K243" s="378"/>
      <c r="L243" s="378"/>
      <c r="M243" s="396"/>
      <c r="N243" s="396"/>
      <c r="O243" s="396"/>
      <c r="P243" s="396"/>
      <c r="Q243" s="396"/>
      <c r="R243" s="396"/>
      <c r="S243" s="259"/>
      <c r="T243" s="259"/>
      <c r="U243" s="259"/>
      <c r="V243" s="259"/>
      <c r="W243" s="259"/>
    </row>
    <row r="244" spans="1:23" x14ac:dyDescent="0.25">
      <c r="A244" s="259"/>
      <c r="B244" s="378"/>
      <c r="C244" s="378"/>
      <c r="D244" s="378"/>
      <c r="E244" s="378"/>
      <c r="F244" s="378"/>
      <c r="G244" s="378"/>
      <c r="H244" s="378"/>
      <c r="I244" s="378"/>
      <c r="J244" s="378"/>
      <c r="K244" s="378"/>
      <c r="L244" s="378"/>
      <c r="M244" s="396"/>
      <c r="N244" s="396"/>
      <c r="O244" s="396"/>
      <c r="P244" s="396"/>
      <c r="Q244" s="396"/>
      <c r="R244" s="396"/>
      <c r="S244" s="259"/>
      <c r="T244" s="259"/>
      <c r="U244" s="259"/>
      <c r="V244" s="259"/>
      <c r="W244" s="259"/>
    </row>
    <row r="245" spans="1:23" x14ac:dyDescent="0.25">
      <c r="A245" s="259"/>
      <c r="B245" s="378"/>
      <c r="C245" s="378"/>
      <c r="D245" s="378"/>
      <c r="E245" s="378"/>
      <c r="F245" s="378"/>
      <c r="G245" s="378"/>
      <c r="H245" s="378"/>
      <c r="I245" s="378"/>
      <c r="J245" s="378"/>
      <c r="K245" s="378"/>
      <c r="L245" s="378"/>
      <c r="M245" s="396"/>
      <c r="N245" s="396"/>
      <c r="O245" s="396"/>
      <c r="P245" s="396"/>
      <c r="Q245" s="396"/>
      <c r="R245" s="396"/>
      <c r="S245" s="259"/>
      <c r="T245" s="259"/>
      <c r="U245" s="259"/>
      <c r="V245" s="259"/>
      <c r="W245" s="259"/>
    </row>
    <row r="246" spans="1:23" x14ac:dyDescent="0.25">
      <c r="A246" s="259"/>
      <c r="B246" s="378"/>
      <c r="C246" s="378"/>
      <c r="D246" s="378"/>
      <c r="E246" s="378"/>
      <c r="F246" s="378"/>
      <c r="G246" s="378"/>
      <c r="H246" s="378"/>
      <c r="I246" s="378"/>
      <c r="J246" s="378"/>
      <c r="K246" s="378"/>
      <c r="L246" s="378"/>
      <c r="M246" s="396"/>
      <c r="N246" s="396"/>
      <c r="O246" s="396"/>
      <c r="P246" s="396"/>
      <c r="Q246" s="396"/>
      <c r="R246" s="396"/>
      <c r="S246" s="259"/>
      <c r="T246" s="259"/>
      <c r="U246" s="259"/>
      <c r="V246" s="259"/>
      <c r="W246" s="259"/>
    </row>
    <row r="247" spans="1:23" x14ac:dyDescent="0.25">
      <c r="A247" s="259"/>
      <c r="B247" s="378"/>
      <c r="C247" s="378"/>
      <c r="D247" s="378"/>
      <c r="E247" s="378"/>
      <c r="F247" s="378"/>
      <c r="G247" s="378"/>
      <c r="H247" s="378"/>
      <c r="I247" s="378"/>
      <c r="J247" s="378"/>
      <c r="K247" s="378"/>
      <c r="L247" s="378"/>
      <c r="M247" s="396"/>
      <c r="N247" s="396"/>
      <c r="O247" s="396"/>
      <c r="P247" s="396"/>
      <c r="Q247" s="396"/>
      <c r="R247" s="396"/>
      <c r="S247" s="259"/>
      <c r="T247" s="259"/>
      <c r="U247" s="259"/>
      <c r="V247" s="259"/>
      <c r="W247" s="259"/>
    </row>
    <row r="248" spans="1:23" x14ac:dyDescent="0.25">
      <c r="A248" s="259"/>
      <c r="B248" s="378"/>
      <c r="C248" s="378"/>
      <c r="D248" s="378"/>
      <c r="E248" s="378"/>
      <c r="F248" s="378"/>
      <c r="G248" s="378"/>
      <c r="H248" s="378"/>
      <c r="I248" s="378"/>
      <c r="J248" s="378"/>
      <c r="K248" s="378"/>
      <c r="L248" s="378"/>
      <c r="M248" s="396"/>
      <c r="N248" s="396"/>
      <c r="O248" s="396"/>
      <c r="P248" s="396"/>
      <c r="Q248" s="396"/>
      <c r="R248" s="396"/>
      <c r="S248" s="259"/>
      <c r="T248" s="259"/>
      <c r="U248" s="259"/>
      <c r="V248" s="259"/>
      <c r="W248" s="259"/>
    </row>
    <row r="249" spans="1:23" x14ac:dyDescent="0.25">
      <c r="A249" s="259"/>
      <c r="B249" s="378"/>
      <c r="C249" s="378"/>
      <c r="D249" s="378"/>
      <c r="E249" s="378"/>
      <c r="F249" s="378"/>
      <c r="G249" s="378"/>
      <c r="H249" s="378"/>
      <c r="I249" s="378"/>
      <c r="J249" s="378"/>
      <c r="K249" s="378"/>
      <c r="L249" s="378"/>
      <c r="M249" s="396"/>
      <c r="N249" s="396"/>
      <c r="O249" s="396"/>
      <c r="P249" s="396"/>
      <c r="Q249" s="396"/>
      <c r="R249" s="396"/>
      <c r="S249" s="259"/>
      <c r="T249" s="259"/>
      <c r="U249" s="259"/>
      <c r="V249" s="259"/>
      <c r="W249" s="259"/>
    </row>
    <row r="250" spans="1:23" x14ac:dyDescent="0.25">
      <c r="A250" s="259"/>
      <c r="B250" s="378"/>
      <c r="C250" s="378"/>
      <c r="D250" s="378"/>
      <c r="E250" s="378"/>
      <c r="F250" s="378"/>
      <c r="G250" s="378"/>
      <c r="H250" s="378"/>
      <c r="I250" s="378"/>
      <c r="J250" s="378"/>
      <c r="K250" s="378"/>
      <c r="L250" s="378"/>
      <c r="M250" s="396"/>
      <c r="N250" s="396"/>
      <c r="O250" s="396"/>
      <c r="P250" s="396"/>
      <c r="Q250" s="396"/>
      <c r="R250" s="396"/>
      <c r="S250" s="259"/>
      <c r="T250" s="259"/>
      <c r="U250" s="259"/>
      <c r="V250" s="259"/>
      <c r="W250" s="259"/>
    </row>
    <row r="251" spans="1:23" x14ac:dyDescent="0.25">
      <c r="A251" s="259"/>
      <c r="B251" s="378"/>
      <c r="C251" s="378"/>
      <c r="D251" s="378"/>
      <c r="E251" s="378"/>
      <c r="F251" s="378"/>
      <c r="G251" s="378"/>
      <c r="H251" s="378"/>
      <c r="I251" s="378"/>
      <c r="J251" s="378"/>
      <c r="K251" s="378"/>
      <c r="L251" s="378"/>
      <c r="M251" s="396"/>
      <c r="N251" s="396"/>
      <c r="O251" s="396"/>
      <c r="P251" s="396"/>
      <c r="Q251" s="396"/>
      <c r="R251" s="396"/>
      <c r="S251" s="259"/>
      <c r="T251" s="259"/>
      <c r="U251" s="259"/>
      <c r="V251" s="259"/>
      <c r="W251" s="259"/>
    </row>
    <row r="252" spans="1:23" x14ac:dyDescent="0.25">
      <c r="A252" s="259"/>
      <c r="B252" s="378"/>
      <c r="C252" s="378"/>
      <c r="D252" s="378"/>
      <c r="E252" s="378"/>
      <c r="F252" s="378"/>
      <c r="G252" s="378"/>
      <c r="H252" s="378"/>
      <c r="I252" s="378"/>
      <c r="J252" s="378"/>
      <c r="K252" s="378"/>
      <c r="L252" s="378"/>
      <c r="M252" s="396"/>
      <c r="N252" s="396"/>
      <c r="O252" s="396"/>
      <c r="P252" s="396"/>
      <c r="Q252" s="396"/>
      <c r="R252" s="396"/>
      <c r="S252" s="259"/>
      <c r="T252" s="259"/>
      <c r="U252" s="259"/>
      <c r="V252" s="259"/>
      <c r="W252" s="259"/>
    </row>
    <row r="253" spans="1:23" x14ac:dyDescent="0.25">
      <c r="A253" s="259"/>
      <c r="B253" s="378"/>
      <c r="C253" s="378"/>
      <c r="D253" s="378"/>
      <c r="E253" s="378"/>
      <c r="F253" s="378"/>
      <c r="G253" s="378"/>
      <c r="H253" s="378"/>
      <c r="I253" s="378"/>
      <c r="J253" s="378"/>
      <c r="K253" s="378"/>
      <c r="L253" s="378"/>
      <c r="M253" s="396"/>
      <c r="N253" s="396"/>
      <c r="O253" s="396"/>
      <c r="P253" s="396"/>
      <c r="Q253" s="396"/>
      <c r="R253" s="396"/>
      <c r="S253" s="259"/>
      <c r="T253" s="259"/>
      <c r="U253" s="259"/>
      <c r="V253" s="259"/>
      <c r="W253" s="259"/>
    </row>
    <row r="254" spans="1:23" x14ac:dyDescent="0.25">
      <c r="A254" s="259"/>
      <c r="B254" s="378"/>
      <c r="C254" s="378"/>
      <c r="D254" s="378"/>
      <c r="E254" s="378"/>
      <c r="F254" s="378"/>
      <c r="G254" s="378"/>
      <c r="H254" s="378"/>
      <c r="I254" s="378"/>
      <c r="J254" s="378"/>
      <c r="K254" s="378"/>
      <c r="L254" s="378"/>
      <c r="M254" s="396"/>
      <c r="N254" s="396"/>
      <c r="O254" s="396"/>
      <c r="P254" s="396"/>
      <c r="Q254" s="396"/>
      <c r="R254" s="396"/>
      <c r="S254" s="259"/>
      <c r="T254" s="259"/>
      <c r="U254" s="259"/>
      <c r="V254" s="259"/>
      <c r="W254" s="259"/>
    </row>
    <row r="255" spans="1:23" x14ac:dyDescent="0.25">
      <c r="A255" s="259"/>
      <c r="B255" s="378"/>
      <c r="C255" s="378"/>
      <c r="D255" s="378"/>
      <c r="E255" s="378"/>
      <c r="F255" s="378"/>
      <c r="G255" s="378"/>
      <c r="H255" s="378"/>
      <c r="I255" s="378"/>
      <c r="J255" s="378"/>
      <c r="K255" s="378"/>
      <c r="L255" s="378"/>
      <c r="M255" s="396"/>
      <c r="N255" s="396"/>
      <c r="O255" s="396"/>
      <c r="P255" s="396"/>
      <c r="Q255" s="396"/>
      <c r="R255" s="396"/>
      <c r="S255" s="259"/>
      <c r="T255" s="259"/>
      <c r="U255" s="259"/>
      <c r="V255" s="259"/>
      <c r="W255" s="259"/>
    </row>
    <row r="256" spans="1:23" x14ac:dyDescent="0.25">
      <c r="A256" s="259"/>
      <c r="B256" s="378"/>
      <c r="C256" s="378"/>
      <c r="D256" s="378"/>
      <c r="E256" s="378"/>
      <c r="F256" s="378"/>
      <c r="G256" s="378"/>
      <c r="H256" s="378"/>
      <c r="I256" s="378"/>
      <c r="J256" s="378"/>
      <c r="K256" s="378"/>
      <c r="L256" s="378"/>
      <c r="M256" s="396"/>
      <c r="N256" s="396"/>
      <c r="O256" s="396"/>
      <c r="P256" s="396"/>
      <c r="Q256" s="396"/>
      <c r="R256" s="396"/>
      <c r="S256" s="259"/>
      <c r="T256" s="259"/>
      <c r="U256" s="259"/>
      <c r="V256" s="259"/>
      <c r="W256" s="259"/>
    </row>
    <row r="257" spans="1:23" x14ac:dyDescent="0.25">
      <c r="A257" s="259"/>
      <c r="B257" s="396"/>
      <c r="C257" s="396"/>
      <c r="D257" s="396"/>
      <c r="E257" s="396"/>
      <c r="F257" s="396"/>
      <c r="G257" s="396"/>
      <c r="H257" s="396"/>
      <c r="I257" s="396"/>
      <c r="J257" s="396"/>
      <c r="K257" s="396"/>
      <c r="L257" s="396"/>
      <c r="M257" s="396"/>
      <c r="N257" s="396"/>
      <c r="O257" s="396"/>
      <c r="P257" s="396"/>
      <c r="Q257" s="396"/>
      <c r="R257" s="396"/>
      <c r="S257" s="259"/>
      <c r="T257" s="259"/>
      <c r="U257" s="259"/>
      <c r="V257" s="259"/>
      <c r="W257" s="259"/>
    </row>
    <row r="258" spans="1:23" x14ac:dyDescent="0.25">
      <c r="A258" s="259"/>
      <c r="B258" s="396"/>
      <c r="C258" s="396"/>
      <c r="D258" s="396"/>
      <c r="E258" s="396"/>
      <c r="F258" s="396"/>
      <c r="G258" s="396"/>
      <c r="H258" s="396"/>
      <c r="I258" s="396"/>
      <c r="J258" s="396"/>
      <c r="K258" s="396"/>
      <c r="L258" s="396"/>
      <c r="M258" s="396"/>
      <c r="N258" s="396"/>
      <c r="O258" s="396"/>
      <c r="P258" s="396"/>
      <c r="Q258" s="396"/>
      <c r="R258" s="396"/>
      <c r="S258" s="259"/>
      <c r="T258" s="259"/>
      <c r="U258" s="259"/>
      <c r="V258" s="259"/>
      <c r="W258" s="259"/>
    </row>
    <row r="259" spans="1:23" x14ac:dyDescent="0.25">
      <c r="A259" s="259"/>
      <c r="B259" s="396"/>
      <c r="C259" s="396"/>
      <c r="D259" s="396"/>
      <c r="E259" s="396"/>
      <c r="F259" s="396"/>
      <c r="G259" s="396"/>
      <c r="H259" s="396"/>
      <c r="I259" s="396"/>
      <c r="J259" s="396"/>
      <c r="K259" s="396"/>
      <c r="L259" s="396"/>
      <c r="M259" s="396"/>
      <c r="N259" s="396"/>
      <c r="O259" s="396"/>
      <c r="P259" s="396"/>
      <c r="Q259" s="396"/>
      <c r="R259" s="396"/>
      <c r="S259" s="259"/>
      <c r="T259" s="259"/>
      <c r="U259" s="259"/>
      <c r="V259" s="259"/>
      <c r="W259" s="259"/>
    </row>
    <row r="260" spans="1:23" x14ac:dyDescent="0.25">
      <c r="A260" s="259"/>
      <c r="B260" s="396"/>
      <c r="C260" s="396"/>
      <c r="D260" s="396"/>
      <c r="E260" s="396"/>
      <c r="F260" s="396"/>
      <c r="G260" s="396"/>
      <c r="H260" s="396"/>
      <c r="I260" s="396"/>
      <c r="J260" s="396"/>
      <c r="K260" s="396"/>
      <c r="L260" s="396"/>
      <c r="M260" s="396"/>
      <c r="N260" s="396"/>
      <c r="O260" s="396"/>
      <c r="P260" s="396"/>
      <c r="Q260" s="396"/>
      <c r="R260" s="396"/>
      <c r="S260" s="259"/>
      <c r="T260" s="259"/>
      <c r="U260" s="259"/>
      <c r="V260" s="259"/>
      <c r="W260" s="259"/>
    </row>
    <row r="261" spans="1:23" x14ac:dyDescent="0.25">
      <c r="A261" s="259"/>
      <c r="B261" s="396"/>
      <c r="C261" s="396"/>
      <c r="D261" s="396"/>
      <c r="E261" s="396"/>
      <c r="F261" s="396"/>
      <c r="G261" s="396"/>
      <c r="H261" s="396"/>
      <c r="I261" s="396"/>
      <c r="J261" s="396"/>
      <c r="K261" s="396"/>
      <c r="L261" s="396"/>
      <c r="M261" s="396"/>
      <c r="N261" s="396"/>
      <c r="O261" s="396"/>
      <c r="P261" s="396"/>
      <c r="Q261" s="396"/>
      <c r="R261" s="396"/>
      <c r="S261" s="259"/>
      <c r="T261" s="259"/>
      <c r="U261" s="259"/>
      <c r="V261" s="259"/>
      <c r="W261" s="259"/>
    </row>
    <row r="262" spans="1:23" x14ac:dyDescent="0.25">
      <c r="A262" s="259"/>
      <c r="B262" s="396"/>
      <c r="C262" s="396"/>
      <c r="D262" s="396"/>
      <c r="E262" s="396"/>
      <c r="F262" s="396"/>
      <c r="G262" s="396"/>
      <c r="H262" s="396"/>
      <c r="I262" s="396"/>
      <c r="J262" s="396"/>
      <c r="K262" s="396"/>
      <c r="L262" s="396"/>
      <c r="M262" s="396"/>
      <c r="N262" s="396"/>
      <c r="O262" s="396"/>
      <c r="P262" s="396"/>
      <c r="Q262" s="396"/>
      <c r="R262" s="396"/>
      <c r="S262" s="259"/>
      <c r="T262" s="259"/>
      <c r="U262" s="259"/>
      <c r="V262" s="259"/>
      <c r="W262" s="259"/>
    </row>
    <row r="263" spans="1:23" x14ac:dyDescent="0.25">
      <c r="A263" s="259"/>
      <c r="B263" s="396"/>
      <c r="C263" s="396"/>
      <c r="D263" s="396"/>
      <c r="E263" s="396"/>
      <c r="F263" s="396"/>
      <c r="G263" s="396"/>
      <c r="H263" s="396"/>
      <c r="I263" s="396"/>
      <c r="J263" s="396"/>
      <c r="K263" s="396"/>
      <c r="L263" s="396"/>
      <c r="M263" s="396"/>
      <c r="N263" s="396"/>
      <c r="O263" s="396"/>
      <c r="P263" s="396"/>
      <c r="Q263" s="396"/>
      <c r="R263" s="396"/>
      <c r="S263" s="259"/>
      <c r="T263" s="259"/>
      <c r="U263" s="259"/>
      <c r="V263" s="259"/>
      <c r="W263" s="259"/>
    </row>
    <row r="264" spans="1:23" x14ac:dyDescent="0.25">
      <c r="A264" s="259"/>
      <c r="B264" s="396"/>
      <c r="C264" s="396"/>
      <c r="D264" s="396"/>
      <c r="E264" s="396"/>
      <c r="F264" s="396"/>
      <c r="G264" s="396"/>
      <c r="H264" s="396"/>
      <c r="I264" s="396"/>
      <c r="J264" s="396"/>
      <c r="K264" s="396"/>
      <c r="L264" s="396"/>
      <c r="M264" s="396"/>
      <c r="N264" s="396"/>
      <c r="O264" s="396"/>
      <c r="P264" s="396"/>
      <c r="Q264" s="396"/>
      <c r="R264" s="396"/>
      <c r="S264" s="259"/>
      <c r="T264" s="259"/>
      <c r="U264" s="259"/>
      <c r="V264" s="259"/>
      <c r="W264" s="259"/>
    </row>
  </sheetData>
  <mergeCells count="32">
    <mergeCell ref="B71:C71"/>
    <mergeCell ref="H72:I72"/>
    <mergeCell ref="E32:F32"/>
    <mergeCell ref="E33:F33"/>
    <mergeCell ref="E34:F34"/>
    <mergeCell ref="E35:F35"/>
    <mergeCell ref="E36:F36"/>
    <mergeCell ref="E37:F37"/>
    <mergeCell ref="E38:F38"/>
    <mergeCell ref="E45:F45"/>
    <mergeCell ref="E43:F43"/>
    <mergeCell ref="E44:F44"/>
    <mergeCell ref="G41:H41"/>
    <mergeCell ref="G42:H42"/>
    <mergeCell ref="G43:H43"/>
    <mergeCell ref="G44:H44"/>
    <mergeCell ref="E31:F31"/>
    <mergeCell ref="E39:F39"/>
    <mergeCell ref="E40:F40"/>
    <mergeCell ref="E41:F41"/>
    <mergeCell ref="E42:F42"/>
    <mergeCell ref="G45:H45"/>
    <mergeCell ref="G36:H36"/>
    <mergeCell ref="G37:H37"/>
    <mergeCell ref="G38:H38"/>
    <mergeCell ref="G39:H39"/>
    <mergeCell ref="G40:H40"/>
    <mergeCell ref="G31:H31"/>
    <mergeCell ref="G32:H32"/>
    <mergeCell ref="G33:H33"/>
    <mergeCell ref="G34:H34"/>
    <mergeCell ref="G35:H35"/>
  </mergeCells>
  <conditionalFormatting sqref="E11:E13">
    <cfRule type="iconSet" priority="1">
      <iconSet iconSet="3Arrows" showValue="0">
        <cfvo type="percent" val="0"/>
        <cfvo type="percent" val="33"/>
        <cfvo type="percent" val="67"/>
      </iconSet>
    </cfRule>
  </conditionalFormatting>
  <dataValidations disablePrompts="1" count="3">
    <dataValidation allowBlank="1" showInputMessage="1" showErrorMessage="1" promptTitle="Current data" prompt="This data has not been deflated_x000a_" sqref="B71:C71"/>
    <dataValidation allowBlank="1" showInputMessage="1" showErrorMessage="1" promptTitle="Constant data" prompt="This data has been deflated using an appropriate deflator_x000a__x000a_" sqref="H72"/>
    <dataValidation allowBlank="1" showInputMessage="1" showErrorMessage="1" promptTitle="Constant data" prompt="Data has been deflated using appropriate deflators. More on the deflators can be found in the Deflators worksheet." sqref="G67"/>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4762" r:id="rId4" name="Check Box 10">
              <controlPr defaultSize="0" autoFill="0" autoLine="0" autoPict="0">
                <anchor moveWithCells="1">
                  <from>
                    <xdr:col>1</xdr:col>
                    <xdr:colOff>0</xdr:colOff>
                    <xdr:row>27</xdr:row>
                    <xdr:rowOff>209550</xdr:rowOff>
                  </from>
                  <to>
                    <xdr:col>2</xdr:col>
                    <xdr:colOff>457200</xdr:colOff>
                    <xdr:row>29</xdr:row>
                    <xdr:rowOff>0</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4:P80"/>
  <sheetViews>
    <sheetView showGridLines="0" showRowColHeaders="0" zoomScaleNormal="100" workbookViewId="0">
      <selection activeCell="I31" sqref="I31"/>
    </sheetView>
  </sheetViews>
  <sheetFormatPr defaultRowHeight="15" x14ac:dyDescent="0.25"/>
  <cols>
    <col min="2" max="2" width="8.42578125" customWidth="1"/>
    <col min="3" max="3" width="5.28515625" customWidth="1"/>
    <col min="4" max="4" width="7.140625" customWidth="1"/>
    <col min="5" max="5" width="13.5703125" customWidth="1"/>
    <col min="6" max="6" width="3.85546875" customWidth="1"/>
    <col min="7" max="7" width="6.140625" customWidth="1"/>
    <col min="8" max="8" width="7.140625" customWidth="1"/>
    <col min="9" max="9" width="13.5703125" customWidth="1"/>
    <col min="10" max="11" width="9.7109375" customWidth="1"/>
    <col min="12" max="12" width="26.28515625" customWidth="1"/>
    <col min="13" max="13" width="16.28515625" customWidth="1"/>
    <col min="14" max="14" width="26.28515625" bestFit="1" customWidth="1"/>
    <col min="15" max="15" width="16.28515625" bestFit="1" customWidth="1"/>
    <col min="16" max="16" width="22.5703125" bestFit="1" customWidth="1"/>
    <col min="17" max="17" width="21.28515625" bestFit="1" customWidth="1"/>
    <col min="18" max="18" width="22.28515625" bestFit="1" customWidth="1"/>
  </cols>
  <sheetData>
    <row r="4" spans="1:11" ht="30" x14ac:dyDescent="0.4">
      <c r="B4" s="2" t="s">
        <v>358</v>
      </c>
    </row>
    <row r="5" spans="1:11" x14ac:dyDescent="0.25">
      <c r="B5" s="274"/>
      <c r="C5" s="276"/>
      <c r="D5" s="276"/>
      <c r="E5" s="276"/>
      <c r="F5" s="276"/>
      <c r="G5" s="276"/>
      <c r="H5" s="276"/>
      <c r="I5" s="276"/>
    </row>
    <row r="6" spans="1:11" ht="23.25" customHeight="1" x14ac:dyDescent="0.25">
      <c r="B6" s="275" t="s">
        <v>252</v>
      </c>
    </row>
    <row r="7" spans="1:11" x14ac:dyDescent="0.25">
      <c r="B7" s="274"/>
    </row>
    <row r="8" spans="1:11" x14ac:dyDescent="0.25">
      <c r="B8" s="275" t="s">
        <v>253</v>
      </c>
    </row>
    <row r="9" spans="1:11" x14ac:dyDescent="0.25">
      <c r="B9" s="274" t="s">
        <v>225</v>
      </c>
    </row>
    <row r="10" spans="1:11" x14ac:dyDescent="0.25">
      <c r="B10" s="278" t="s">
        <v>354</v>
      </c>
    </row>
    <row r="12" spans="1:11" x14ac:dyDescent="0.25">
      <c r="A12" s="274"/>
      <c r="B12" s="294"/>
      <c r="C12" s="1995" t="s">
        <v>359</v>
      </c>
      <c r="D12" s="1995"/>
      <c r="E12" s="1995"/>
      <c r="F12" s="337"/>
      <c r="G12" s="1995" t="s">
        <v>360</v>
      </c>
      <c r="H12" s="1995"/>
      <c r="I12" s="1995"/>
      <c r="J12" s="333"/>
      <c r="K12" s="333"/>
    </row>
    <row r="13" spans="1:11" x14ac:dyDescent="0.25">
      <c r="A13" s="274"/>
      <c r="B13" s="294"/>
      <c r="C13" s="338" t="s">
        <v>361</v>
      </c>
      <c r="D13" s="338" t="s">
        <v>362</v>
      </c>
      <c r="E13" s="338" t="s">
        <v>363</v>
      </c>
      <c r="F13" s="339" t="s">
        <v>364</v>
      </c>
      <c r="G13" s="338" t="s">
        <v>361</v>
      </c>
      <c r="H13" s="338" t="s">
        <v>362</v>
      </c>
      <c r="I13" s="338" t="s">
        <v>363</v>
      </c>
      <c r="J13" s="334"/>
      <c r="K13" s="331"/>
    </row>
    <row r="14" spans="1:11" x14ac:dyDescent="0.25">
      <c r="A14" s="274"/>
      <c r="B14" s="294" t="s">
        <v>74</v>
      </c>
      <c r="C14" s="341">
        <v>3.57</v>
      </c>
      <c r="D14" s="341">
        <v>1.63</v>
      </c>
      <c r="E14" s="340">
        <v>10.41</v>
      </c>
      <c r="F14" s="342"/>
      <c r="G14" s="341">
        <v>78.599999999999994</v>
      </c>
      <c r="H14" s="341">
        <v>73.13</v>
      </c>
      <c r="I14" s="340">
        <v>64.33</v>
      </c>
      <c r="J14" s="334"/>
      <c r="K14" s="331"/>
    </row>
    <row r="15" spans="1:11" x14ac:dyDescent="0.25">
      <c r="A15" s="274"/>
      <c r="B15" s="294" t="s">
        <v>75</v>
      </c>
      <c r="C15" s="341">
        <v>3.57</v>
      </c>
      <c r="D15" s="341">
        <v>1.66</v>
      </c>
      <c r="E15" s="340">
        <v>11.48</v>
      </c>
      <c r="F15" s="342"/>
      <c r="G15" s="341">
        <v>84.44</v>
      </c>
      <c r="H15" s="341">
        <v>81.22</v>
      </c>
      <c r="I15" s="340">
        <v>71.05</v>
      </c>
      <c r="J15" s="334"/>
      <c r="K15" s="331"/>
    </row>
    <row r="16" spans="1:11" x14ac:dyDescent="0.25">
      <c r="A16" s="274"/>
      <c r="B16" s="294" t="s">
        <v>76</v>
      </c>
      <c r="C16" s="341">
        <v>3.54</v>
      </c>
      <c r="D16" s="341">
        <v>1.61</v>
      </c>
      <c r="E16" s="340">
        <v>12.49</v>
      </c>
      <c r="F16" s="342"/>
      <c r="G16" s="341">
        <v>88.86</v>
      </c>
      <c r="H16" s="341">
        <v>86.92</v>
      </c>
      <c r="I16" s="340">
        <v>77.62</v>
      </c>
      <c r="J16" s="334"/>
      <c r="K16" s="331"/>
    </row>
    <row r="17" spans="1:12" x14ac:dyDescent="0.25">
      <c r="A17" s="274"/>
      <c r="B17" s="294" t="s">
        <v>4</v>
      </c>
      <c r="C17" s="341">
        <v>3.5</v>
      </c>
      <c r="D17" s="341">
        <v>1.63</v>
      </c>
      <c r="E17" s="340">
        <v>12.79</v>
      </c>
      <c r="F17" s="342"/>
      <c r="G17" s="341">
        <v>89.41</v>
      </c>
      <c r="H17" s="341">
        <v>87.51</v>
      </c>
      <c r="I17" s="340">
        <v>78.349999999999994</v>
      </c>
      <c r="J17" s="334"/>
      <c r="K17" s="331"/>
    </row>
    <row r="18" spans="1:12" x14ac:dyDescent="0.25">
      <c r="A18" s="274"/>
      <c r="B18" s="294" t="s">
        <v>5</v>
      </c>
      <c r="C18" s="341">
        <v>3.47</v>
      </c>
      <c r="D18" s="341">
        <v>1.66</v>
      </c>
      <c r="E18" s="340">
        <v>13.13</v>
      </c>
      <c r="F18" s="342"/>
      <c r="G18" s="341">
        <v>89.68</v>
      </c>
      <c r="H18" s="341">
        <v>87.88</v>
      </c>
      <c r="I18" s="340">
        <v>78.56</v>
      </c>
      <c r="J18" s="334"/>
      <c r="K18" s="331"/>
    </row>
    <row r="19" spans="1:12" x14ac:dyDescent="0.25">
      <c r="A19" s="274"/>
      <c r="B19" s="294" t="s">
        <v>6</v>
      </c>
      <c r="C19" s="341">
        <v>3.44</v>
      </c>
      <c r="D19" s="341">
        <v>1.68</v>
      </c>
      <c r="E19" s="340">
        <v>13.35</v>
      </c>
      <c r="F19" s="342"/>
      <c r="G19" s="341">
        <v>89.77</v>
      </c>
      <c r="H19" s="341">
        <v>88.12</v>
      </c>
      <c r="I19" s="340">
        <v>78.72</v>
      </c>
      <c r="J19" s="335"/>
      <c r="K19" s="332"/>
    </row>
    <row r="20" spans="1:12" x14ac:dyDescent="0.25">
      <c r="A20" s="274"/>
      <c r="B20" s="294" t="s">
        <v>7</v>
      </c>
      <c r="C20" s="341">
        <v>3.4</v>
      </c>
      <c r="D20" s="341">
        <v>1.71</v>
      </c>
      <c r="E20" s="340">
        <v>13.52</v>
      </c>
      <c r="F20" s="342"/>
      <c r="G20" s="341">
        <v>90.16</v>
      </c>
      <c r="H20" s="341">
        <v>88.57</v>
      </c>
      <c r="I20" s="340">
        <v>79.3</v>
      </c>
      <c r="J20" s="336"/>
      <c r="K20" s="291"/>
      <c r="L20" s="291"/>
    </row>
    <row r="21" spans="1:12" x14ac:dyDescent="0.25">
      <c r="B21" s="291"/>
      <c r="C21" s="291"/>
      <c r="D21" s="291"/>
      <c r="E21" s="291"/>
      <c r="F21" s="291"/>
      <c r="G21" s="291"/>
      <c r="H21" s="291"/>
      <c r="I21" s="291"/>
      <c r="J21" s="291"/>
      <c r="K21" s="291"/>
      <c r="L21" s="291"/>
    </row>
    <row r="22" spans="1:12" x14ac:dyDescent="0.25">
      <c r="B22" s="343" t="s">
        <v>365</v>
      </c>
      <c r="C22" s="291"/>
      <c r="D22" s="291"/>
      <c r="E22" s="291"/>
      <c r="F22" s="291"/>
      <c r="G22" s="291"/>
      <c r="H22" s="291"/>
      <c r="I22" s="291"/>
      <c r="J22" s="291"/>
      <c r="K22" s="291"/>
      <c r="L22" s="291"/>
    </row>
    <row r="23" spans="1:12" x14ac:dyDescent="0.25">
      <c r="B23" s="343"/>
      <c r="C23" s="291"/>
      <c r="D23" s="291"/>
      <c r="E23" s="291"/>
      <c r="F23" s="291"/>
      <c r="G23" s="291"/>
      <c r="H23" s="291"/>
      <c r="I23" s="291"/>
      <c r="J23" s="291"/>
      <c r="K23" s="291"/>
      <c r="L23" s="291"/>
    </row>
    <row r="24" spans="1:12" x14ac:dyDescent="0.25">
      <c r="B24" s="343" t="s">
        <v>366</v>
      </c>
      <c r="C24" s="291"/>
      <c r="D24" s="291"/>
      <c r="E24" s="291"/>
      <c r="F24" s="291"/>
      <c r="G24" s="291"/>
      <c r="H24" s="291"/>
      <c r="I24" s="291"/>
      <c r="J24" s="291"/>
      <c r="K24" s="291"/>
      <c r="L24" s="291"/>
    </row>
    <row r="25" spans="1:12" x14ac:dyDescent="0.25">
      <c r="B25" s="291"/>
      <c r="C25" s="291"/>
      <c r="D25" s="291"/>
      <c r="E25" s="291"/>
      <c r="F25" s="291"/>
      <c r="G25" s="291"/>
      <c r="H25" s="291"/>
      <c r="I25" s="291"/>
      <c r="J25" s="291"/>
      <c r="K25" s="291"/>
      <c r="L25" s="291"/>
    </row>
    <row r="26" spans="1:12" x14ac:dyDescent="0.25">
      <c r="B26" s="291"/>
      <c r="C26" s="291"/>
      <c r="D26" s="291"/>
      <c r="E26" s="291"/>
      <c r="F26" s="291"/>
      <c r="G26" s="291"/>
      <c r="H26" s="291"/>
      <c r="I26" s="291"/>
      <c r="J26" s="291"/>
      <c r="K26" s="291"/>
      <c r="L26" s="291"/>
    </row>
    <row r="27" spans="1:12" x14ac:dyDescent="0.25">
      <c r="B27" s="291"/>
      <c r="C27" s="291"/>
      <c r="D27" s="291"/>
      <c r="E27" s="291"/>
      <c r="F27" s="291"/>
      <c r="G27" s="291"/>
      <c r="H27" s="291"/>
      <c r="I27" s="291"/>
      <c r="J27" s="291"/>
      <c r="K27" s="291"/>
      <c r="L27" s="291"/>
    </row>
    <row r="28" spans="1:12" x14ac:dyDescent="0.25">
      <c r="B28" s="291"/>
      <c r="C28" s="291"/>
      <c r="D28" s="291"/>
      <c r="E28" s="291"/>
      <c r="F28" s="291"/>
      <c r="G28" s="291"/>
      <c r="H28" s="291"/>
      <c r="I28" s="291"/>
      <c r="J28" s="291"/>
      <c r="K28" s="291"/>
      <c r="L28" s="291"/>
    </row>
    <row r="29" spans="1:12" x14ac:dyDescent="0.25">
      <c r="A29" s="231"/>
      <c r="B29" s="326"/>
      <c r="C29" s="326"/>
      <c r="D29" s="326"/>
      <c r="E29" s="326"/>
      <c r="F29" s="326"/>
      <c r="G29" s="326"/>
      <c r="H29" s="326"/>
      <c r="I29" s="326"/>
      <c r="J29" s="326"/>
      <c r="K29" s="326"/>
      <c r="L29" s="326"/>
    </row>
    <row r="30" spans="1:12" x14ac:dyDescent="0.25">
      <c r="A30" s="231"/>
      <c r="B30" s="326"/>
      <c r="C30" s="326"/>
      <c r="D30" s="326"/>
      <c r="E30" s="326"/>
      <c r="F30" s="326"/>
      <c r="G30" s="326"/>
      <c r="H30" s="326"/>
      <c r="I30" s="326"/>
      <c r="J30" s="326"/>
      <c r="K30" s="326"/>
      <c r="L30" s="326"/>
    </row>
    <row r="31" spans="1:12" x14ac:dyDescent="0.25">
      <c r="A31" s="231"/>
      <c r="B31" s="326"/>
      <c r="C31" s="326"/>
      <c r="D31" s="326"/>
      <c r="E31" s="326"/>
      <c r="F31" s="326"/>
      <c r="G31" s="326"/>
      <c r="H31" s="326"/>
      <c r="I31" s="326"/>
      <c r="J31" s="326"/>
      <c r="K31" s="326"/>
      <c r="L31" s="326"/>
    </row>
    <row r="32" spans="1:12" x14ac:dyDescent="0.25">
      <c r="A32" s="231"/>
      <c r="B32" s="326"/>
      <c r="C32" s="326"/>
      <c r="D32" s="326"/>
      <c r="E32" s="326"/>
      <c r="F32" s="326"/>
      <c r="G32" s="326"/>
      <c r="H32" s="326"/>
      <c r="I32" s="326"/>
      <c r="J32" s="326"/>
      <c r="K32" s="326"/>
      <c r="L32" s="326"/>
    </row>
    <row r="33" spans="1:16" x14ac:dyDescent="0.25">
      <c r="A33" s="231"/>
      <c r="B33" s="326"/>
      <c r="C33" s="326"/>
      <c r="D33" s="326"/>
      <c r="E33" s="326"/>
      <c r="F33" s="326"/>
      <c r="G33" s="326"/>
      <c r="H33" s="326"/>
      <c r="I33" s="326"/>
      <c r="J33" s="326"/>
      <c r="K33" s="326"/>
      <c r="L33" s="326"/>
    </row>
    <row r="34" spans="1:16" x14ac:dyDescent="0.25">
      <c r="A34" s="231"/>
      <c r="B34" s="326"/>
      <c r="C34" s="326"/>
      <c r="D34" s="326"/>
      <c r="E34" s="326"/>
      <c r="F34" s="326"/>
      <c r="G34" s="326"/>
      <c r="H34" s="326"/>
      <c r="I34" s="326"/>
      <c r="J34" s="326"/>
      <c r="K34" s="326"/>
      <c r="L34" s="326"/>
    </row>
    <row r="35" spans="1:16" x14ac:dyDescent="0.25">
      <c r="A35" s="231"/>
      <c r="B35" s="326"/>
      <c r="C35" s="326"/>
      <c r="D35" s="326"/>
      <c r="E35" s="326"/>
      <c r="F35" s="326"/>
      <c r="G35" s="326"/>
      <c r="H35" s="326"/>
      <c r="I35" s="326"/>
      <c r="J35" s="326"/>
      <c r="K35" s="326"/>
      <c r="L35" s="326"/>
      <c r="M35" s="8"/>
      <c r="N35" s="8"/>
      <c r="O35" s="8"/>
      <c r="P35" s="8"/>
    </row>
    <row r="36" spans="1:16" x14ac:dyDescent="0.25">
      <c r="A36" s="231"/>
      <c r="B36" s="327"/>
      <c r="C36" s="328"/>
      <c r="D36" s="328"/>
      <c r="E36" s="328"/>
      <c r="F36" s="328"/>
      <c r="G36" s="328"/>
      <c r="H36" s="328"/>
      <c r="I36" s="328"/>
      <c r="J36" s="328"/>
      <c r="K36" s="328"/>
      <c r="L36" s="326"/>
      <c r="M36" s="8"/>
      <c r="N36" s="8"/>
      <c r="O36" s="8"/>
      <c r="P36" s="8"/>
    </row>
    <row r="37" spans="1:16" x14ac:dyDescent="0.25">
      <c r="A37" s="329"/>
      <c r="B37" s="327"/>
      <c r="C37" s="328"/>
      <c r="D37" s="328"/>
      <c r="E37" s="328"/>
      <c r="F37" s="328"/>
      <c r="G37" s="328"/>
      <c r="H37" s="328"/>
      <c r="I37" s="328"/>
      <c r="J37" s="328"/>
      <c r="K37" s="328"/>
      <c r="L37" s="326"/>
      <c r="M37" s="8"/>
      <c r="N37" s="8"/>
      <c r="O37" s="8"/>
      <c r="P37" s="8"/>
    </row>
    <row r="38" spans="1:16" x14ac:dyDescent="0.25">
      <c r="A38" s="329"/>
      <c r="B38" s="327"/>
      <c r="C38" s="328"/>
      <c r="D38" s="328"/>
      <c r="E38" s="328"/>
      <c r="F38" s="328"/>
      <c r="G38" s="328"/>
      <c r="H38" s="328"/>
      <c r="I38" s="328"/>
      <c r="J38" s="328"/>
      <c r="K38" s="328"/>
      <c r="L38" s="326"/>
      <c r="M38" s="8"/>
      <c r="N38" s="8"/>
      <c r="O38" s="8"/>
      <c r="P38" s="8"/>
    </row>
    <row r="39" spans="1:16" x14ac:dyDescent="0.25">
      <c r="A39" s="329"/>
      <c r="B39" s="327"/>
      <c r="C39" s="328"/>
      <c r="D39" s="328"/>
      <c r="E39" s="328"/>
      <c r="F39" s="328"/>
      <c r="G39" s="328"/>
      <c r="H39" s="328"/>
      <c r="I39" s="328"/>
      <c r="J39" s="328"/>
      <c r="K39" s="328"/>
      <c r="L39" s="326"/>
      <c r="M39" s="8"/>
      <c r="N39" s="8"/>
      <c r="O39" s="8"/>
      <c r="P39" s="8"/>
    </row>
    <row r="40" spans="1:16" x14ac:dyDescent="0.25">
      <c r="A40" s="330"/>
      <c r="B40" s="327"/>
      <c r="C40" s="328"/>
      <c r="D40" s="328"/>
      <c r="E40" s="328"/>
      <c r="F40" s="328"/>
      <c r="G40" s="328"/>
      <c r="H40" s="328"/>
      <c r="I40" s="328"/>
      <c r="J40" s="328"/>
      <c r="K40" s="328"/>
      <c r="L40" s="326"/>
      <c r="M40" s="8"/>
      <c r="N40" s="8"/>
      <c r="O40" s="8"/>
      <c r="P40" s="8"/>
    </row>
    <row r="41" spans="1:16" x14ac:dyDescent="0.25">
      <c r="A41" s="330"/>
      <c r="B41" s="290"/>
      <c r="C41" s="290">
        <v>2004</v>
      </c>
      <c r="D41" s="290">
        <v>2005</v>
      </c>
      <c r="E41" s="290">
        <v>2006</v>
      </c>
      <c r="F41" s="290"/>
      <c r="G41" s="290">
        <v>2007</v>
      </c>
      <c r="H41" s="290">
        <v>2008</v>
      </c>
      <c r="I41" s="290">
        <v>2009</v>
      </c>
      <c r="J41" s="290">
        <v>2010</v>
      </c>
      <c r="K41" s="290">
        <v>2011</v>
      </c>
      <c r="L41" s="326"/>
      <c r="M41" s="8"/>
      <c r="N41" s="8"/>
      <c r="O41" s="8"/>
      <c r="P41" s="8"/>
    </row>
    <row r="42" spans="1:16" ht="51.75" x14ac:dyDescent="0.25">
      <c r="A42" s="330"/>
      <c r="B42" s="325" t="s">
        <v>355</v>
      </c>
      <c r="C42" s="289">
        <v>8542</v>
      </c>
      <c r="D42" s="289">
        <v>8451</v>
      </c>
      <c r="E42" s="289">
        <v>8325</v>
      </c>
      <c r="F42" s="289"/>
      <c r="G42" s="289">
        <v>8261</v>
      </c>
      <c r="H42" s="289">
        <v>8230</v>
      </c>
      <c r="I42" s="289">
        <v>8228</v>
      </c>
      <c r="J42" s="324">
        <v>8313</v>
      </c>
      <c r="K42" s="289">
        <v>8317</v>
      </c>
      <c r="L42" s="326"/>
      <c r="M42" s="8"/>
      <c r="N42" s="8"/>
      <c r="O42" s="8"/>
      <c r="P42" s="8"/>
    </row>
    <row r="43" spans="1:16" ht="90" x14ac:dyDescent="0.25">
      <c r="A43" s="330"/>
      <c r="B43" s="325" t="s">
        <v>356</v>
      </c>
      <c r="C43" s="289">
        <v>52.527999999999999</v>
      </c>
      <c r="D43" s="289">
        <v>52.817999999999998</v>
      </c>
      <c r="E43" s="289">
        <v>53.283999999999999</v>
      </c>
      <c r="F43" s="289"/>
      <c r="G43" s="289">
        <v>53.588000000000001</v>
      </c>
      <c r="H43" s="289">
        <v>53.945</v>
      </c>
      <c r="I43" s="289">
        <v>54.609000000000002</v>
      </c>
      <c r="J43" s="324">
        <v>55.02</v>
      </c>
      <c r="K43" s="289">
        <v>55.308</v>
      </c>
      <c r="L43" s="326"/>
      <c r="M43" s="8"/>
      <c r="N43" s="8"/>
      <c r="O43" s="8"/>
      <c r="P43" s="8"/>
    </row>
    <row r="44" spans="1:16" ht="102.75" x14ac:dyDescent="0.25">
      <c r="A44" s="330"/>
      <c r="B44" s="325" t="s">
        <v>357</v>
      </c>
      <c r="C44" s="289">
        <v>6149</v>
      </c>
      <c r="D44" s="289">
        <v>6250</v>
      </c>
      <c r="E44" s="289">
        <v>6400</v>
      </c>
      <c r="F44" s="289"/>
      <c r="G44" s="289">
        <v>6487</v>
      </c>
      <c r="H44" s="289">
        <v>6555</v>
      </c>
      <c r="I44" s="289">
        <v>6637</v>
      </c>
      <c r="J44" s="324">
        <v>6622</v>
      </c>
      <c r="K44" s="289">
        <v>6650</v>
      </c>
      <c r="L44" s="326"/>
    </row>
    <row r="45" spans="1:16" x14ac:dyDescent="0.25">
      <c r="A45" s="330"/>
      <c r="B45" s="326"/>
      <c r="C45" s="326"/>
      <c r="D45" s="326"/>
      <c r="E45" s="326"/>
      <c r="F45" s="326"/>
      <c r="G45" s="326"/>
      <c r="H45" s="326"/>
      <c r="I45" s="326"/>
      <c r="J45" s="326"/>
      <c r="K45" s="326"/>
      <c r="L45" s="326"/>
    </row>
    <row r="46" spans="1:16" x14ac:dyDescent="0.25">
      <c r="A46" s="5"/>
      <c r="B46" s="276"/>
    </row>
    <row r="47" spans="1:16" x14ac:dyDescent="0.25">
      <c r="A47" s="5"/>
      <c r="B47" s="276"/>
    </row>
    <row r="48" spans="1:16" x14ac:dyDescent="0.25">
      <c r="A48" s="5"/>
      <c r="B48" s="276"/>
    </row>
    <row r="49" spans="1:2" ht="23.25" x14ac:dyDescent="0.3">
      <c r="A49" s="232"/>
      <c r="B49" s="276"/>
    </row>
    <row r="50" spans="1:2" ht="23.25" x14ac:dyDescent="0.3">
      <c r="A50" s="232"/>
      <c r="B50" s="276"/>
    </row>
    <row r="51" spans="1:2" ht="23.25" x14ac:dyDescent="0.3">
      <c r="A51" s="232"/>
      <c r="B51" s="276"/>
    </row>
    <row r="52" spans="1:2" ht="23.25" x14ac:dyDescent="0.3">
      <c r="A52" s="232"/>
      <c r="B52" s="276"/>
    </row>
    <row r="53" spans="1:2" ht="23.25" x14ac:dyDescent="0.3">
      <c r="A53" s="232"/>
      <c r="B53" s="276"/>
    </row>
    <row r="54" spans="1:2" ht="23.25" x14ac:dyDescent="0.3">
      <c r="A54" s="232"/>
      <c r="B54" s="276"/>
    </row>
    <row r="55" spans="1:2" ht="23.25" x14ac:dyDescent="0.3">
      <c r="A55" s="232"/>
      <c r="B55" s="276"/>
    </row>
    <row r="56" spans="1:2" ht="23.25" x14ac:dyDescent="0.3">
      <c r="A56" s="232"/>
      <c r="B56" s="276"/>
    </row>
    <row r="57" spans="1:2" ht="23.25" x14ac:dyDescent="0.3">
      <c r="A57" s="232"/>
      <c r="B57" s="276"/>
    </row>
    <row r="58" spans="1:2" ht="23.25" x14ac:dyDescent="0.3">
      <c r="A58" s="232"/>
      <c r="B58" s="276"/>
    </row>
    <row r="59" spans="1:2" ht="23.25" x14ac:dyDescent="0.3">
      <c r="A59" s="232"/>
      <c r="B59" s="276"/>
    </row>
    <row r="60" spans="1:2" ht="23.25" x14ac:dyDescent="0.3">
      <c r="A60" s="232"/>
      <c r="B60" s="276"/>
    </row>
    <row r="61" spans="1:2" ht="23.25" x14ac:dyDescent="0.3">
      <c r="A61" s="232"/>
      <c r="B61" s="276"/>
    </row>
    <row r="62" spans="1:2" ht="23.25" x14ac:dyDescent="0.3">
      <c r="A62" s="232"/>
      <c r="B62" s="276"/>
    </row>
    <row r="63" spans="1:2" ht="23.25" x14ac:dyDescent="0.3">
      <c r="A63" s="232"/>
      <c r="B63" s="276"/>
    </row>
    <row r="64" spans="1:2" ht="23.25" x14ac:dyDescent="0.3">
      <c r="A64" s="232"/>
      <c r="B64" s="276"/>
    </row>
    <row r="65" spans="2:9" x14ac:dyDescent="0.25">
      <c r="B65" s="276"/>
    </row>
    <row r="66" spans="2:9" x14ac:dyDescent="0.25">
      <c r="B66" s="276"/>
    </row>
    <row r="67" spans="2:9" x14ac:dyDescent="0.25">
      <c r="B67" s="276"/>
    </row>
    <row r="68" spans="2:9" x14ac:dyDescent="0.25">
      <c r="B68" s="276"/>
    </row>
    <row r="69" spans="2:9" x14ac:dyDescent="0.25">
      <c r="B69" s="276"/>
    </row>
    <row r="70" spans="2:9" x14ac:dyDescent="0.25">
      <c r="B70" s="276"/>
    </row>
    <row r="71" spans="2:9" x14ac:dyDescent="0.25">
      <c r="B71" s="276"/>
    </row>
    <row r="72" spans="2:9" x14ac:dyDescent="0.25">
      <c r="B72" s="276"/>
    </row>
    <row r="73" spans="2:9" x14ac:dyDescent="0.25">
      <c r="B73" s="276"/>
      <c r="C73" s="276"/>
      <c r="D73" s="276"/>
      <c r="E73" s="276"/>
      <c r="F73" s="276"/>
      <c r="G73" s="276"/>
      <c r="H73" s="276"/>
      <c r="I73" s="276"/>
    </row>
    <row r="74" spans="2:9" x14ac:dyDescent="0.25">
      <c r="B74" s="276"/>
      <c r="C74" s="276"/>
      <c r="D74" s="276"/>
      <c r="E74" s="276"/>
      <c r="F74" s="276"/>
      <c r="G74" s="276"/>
      <c r="H74" s="276"/>
      <c r="I74" s="276"/>
    </row>
    <row r="75" spans="2:9" x14ac:dyDescent="0.25">
      <c r="B75" s="276"/>
      <c r="C75" s="276"/>
      <c r="D75" s="276"/>
      <c r="E75" s="276"/>
      <c r="F75" s="276"/>
      <c r="G75" s="276"/>
      <c r="H75" s="276"/>
      <c r="I75" s="276"/>
    </row>
    <row r="76" spans="2:9" x14ac:dyDescent="0.25">
      <c r="B76" s="276"/>
      <c r="C76" s="276"/>
      <c r="D76" s="276"/>
      <c r="E76" s="276"/>
      <c r="F76" s="276"/>
      <c r="G76" s="276"/>
      <c r="H76" s="276"/>
      <c r="I76" s="276"/>
    </row>
    <row r="77" spans="2:9" x14ac:dyDescent="0.25">
      <c r="B77" s="276"/>
      <c r="C77" s="276"/>
      <c r="D77" s="276"/>
      <c r="E77" s="276"/>
      <c r="F77" s="276"/>
      <c r="G77" s="276"/>
      <c r="H77" s="276"/>
      <c r="I77" s="276"/>
    </row>
    <row r="78" spans="2:9" x14ac:dyDescent="0.25">
      <c r="B78" s="276"/>
      <c r="C78" s="276"/>
      <c r="D78" s="276"/>
      <c r="E78" s="276"/>
      <c r="F78" s="276"/>
      <c r="G78" s="276"/>
      <c r="H78" s="276"/>
      <c r="I78" s="276"/>
    </row>
    <row r="79" spans="2:9" x14ac:dyDescent="0.25">
      <c r="B79" s="276"/>
      <c r="C79" s="276"/>
      <c r="D79" s="276"/>
      <c r="E79" s="276"/>
      <c r="F79" s="276"/>
      <c r="G79" s="276"/>
      <c r="H79" s="276"/>
      <c r="I79" s="276"/>
    </row>
    <row r="80" spans="2:9" ht="23.25" customHeight="1" x14ac:dyDescent="0.25">
      <c r="B80" s="276"/>
      <c r="C80" s="276"/>
      <c r="D80" s="276"/>
      <c r="E80" s="276"/>
      <c r="F80" s="276"/>
      <c r="G80" s="276"/>
      <c r="H80" s="276"/>
      <c r="I80" s="276"/>
    </row>
  </sheetData>
  <mergeCells count="2">
    <mergeCell ref="C12:E12"/>
    <mergeCell ref="G12:I12"/>
  </mergeCells>
  <dataValidations count="1">
    <dataValidation type="list" allowBlank="1" showInputMessage="1" showErrorMessage="1" sqref="B10">
      <formula1>GPview</formula1>
    </dataValidation>
  </dataValidations>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C4:M48"/>
  <sheetViews>
    <sheetView topLeftCell="C16" workbookViewId="0">
      <selection activeCell="L41" sqref="L41"/>
    </sheetView>
  </sheetViews>
  <sheetFormatPr defaultRowHeight="15" x14ac:dyDescent="0.25"/>
  <sheetData>
    <row r="4" spans="3:13" ht="22.5" x14ac:dyDescent="0.3">
      <c r="C4" s="226" t="s">
        <v>1</v>
      </c>
      <c r="D4" s="226" t="s">
        <v>273</v>
      </c>
      <c r="E4" s="226" t="s">
        <v>274</v>
      </c>
      <c r="F4" s="226" t="s">
        <v>275</v>
      </c>
      <c r="G4" s="226" t="s">
        <v>276</v>
      </c>
      <c r="H4" s="226" t="s">
        <v>277</v>
      </c>
      <c r="I4" s="226" t="s">
        <v>278</v>
      </c>
      <c r="J4" s="226" t="s">
        <v>279</v>
      </c>
    </row>
    <row r="5" spans="3:13" ht="22.5" x14ac:dyDescent="0.3">
      <c r="C5" s="226" t="s">
        <v>4</v>
      </c>
      <c r="D5" s="246">
        <v>0.92500000000000004</v>
      </c>
      <c r="E5" s="246">
        <v>0.93700000000000006</v>
      </c>
      <c r="F5" s="246">
        <v>0.92900000000000005</v>
      </c>
      <c r="G5" s="107"/>
      <c r="H5" s="107">
        <v>0.91</v>
      </c>
      <c r="I5" s="246">
        <v>0.97</v>
      </c>
      <c r="J5" s="107">
        <v>0.89</v>
      </c>
    </row>
    <row r="6" spans="3:13" ht="22.5" x14ac:dyDescent="0.3">
      <c r="C6" s="226" t="s">
        <v>5</v>
      </c>
      <c r="D6" s="246">
        <v>0.95299999999999996</v>
      </c>
      <c r="E6" s="246">
        <v>0.98599999999999999</v>
      </c>
      <c r="F6" s="246">
        <v>0.96499999999999997</v>
      </c>
      <c r="G6" s="107"/>
      <c r="H6" s="107">
        <v>0.95</v>
      </c>
      <c r="I6" s="246">
        <v>0.94</v>
      </c>
      <c r="J6" s="107">
        <v>0.95</v>
      </c>
    </row>
    <row r="7" spans="3:13" ht="22.5" x14ac:dyDescent="0.3">
      <c r="C7" s="226" t="s">
        <v>6</v>
      </c>
      <c r="D7" s="246">
        <v>0.97</v>
      </c>
      <c r="E7" s="246">
        <v>0.97299999999999998</v>
      </c>
      <c r="F7" s="246">
        <v>0.97099999999999997</v>
      </c>
      <c r="G7" s="107"/>
      <c r="H7" s="107">
        <v>0.97</v>
      </c>
      <c r="I7" s="107">
        <v>0.98</v>
      </c>
      <c r="J7" s="107">
        <v>0.98</v>
      </c>
    </row>
    <row r="8" spans="3:13" ht="22.5" x14ac:dyDescent="0.3">
      <c r="C8" s="226" t="s">
        <v>7</v>
      </c>
      <c r="D8" s="246">
        <v>1</v>
      </c>
      <c r="E8" s="246">
        <v>1</v>
      </c>
      <c r="F8" s="246">
        <v>1</v>
      </c>
      <c r="G8" s="246"/>
      <c r="H8" s="246">
        <v>1</v>
      </c>
      <c r="I8" s="246">
        <v>1</v>
      </c>
      <c r="J8" s="246">
        <v>1</v>
      </c>
    </row>
    <row r="11" spans="3:13" ht="15.75" thickBot="1" x14ac:dyDescent="0.3"/>
    <row r="12" spans="3:13" ht="26.25" thickBot="1" x14ac:dyDescent="0.35">
      <c r="C12" s="226" t="s">
        <v>273</v>
      </c>
      <c r="K12" s="247" t="s">
        <v>280</v>
      </c>
      <c r="L12" s="248" t="s">
        <v>281</v>
      </c>
      <c r="M12" s="248" t="s">
        <v>282</v>
      </c>
    </row>
    <row r="13" spans="3:13" ht="51.75" thickBot="1" x14ac:dyDescent="0.35">
      <c r="C13" s="226" t="s">
        <v>274</v>
      </c>
      <c r="K13" s="249" t="s">
        <v>215</v>
      </c>
      <c r="L13" s="250" t="s">
        <v>283</v>
      </c>
      <c r="M13" s="250" t="s">
        <v>284</v>
      </c>
    </row>
    <row r="14" spans="3:13" ht="51.75" thickBot="1" x14ac:dyDescent="0.35">
      <c r="C14" s="226" t="s">
        <v>275</v>
      </c>
      <c r="K14" s="249" t="s">
        <v>215</v>
      </c>
      <c r="L14" s="250" t="s">
        <v>285</v>
      </c>
      <c r="M14" s="250" t="s">
        <v>286</v>
      </c>
    </row>
    <row r="15" spans="3:13" ht="51.75" thickBot="1" x14ac:dyDescent="0.35">
      <c r="C15" s="226" t="s">
        <v>276</v>
      </c>
      <c r="K15" s="249" t="s">
        <v>216</v>
      </c>
      <c r="L15" s="250" t="s">
        <v>285</v>
      </c>
      <c r="M15" s="250" t="s">
        <v>286</v>
      </c>
    </row>
    <row r="16" spans="3:13" ht="51.75" thickBot="1" x14ac:dyDescent="0.35">
      <c r="C16" s="226" t="s">
        <v>277</v>
      </c>
      <c r="K16" s="249" t="s">
        <v>57</v>
      </c>
      <c r="L16" s="250" t="s">
        <v>285</v>
      </c>
      <c r="M16" s="250" t="s">
        <v>287</v>
      </c>
    </row>
    <row r="17" spans="3:13" ht="140.25" x14ac:dyDescent="0.3">
      <c r="C17" s="226" t="s">
        <v>278</v>
      </c>
      <c r="K17" s="1996" t="s">
        <v>47</v>
      </c>
      <c r="L17" s="1996" t="s">
        <v>285</v>
      </c>
      <c r="M17" s="251" t="s">
        <v>288</v>
      </c>
    </row>
    <row r="18" spans="3:13" ht="281.25" thickBot="1" x14ac:dyDescent="0.35">
      <c r="C18" s="226" t="s">
        <v>279</v>
      </c>
      <c r="K18" s="1997"/>
      <c r="L18" s="1997"/>
      <c r="M18" s="250" t="s">
        <v>289</v>
      </c>
    </row>
    <row r="19" spans="3:13" ht="102.75" thickBot="1" x14ac:dyDescent="0.3">
      <c r="K19" s="249" t="s">
        <v>290</v>
      </c>
      <c r="L19" s="250" t="s">
        <v>291</v>
      </c>
      <c r="M19" s="250" t="s">
        <v>292</v>
      </c>
    </row>
    <row r="20" spans="3:13" ht="51.75" thickBot="1" x14ac:dyDescent="0.3">
      <c r="K20" s="249" t="s">
        <v>136</v>
      </c>
      <c r="L20" s="250" t="s">
        <v>293</v>
      </c>
      <c r="M20" s="250" t="s">
        <v>294</v>
      </c>
    </row>
    <row r="21" spans="3:13" ht="39" thickBot="1" x14ac:dyDescent="0.3">
      <c r="K21" s="249" t="s">
        <v>295</v>
      </c>
      <c r="L21" s="250" t="s">
        <v>291</v>
      </c>
      <c r="M21" s="250" t="s">
        <v>296</v>
      </c>
    </row>
    <row r="25" spans="3:13" x14ac:dyDescent="0.25">
      <c r="C25" t="s">
        <v>214</v>
      </c>
      <c r="D25" t="s">
        <v>192</v>
      </c>
      <c r="E25" t="s">
        <v>193</v>
      </c>
      <c r="F25" t="s">
        <v>194</v>
      </c>
      <c r="G25" t="s">
        <v>195</v>
      </c>
      <c r="H25" t="s">
        <v>196</v>
      </c>
      <c r="I25" t="s">
        <v>6</v>
      </c>
      <c r="J25" t="s">
        <v>7</v>
      </c>
    </row>
    <row r="26" spans="3:13" x14ac:dyDescent="0.25">
      <c r="C26" t="s">
        <v>215</v>
      </c>
      <c r="D26">
        <v>31334252.480110005</v>
      </c>
      <c r="E26">
        <v>33926746.314999998</v>
      </c>
      <c r="F26">
        <v>35177509.125</v>
      </c>
      <c r="G26">
        <v>36539983.701629996</v>
      </c>
      <c r="H26">
        <v>39213453.649081036</v>
      </c>
      <c r="I26">
        <v>42145100.102129996</v>
      </c>
      <c r="J26">
        <v>43513839</v>
      </c>
    </row>
    <row r="27" spans="3:13" x14ac:dyDescent="0.25">
      <c r="C27" t="s">
        <v>216</v>
      </c>
      <c r="D27">
        <v>1557282.4487299998</v>
      </c>
      <c r="E27">
        <v>1459935.5</v>
      </c>
      <c r="F27">
        <v>1185244</v>
      </c>
      <c r="G27">
        <v>1354520.29837</v>
      </c>
      <c r="H27">
        <v>1895451.8837600001</v>
      </c>
      <c r="I27">
        <v>2195295.3909299998</v>
      </c>
      <c r="J27">
        <v>2127889</v>
      </c>
    </row>
    <row r="28" spans="3:13" x14ac:dyDescent="0.25">
      <c r="C28" t="s">
        <v>297</v>
      </c>
      <c r="D28">
        <v>11981995</v>
      </c>
      <c r="E28">
        <v>14214691</v>
      </c>
      <c r="F28">
        <v>15833718</v>
      </c>
      <c r="G28">
        <v>18565596</v>
      </c>
      <c r="H28">
        <v>20184852</v>
      </c>
      <c r="I28">
        <v>22017445</v>
      </c>
      <c r="J28">
        <v>23931309</v>
      </c>
    </row>
    <row r="29" spans="3:13" x14ac:dyDescent="0.25">
      <c r="C29" t="s">
        <v>298</v>
      </c>
      <c r="D29">
        <v>8757990</v>
      </c>
      <c r="E29">
        <v>10271344</v>
      </c>
      <c r="F29">
        <v>11378727</v>
      </c>
      <c r="G29">
        <v>13036200</v>
      </c>
      <c r="H29">
        <v>13991803</v>
      </c>
      <c r="I29">
        <v>14911074</v>
      </c>
      <c r="J29">
        <v>16077609</v>
      </c>
    </row>
    <row r="30" spans="3:13" x14ac:dyDescent="0.25">
      <c r="C30" t="s">
        <v>47</v>
      </c>
      <c r="D30">
        <v>5115514.2809764491</v>
      </c>
      <c r="E30">
        <v>5839664.3710000003</v>
      </c>
      <c r="F30">
        <v>6568362.6799999997</v>
      </c>
      <c r="G30">
        <v>7784592.0729</v>
      </c>
      <c r="H30">
        <v>7426030.9178999998</v>
      </c>
      <c r="I30">
        <v>7635390.1285600001</v>
      </c>
      <c r="J30">
        <v>8025361</v>
      </c>
    </row>
    <row r="31" spans="3:13" x14ac:dyDescent="0.25">
      <c r="C31" t="s">
        <v>299</v>
      </c>
      <c r="D31">
        <v>8094174.9440000001</v>
      </c>
      <c r="E31">
        <v>8013483.2259999998</v>
      </c>
      <c r="F31">
        <v>8250323.8930000002</v>
      </c>
      <c r="G31">
        <v>8303500.9179999996</v>
      </c>
      <c r="H31">
        <v>8376264.432</v>
      </c>
      <c r="I31">
        <v>8621421.1300000008</v>
      </c>
      <c r="J31">
        <v>8880735.3440000005</v>
      </c>
    </row>
    <row r="32" spans="3:13" x14ac:dyDescent="0.25">
      <c r="C32" t="s">
        <v>218</v>
      </c>
      <c r="D32">
        <v>9569836</v>
      </c>
      <c r="E32">
        <v>11162141</v>
      </c>
      <c r="F32">
        <v>11209422</v>
      </c>
      <c r="G32">
        <v>11697639</v>
      </c>
      <c r="H32">
        <v>12074672</v>
      </c>
      <c r="I32">
        <v>12683418</v>
      </c>
      <c r="J32">
        <v>12962081</v>
      </c>
    </row>
    <row r="33" spans="3:10" x14ac:dyDescent="0.25">
      <c r="C33" t="s">
        <v>219</v>
      </c>
      <c r="D33">
        <v>278000</v>
      </c>
      <c r="E33">
        <v>262000</v>
      </c>
      <c r="F33">
        <v>229000</v>
      </c>
      <c r="G33">
        <v>226000</v>
      </c>
      <c r="H33">
        <v>242958</v>
      </c>
      <c r="I33">
        <v>241608</v>
      </c>
      <c r="J33">
        <v>212245</v>
      </c>
    </row>
    <row r="34" spans="3:10" x14ac:dyDescent="0.25">
      <c r="C34" t="s">
        <v>300</v>
      </c>
      <c r="D34">
        <v>67931055.153816462</v>
      </c>
      <c r="E34">
        <v>74878661.412</v>
      </c>
      <c r="F34">
        <v>78453579.697999999</v>
      </c>
      <c r="G34">
        <v>84471831.990899995</v>
      </c>
      <c r="H34">
        <v>89413682.882741034</v>
      </c>
      <c r="I34">
        <v>95539677.751619995</v>
      </c>
      <c r="J34">
        <v>99653459.343999997</v>
      </c>
    </row>
    <row r="35" spans="3:10" x14ac:dyDescent="0.25">
      <c r="C35" t="s">
        <v>301</v>
      </c>
      <c r="D35">
        <v>64707050.153816454</v>
      </c>
      <c r="E35">
        <v>70935314.412</v>
      </c>
      <c r="F35">
        <v>73998588.697999999</v>
      </c>
      <c r="G35">
        <v>78942435.990899995</v>
      </c>
      <c r="H35">
        <v>83220633.882741034</v>
      </c>
      <c r="I35">
        <v>88433306.751619995</v>
      </c>
      <c r="J35">
        <v>91799759.343999997</v>
      </c>
    </row>
    <row r="38" spans="3:10" x14ac:dyDescent="0.25">
      <c r="C38" t="s">
        <v>221</v>
      </c>
    </row>
    <row r="39" spans="3:10" x14ac:dyDescent="0.25">
      <c r="C39" t="s">
        <v>215</v>
      </c>
      <c r="D39">
        <v>38212088</v>
      </c>
      <c r="E39">
        <v>39516362</v>
      </c>
      <c r="F39">
        <v>39359457</v>
      </c>
      <c r="G39">
        <v>39525586</v>
      </c>
      <c r="H39">
        <v>41200614</v>
      </c>
      <c r="I39">
        <v>43406879</v>
      </c>
      <c r="J39">
        <v>43513839</v>
      </c>
    </row>
    <row r="40" spans="3:10" x14ac:dyDescent="0.25">
      <c r="C40" t="s">
        <v>216</v>
      </c>
      <c r="D40">
        <v>1669078</v>
      </c>
      <c r="E40">
        <v>1440740</v>
      </c>
      <c r="F40">
        <v>1089513</v>
      </c>
      <c r="G40">
        <v>1305572</v>
      </c>
      <c r="H40">
        <v>1988902</v>
      </c>
      <c r="I40">
        <v>2373791</v>
      </c>
      <c r="J40">
        <v>2127889</v>
      </c>
    </row>
    <row r="41" spans="3:10" x14ac:dyDescent="0.25">
      <c r="C41" t="s">
        <v>302</v>
      </c>
      <c r="D41">
        <v>12585219</v>
      </c>
      <c r="E41">
        <v>15063465</v>
      </c>
      <c r="F41">
        <v>16481702</v>
      </c>
      <c r="G41">
        <v>19256774</v>
      </c>
      <c r="H41">
        <v>20421390</v>
      </c>
      <c r="I41">
        <v>22731361</v>
      </c>
      <c r="J41">
        <v>23931309</v>
      </c>
    </row>
    <row r="42" spans="3:10" x14ac:dyDescent="0.25">
      <c r="C42" t="s">
        <v>303</v>
      </c>
      <c r="D42">
        <v>8908327</v>
      </c>
      <c r="E42">
        <v>10650038</v>
      </c>
      <c r="F42">
        <v>11640863</v>
      </c>
      <c r="G42">
        <v>13367264.856002657</v>
      </c>
      <c r="H42">
        <v>14140508.469508</v>
      </c>
      <c r="I42">
        <v>15427876.675999999</v>
      </c>
      <c r="J42">
        <v>16077604</v>
      </c>
    </row>
    <row r="43" spans="3:10" x14ac:dyDescent="0.25">
      <c r="C43" t="s">
        <v>47</v>
      </c>
      <c r="D43">
        <v>3308036</v>
      </c>
      <c r="E43">
        <v>3578676</v>
      </c>
      <c r="F43">
        <v>4190683</v>
      </c>
      <c r="G43">
        <v>4292293</v>
      </c>
      <c r="H43">
        <v>3994568</v>
      </c>
      <c r="I43">
        <v>3958031</v>
      </c>
      <c r="J43">
        <v>3893374</v>
      </c>
    </row>
    <row r="44" spans="3:10" x14ac:dyDescent="0.25">
      <c r="C44" t="s">
        <v>136</v>
      </c>
      <c r="D44">
        <v>5931102.0326811802</v>
      </c>
      <c r="E44">
        <v>6514497.3790748697</v>
      </c>
      <c r="F44">
        <v>6944132.5587071804</v>
      </c>
      <c r="G44">
        <v>7454440.1813448202</v>
      </c>
      <c r="H44">
        <v>7927564.2930153301</v>
      </c>
      <c r="I44">
        <v>8477306.9124877099</v>
      </c>
      <c r="J44">
        <v>8880735.3440000005</v>
      </c>
    </row>
    <row r="45" spans="3:10" x14ac:dyDescent="0.25">
      <c r="C45" t="s">
        <v>218</v>
      </c>
      <c r="D45">
        <v>11660794</v>
      </c>
      <c r="E45">
        <v>12994731</v>
      </c>
      <c r="F45">
        <v>12536001</v>
      </c>
      <c r="G45">
        <v>12642512</v>
      </c>
      <c r="H45">
        <v>12663273</v>
      </c>
      <c r="I45">
        <v>13075835</v>
      </c>
      <c r="J45">
        <v>12962081</v>
      </c>
    </row>
    <row r="46" spans="3:10" x14ac:dyDescent="0.25">
      <c r="C46" t="s">
        <v>219</v>
      </c>
      <c r="D46">
        <v>331183</v>
      </c>
      <c r="E46">
        <v>300986</v>
      </c>
      <c r="F46">
        <v>253689</v>
      </c>
      <c r="G46">
        <v>243310</v>
      </c>
      <c r="H46">
        <v>251748</v>
      </c>
      <c r="I46">
        <v>248856</v>
      </c>
      <c r="J46">
        <v>212245</v>
      </c>
    </row>
    <row r="47" spans="3:10" x14ac:dyDescent="0.25">
      <c r="C47" t="s">
        <v>300</v>
      </c>
      <c r="D47">
        <v>73697500.032681182</v>
      </c>
      <c r="E47">
        <v>78105717.379074872</v>
      </c>
      <c r="F47">
        <v>81361204.558707178</v>
      </c>
      <c r="G47">
        <v>84624355.181344822</v>
      </c>
      <c r="H47">
        <v>88418860.293015331</v>
      </c>
      <c r="I47">
        <v>93862389.912487715</v>
      </c>
      <c r="J47">
        <v>95671837.343999997</v>
      </c>
    </row>
    <row r="48" spans="3:10" x14ac:dyDescent="0.25">
      <c r="C48" t="s">
        <v>304</v>
      </c>
      <c r="D48">
        <v>70020608.032681182</v>
      </c>
      <c r="E48">
        <v>73692290.379074872</v>
      </c>
      <c r="F48">
        <v>76520365.558707178</v>
      </c>
      <c r="G48">
        <v>78734846.037347481</v>
      </c>
      <c r="H48">
        <v>82137978.762523323</v>
      </c>
      <c r="I48">
        <v>86558905.588487715</v>
      </c>
      <c r="J48">
        <v>87818132.343999997</v>
      </c>
    </row>
  </sheetData>
  <customSheetViews>
    <customSheetView guid="{9EA95E61-FCA5-4867-AEB4-B8C24058ACDD}" state="hidden" topLeftCell="C16">
      <selection activeCell="L41" sqref="L41"/>
      <pageMargins left="0.7" right="0.7" top="0.75" bottom="0.75" header="0.3" footer="0.3"/>
    </customSheetView>
  </customSheetViews>
  <mergeCells count="2">
    <mergeCell ref="K17:K18"/>
    <mergeCell ref="L17:L18"/>
  </mergeCell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
  <sheetViews>
    <sheetView workbookViewId="0"/>
  </sheetViews>
  <sheetFormatPr defaultRowHeight="15" x14ac:dyDescent="0.25"/>
  <sheetData/>
  <customSheetViews>
    <customSheetView guid="{9EA95E61-FCA5-4867-AEB4-B8C24058ACDD}" state="hidden">
      <pageMargins left="0.7" right="0.7" top="0.75" bottom="0.75" header="0.3" footer="0.3"/>
    </customSheetView>
  </customSheetView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dimension ref="A4:W94"/>
  <sheetViews>
    <sheetView showGridLines="0" showRowColHeaders="0" zoomScale="60" zoomScaleNormal="60" workbookViewId="0">
      <selection activeCell="E15" sqref="E15"/>
    </sheetView>
  </sheetViews>
  <sheetFormatPr defaultRowHeight="15" x14ac:dyDescent="0.25"/>
  <cols>
    <col min="4" max="4" width="18.42578125" customWidth="1"/>
    <col min="5" max="5" width="20.140625" customWidth="1"/>
    <col min="6" max="9" width="25.42578125" customWidth="1"/>
    <col min="10" max="10" width="43.42578125" customWidth="1"/>
    <col min="11" max="11" width="39.42578125" customWidth="1"/>
    <col min="12" max="12" width="28.28515625" customWidth="1"/>
    <col min="13" max="13" width="32.7109375" customWidth="1"/>
    <col min="14" max="14" width="16.28515625" customWidth="1"/>
    <col min="15" max="15" width="26.28515625" bestFit="1" customWidth="1"/>
    <col min="16" max="16" width="16.28515625" bestFit="1" customWidth="1"/>
    <col min="17" max="17" width="22.5703125" bestFit="1" customWidth="1"/>
    <col min="18" max="18" width="21.28515625" bestFit="1" customWidth="1"/>
    <col min="19" max="19" width="22.28515625" bestFit="1" customWidth="1"/>
  </cols>
  <sheetData>
    <row r="4" spans="2:23" ht="59.25" x14ac:dyDescent="0.75">
      <c r="D4" s="4" t="s">
        <v>241</v>
      </c>
    </row>
    <row r="5" spans="2:23" ht="59.25" x14ac:dyDescent="0.75">
      <c r="D5" s="4"/>
    </row>
    <row r="6" spans="2:23" ht="23.25" customHeight="1" x14ac:dyDescent="0.3">
      <c r="D6" s="12" t="s">
        <v>240</v>
      </c>
    </row>
    <row r="7" spans="2:23" ht="22.5" x14ac:dyDescent="0.3">
      <c r="D7" s="11"/>
      <c r="E7" s="11"/>
    </row>
    <row r="8" spans="2:23" ht="23.25" customHeight="1" x14ac:dyDescent="0.3">
      <c r="B8" s="8"/>
      <c r="D8" s="12" t="s">
        <v>239</v>
      </c>
      <c r="E8" s="11"/>
      <c r="T8" s="8"/>
      <c r="U8" s="8"/>
      <c r="V8" s="8"/>
      <c r="W8" s="8"/>
    </row>
    <row r="9" spans="2:23" ht="22.5" x14ac:dyDescent="0.3">
      <c r="B9" s="8"/>
      <c r="D9" s="11" t="s">
        <v>238</v>
      </c>
      <c r="E9" s="11"/>
      <c r="T9" s="8"/>
      <c r="U9" s="8"/>
      <c r="V9" s="8"/>
      <c r="W9" s="8"/>
    </row>
    <row r="10" spans="2:23" ht="22.5" x14ac:dyDescent="0.3">
      <c r="B10" s="8"/>
      <c r="D10" s="226" t="s">
        <v>151</v>
      </c>
      <c r="E10" s="226"/>
      <c r="T10" s="8"/>
      <c r="U10" s="8"/>
      <c r="V10" s="8"/>
      <c r="W10" s="8"/>
    </row>
    <row r="11" spans="2:23" ht="22.5" x14ac:dyDescent="0.3">
      <c r="B11" s="8"/>
      <c r="D11" s="68"/>
      <c r="E11" s="68"/>
      <c r="F11" s="5"/>
      <c r="G11" s="5"/>
      <c r="H11" s="5"/>
      <c r="I11" s="5"/>
      <c r="T11" s="8"/>
      <c r="U11" s="8"/>
      <c r="V11" s="8"/>
      <c r="W11" s="8"/>
    </row>
    <row r="12" spans="2:23" x14ac:dyDescent="0.25">
      <c r="B12" s="8"/>
      <c r="D12" s="5"/>
      <c r="E12" s="5"/>
      <c r="F12" s="5"/>
      <c r="G12" s="5"/>
      <c r="H12" s="5"/>
      <c r="I12" s="5"/>
      <c r="T12" s="8"/>
      <c r="U12" s="8"/>
      <c r="V12" s="8"/>
      <c r="W12" s="8"/>
    </row>
    <row r="13" spans="2:23" ht="15.75" customHeight="1" x14ac:dyDescent="0.25">
      <c r="B13" s="8"/>
      <c r="D13" s="229" t="s">
        <v>242</v>
      </c>
      <c r="E13" s="229"/>
      <c r="F13" s="229"/>
      <c r="G13" s="229"/>
      <c r="H13" s="229"/>
      <c r="I13" s="229"/>
      <c r="T13" s="8"/>
      <c r="U13" s="8"/>
      <c r="V13" s="8"/>
      <c r="W13" s="8"/>
    </row>
    <row r="14" spans="2:23" ht="22.5" x14ac:dyDescent="0.3">
      <c r="B14" s="8"/>
      <c r="D14" s="228" t="s">
        <v>1</v>
      </c>
      <c r="E14" s="230" t="s">
        <v>139</v>
      </c>
      <c r="F14" s="230" t="s">
        <v>92</v>
      </c>
      <c r="G14" s="230" t="s">
        <v>140</v>
      </c>
      <c r="H14" s="230" t="s">
        <v>141</v>
      </c>
      <c r="I14" s="230" t="s">
        <v>142</v>
      </c>
      <c r="T14" s="8"/>
      <c r="U14" s="8"/>
      <c r="V14" s="8"/>
      <c r="W14" s="8"/>
    </row>
    <row r="15" spans="2:23" ht="22.5" x14ac:dyDescent="0.3">
      <c r="B15" s="8"/>
      <c r="D15" s="228" t="s">
        <v>4</v>
      </c>
      <c r="E15" s="230">
        <v>546407985</v>
      </c>
      <c r="F15" s="230">
        <v>24141900962</v>
      </c>
      <c r="G15" s="230"/>
      <c r="H15" s="230"/>
      <c r="I15" s="230"/>
      <c r="T15" s="8"/>
      <c r="U15" s="8"/>
      <c r="V15" s="8"/>
      <c r="W15" s="8"/>
    </row>
    <row r="16" spans="2:23" ht="22.5" x14ac:dyDescent="0.3">
      <c r="B16" s="8"/>
      <c r="D16" s="228" t="s">
        <v>5</v>
      </c>
      <c r="E16" s="230">
        <v>587473623</v>
      </c>
      <c r="F16" s="230">
        <v>26995447013.5</v>
      </c>
      <c r="G16" s="230">
        <v>26193448254.5</v>
      </c>
      <c r="H16" s="230">
        <v>25135524672</v>
      </c>
      <c r="I16" s="230">
        <v>24135973124</v>
      </c>
      <c r="T16" s="8"/>
      <c r="U16" s="8"/>
      <c r="V16" s="8"/>
      <c r="W16" s="8"/>
    </row>
    <row r="17" spans="1:23" ht="22.5" x14ac:dyDescent="0.3">
      <c r="B17" s="8"/>
      <c r="D17" s="228" t="s">
        <v>6</v>
      </c>
      <c r="E17" s="230">
        <v>606738376</v>
      </c>
      <c r="F17" s="230">
        <v>28902737855</v>
      </c>
      <c r="G17" s="230">
        <v>28210361133</v>
      </c>
      <c r="H17" s="230">
        <v>28225576497.5</v>
      </c>
      <c r="I17" s="230">
        <v>27002021701.5</v>
      </c>
      <c r="T17" s="8"/>
      <c r="U17" s="8"/>
      <c r="V17" s="8"/>
      <c r="W17" s="8"/>
    </row>
    <row r="18" spans="1:23" x14ac:dyDescent="0.25">
      <c r="B18" s="8"/>
      <c r="D18" t="s">
        <v>7</v>
      </c>
      <c r="E18">
        <v>625076448</v>
      </c>
      <c r="F18">
        <v>30243952851.900002</v>
      </c>
      <c r="G18">
        <v>30233131555.900002</v>
      </c>
      <c r="H18">
        <v>29316418821</v>
      </c>
      <c r="I18">
        <v>28930379660</v>
      </c>
      <c r="T18" s="8"/>
      <c r="U18" s="8"/>
      <c r="V18" s="8"/>
      <c r="W18" s="8"/>
    </row>
    <row r="19" spans="1:23" x14ac:dyDescent="0.25">
      <c r="B19" s="8"/>
      <c r="T19" s="8"/>
      <c r="U19" s="8"/>
      <c r="V19" s="8"/>
      <c r="W19" s="8"/>
    </row>
    <row r="20" spans="1:23" x14ac:dyDescent="0.25">
      <c r="B20" s="8"/>
      <c r="T20" s="8"/>
      <c r="U20" s="8"/>
      <c r="V20" s="8"/>
      <c r="W20" s="8"/>
    </row>
    <row r="21" spans="1:23" ht="15.75" customHeight="1" x14ac:dyDescent="0.25">
      <c r="B21" s="8"/>
      <c r="D21" t="s">
        <v>243</v>
      </c>
      <c r="T21" s="8"/>
      <c r="U21" s="8"/>
      <c r="V21" s="8"/>
      <c r="W21" s="8"/>
    </row>
    <row r="22" spans="1:23" x14ac:dyDescent="0.25">
      <c r="B22" s="8"/>
      <c r="D22" t="s">
        <v>1</v>
      </c>
      <c r="E22" t="s">
        <v>139</v>
      </c>
      <c r="F22" t="s">
        <v>92</v>
      </c>
      <c r="G22" t="s">
        <v>244</v>
      </c>
      <c r="H22" t="s">
        <v>141</v>
      </c>
      <c r="I22" t="s">
        <v>142</v>
      </c>
      <c r="T22" s="8"/>
      <c r="U22" s="8"/>
      <c r="V22" s="8"/>
      <c r="W22" s="8"/>
    </row>
    <row r="23" spans="1:23" ht="23.25" customHeight="1" x14ac:dyDescent="0.25">
      <c r="B23" s="8"/>
      <c r="D23" t="s">
        <v>4</v>
      </c>
      <c r="E23">
        <v>546407985</v>
      </c>
      <c r="F23">
        <v>24141900962</v>
      </c>
      <c r="T23" s="8"/>
      <c r="U23" s="8"/>
      <c r="V23" s="8"/>
      <c r="W23" s="8"/>
    </row>
    <row r="24" spans="1:23" x14ac:dyDescent="0.25">
      <c r="B24" s="8"/>
      <c r="D24" t="s">
        <v>5</v>
      </c>
      <c r="E24">
        <v>587473623</v>
      </c>
      <c r="F24">
        <v>26995447013.5</v>
      </c>
      <c r="G24">
        <v>26196351402.5</v>
      </c>
      <c r="H24">
        <v>25135524672</v>
      </c>
      <c r="I24">
        <v>24135973124</v>
      </c>
      <c r="T24" s="8"/>
      <c r="U24" s="8"/>
      <c r="V24" s="8"/>
      <c r="W24" s="8"/>
    </row>
    <row r="25" spans="1:23" x14ac:dyDescent="0.25">
      <c r="B25" s="8"/>
      <c r="D25" t="s">
        <v>6</v>
      </c>
      <c r="E25">
        <v>606738376</v>
      </c>
      <c r="F25">
        <v>28902737855</v>
      </c>
      <c r="G25">
        <v>28208823096</v>
      </c>
      <c r="H25">
        <v>28225576497.5</v>
      </c>
      <c r="I25">
        <v>27002021701.5</v>
      </c>
      <c r="T25" s="8"/>
      <c r="U25" s="8"/>
      <c r="V25" s="8"/>
      <c r="W25" s="8"/>
    </row>
    <row r="26" spans="1:23" x14ac:dyDescent="0.25">
      <c r="A26" s="5"/>
      <c r="B26" s="52"/>
      <c r="C26" s="6"/>
      <c r="D26" t="s">
        <v>7</v>
      </c>
      <c r="E26">
        <v>625076448</v>
      </c>
      <c r="F26">
        <v>30243952851.900002</v>
      </c>
      <c r="G26">
        <v>30231499469.900002</v>
      </c>
      <c r="H26">
        <v>29316418821</v>
      </c>
      <c r="I26">
        <v>28930379660</v>
      </c>
      <c r="T26" s="8"/>
      <c r="U26" s="8"/>
      <c r="V26" s="8"/>
      <c r="W26" s="8"/>
    </row>
    <row r="27" spans="1:23" x14ac:dyDescent="0.25">
      <c r="A27" s="5"/>
      <c r="B27" s="52"/>
      <c r="C27" s="5"/>
      <c r="T27" s="8"/>
      <c r="U27" s="8"/>
      <c r="V27" s="8"/>
      <c r="W27" s="8"/>
    </row>
    <row r="28" spans="1:23" x14ac:dyDescent="0.25">
      <c r="B28" s="8"/>
      <c r="C28" s="5"/>
      <c r="T28" s="8"/>
      <c r="U28" s="8"/>
      <c r="V28" s="8"/>
      <c r="W28" s="8"/>
    </row>
    <row r="29" spans="1:23" x14ac:dyDescent="0.25">
      <c r="C29" s="5"/>
    </row>
    <row r="30" spans="1:23" ht="23.25" customHeight="1" x14ac:dyDescent="0.25">
      <c r="C30" s="5"/>
    </row>
    <row r="31" spans="1:23" x14ac:dyDescent="0.25">
      <c r="C31" s="5"/>
    </row>
    <row r="32" spans="1:23" x14ac:dyDescent="0.25">
      <c r="C32" s="5"/>
    </row>
    <row r="33" spans="1:3" x14ac:dyDescent="0.25">
      <c r="C33" s="5"/>
    </row>
    <row r="34" spans="1:3" x14ac:dyDescent="0.25">
      <c r="A34" s="5"/>
      <c r="B34" s="5"/>
      <c r="C34" s="5"/>
    </row>
    <row r="35" spans="1:3" x14ac:dyDescent="0.25">
      <c r="C35" s="5"/>
    </row>
    <row r="36" spans="1:3" x14ac:dyDescent="0.25">
      <c r="C36" s="5"/>
    </row>
    <row r="37" spans="1:3" ht="23.25" customHeight="1" x14ac:dyDescent="0.25"/>
    <row r="44" spans="1:3" ht="23.25" customHeight="1" x14ac:dyDescent="0.25"/>
    <row r="58" ht="23.25" customHeight="1" x14ac:dyDescent="0.25"/>
    <row r="65" ht="23.25" customHeight="1" x14ac:dyDescent="0.25"/>
    <row r="72" ht="23.25" customHeight="1" x14ac:dyDescent="0.25"/>
    <row r="79" ht="23.25" customHeight="1" x14ac:dyDescent="0.25"/>
    <row r="86" ht="23.25" customHeight="1" x14ac:dyDescent="0.25"/>
    <row r="94" ht="23.25" customHeight="1" x14ac:dyDescent="0.25"/>
  </sheetData>
  <dataConsolidate/>
  <customSheetViews>
    <customSheetView guid="{9EA95E61-FCA5-4867-AEB4-B8C24058ACDD}" scale="60" showGridLines="0" showRowCol="0" state="hidden">
      <selection activeCell="E15" sqref="E15"/>
      <pageMargins left="0.7" right="0.7" top="0.75" bottom="0.75" header="0.3" footer="0.3"/>
      <pageSetup paperSize="9" orientation="portrait" r:id="rId1"/>
    </customSheetView>
  </customSheetViews>
  <dataValidations count="1">
    <dataValidation type="list" allowBlank="1" showInputMessage="1" showErrorMessage="1" sqref="D10">
      <formula1>Reference_costs</formula1>
    </dataValidation>
  </dataValidations>
  <pageMargins left="0.7" right="0.7" top="0.75" bottom="0.75" header="0.3" footer="0.3"/>
  <pageSetup paperSize="9" orientation="portrait" r:id="rId2"/>
  <drawing r:id="rId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dimension ref="A4:Z94"/>
  <sheetViews>
    <sheetView showGridLines="0" showRowColHeaders="0" topLeftCell="E10" zoomScale="55" zoomScaleNormal="55" workbookViewId="0">
      <selection activeCell="L54" sqref="L54"/>
    </sheetView>
  </sheetViews>
  <sheetFormatPr defaultRowHeight="15" x14ac:dyDescent="0.25"/>
  <cols>
    <col min="4" max="4" width="78.140625" customWidth="1"/>
    <col min="5" max="6" width="26.140625" customWidth="1"/>
    <col min="7" max="9" width="23.28515625" customWidth="1"/>
    <col min="10" max="11" width="20.42578125" customWidth="1"/>
    <col min="12" max="12" width="32.5703125" customWidth="1"/>
    <col min="13" max="13" width="35.42578125" customWidth="1"/>
    <col min="14" max="14" width="39.42578125" customWidth="1"/>
    <col min="15" max="15" width="28.28515625" customWidth="1"/>
    <col min="16" max="16" width="32.7109375" customWidth="1"/>
    <col min="17" max="17" width="16.28515625" customWidth="1"/>
    <col min="18" max="18" width="26.28515625" bestFit="1" customWidth="1"/>
    <col min="19" max="19" width="16.28515625" bestFit="1" customWidth="1"/>
    <col min="20" max="20" width="22.5703125" bestFit="1" customWidth="1"/>
    <col min="21" max="21" width="21.28515625" bestFit="1" customWidth="1"/>
    <col min="22" max="22" width="22.28515625" bestFit="1" customWidth="1"/>
  </cols>
  <sheetData>
    <row r="4" spans="2:26" ht="59.25" x14ac:dyDescent="0.75">
      <c r="D4" s="4" t="s">
        <v>155</v>
      </c>
    </row>
    <row r="5" spans="2:26" ht="59.25" x14ac:dyDescent="0.75">
      <c r="D5" s="4"/>
    </row>
    <row r="6" spans="2:26" ht="23.25" customHeight="1" x14ac:dyDescent="0.25"/>
    <row r="7" spans="2:26" ht="22.5" x14ac:dyDescent="0.3">
      <c r="D7" s="68"/>
      <c r="E7" s="68"/>
      <c r="F7" s="68"/>
      <c r="G7" s="117"/>
      <c r="H7" s="117" t="s">
        <v>156</v>
      </c>
      <c r="I7" s="117"/>
      <c r="J7" s="117"/>
      <c r="K7" s="117"/>
      <c r="L7" s="117"/>
      <c r="M7" s="117"/>
    </row>
    <row r="8" spans="2:26" ht="22.5" x14ac:dyDescent="0.3">
      <c r="B8" s="8"/>
      <c r="D8" s="68"/>
      <c r="E8" s="68"/>
      <c r="F8" s="68"/>
      <c r="G8" s="117"/>
      <c r="H8" s="117" t="s">
        <v>156</v>
      </c>
      <c r="I8" s="117"/>
      <c r="J8" s="117"/>
      <c r="K8" s="117"/>
      <c r="L8" s="117"/>
      <c r="M8" s="117"/>
      <c r="W8" s="8"/>
      <c r="X8" s="8"/>
      <c r="Y8" s="8"/>
      <c r="Z8" s="8"/>
    </row>
    <row r="9" spans="2:26" ht="23.25" thickBot="1" x14ac:dyDescent="0.35">
      <c r="B9" s="8"/>
      <c r="D9" s="121"/>
      <c r="E9" s="68"/>
      <c r="F9" s="68"/>
      <c r="G9" s="117"/>
      <c r="H9" s="117" t="s">
        <v>157</v>
      </c>
      <c r="I9" s="117"/>
      <c r="J9" s="117"/>
      <c r="K9" s="117"/>
      <c r="L9" s="118"/>
      <c r="M9" s="117"/>
      <c r="W9" s="8"/>
      <c r="X9" s="8"/>
      <c r="Y9" s="8"/>
      <c r="Z9" s="8"/>
    </row>
    <row r="10" spans="2:26" ht="23.25" thickBot="1" x14ac:dyDescent="0.35">
      <c r="B10" s="8"/>
      <c r="D10" s="135" t="s">
        <v>158</v>
      </c>
      <c r="E10" s="135" t="s">
        <v>159</v>
      </c>
      <c r="F10" s="136" t="s">
        <v>160</v>
      </c>
      <c r="G10" s="136" t="s">
        <v>160</v>
      </c>
      <c r="H10" s="136" t="s">
        <v>161</v>
      </c>
      <c r="I10" s="137" t="s">
        <v>162</v>
      </c>
      <c r="J10" s="137" t="s">
        <v>162</v>
      </c>
      <c r="K10" s="136" t="s">
        <v>163</v>
      </c>
      <c r="L10" s="136" t="s">
        <v>163</v>
      </c>
      <c r="M10" s="138" t="s">
        <v>164</v>
      </c>
      <c r="W10" s="8"/>
      <c r="X10" s="8"/>
      <c r="Y10" s="8"/>
      <c r="Z10" s="8"/>
    </row>
    <row r="11" spans="2:26" ht="22.5" x14ac:dyDescent="0.3">
      <c r="B11" s="8"/>
      <c r="D11" s="125" t="s">
        <v>165</v>
      </c>
      <c r="E11" s="134">
        <v>7.1108041068716377E-2</v>
      </c>
      <c r="F11" s="119">
        <f t="shared" ref="F11:F16" si="0">G11/G$11</f>
        <v>1</v>
      </c>
      <c r="G11" s="119">
        <v>1</v>
      </c>
      <c r="H11" s="122">
        <v>7.1906989401470958E-2</v>
      </c>
      <c r="I11" s="119">
        <f t="shared" ref="I11:I16" si="1">J11/J$11</f>
        <v>1</v>
      </c>
      <c r="J11" s="119">
        <v>1</v>
      </c>
      <c r="K11" s="119">
        <f t="shared" ref="K11:K16" si="2">L11/L$11</f>
        <v>1</v>
      </c>
      <c r="L11" s="119">
        <v>0.99925464770670003</v>
      </c>
      <c r="M11" s="126">
        <v>-7.4535229329997232E-4</v>
      </c>
      <c r="W11" s="8"/>
      <c r="X11" s="8"/>
      <c r="Y11" s="8"/>
      <c r="Z11" s="8"/>
    </row>
    <row r="12" spans="2:26" ht="22.5" x14ac:dyDescent="0.3">
      <c r="B12" s="8"/>
      <c r="D12" s="125" t="s">
        <v>166</v>
      </c>
      <c r="E12" s="134">
        <v>6.4976766300360644E-2</v>
      </c>
      <c r="F12" s="119">
        <f t="shared" si="0"/>
        <v>1.0649767663003606</v>
      </c>
      <c r="G12" s="119">
        <v>1.0649767663003606</v>
      </c>
      <c r="H12" s="122">
        <v>1.9157083327264832E-2</v>
      </c>
      <c r="I12" s="119">
        <f t="shared" si="1"/>
        <v>1.0191570833272647</v>
      </c>
      <c r="J12" s="119">
        <v>1.0191570833272647</v>
      </c>
      <c r="K12" s="119">
        <f t="shared" si="2"/>
        <v>1.0449584109482979</v>
      </c>
      <c r="L12" s="119">
        <v>1.0441795488002945</v>
      </c>
      <c r="M12" s="126">
        <v>4.4958410948297889E-2</v>
      </c>
      <c r="W12" s="8"/>
      <c r="X12" s="8"/>
      <c r="Y12" s="8"/>
      <c r="Z12" s="8"/>
    </row>
    <row r="13" spans="2:26" ht="22.5" x14ac:dyDescent="0.3">
      <c r="B13" s="8"/>
      <c r="D13" s="125" t="s">
        <v>167</v>
      </c>
      <c r="E13" s="134">
        <v>3.6553041824910038E-2</v>
      </c>
      <c r="F13" s="119">
        <f t="shared" si="0"/>
        <v>1.103904906581495</v>
      </c>
      <c r="G13" s="119">
        <v>1.103904906581495</v>
      </c>
      <c r="H13" s="122">
        <v>3.8782596283798848E-2</v>
      </c>
      <c r="I13" s="119">
        <f t="shared" si="1"/>
        <v>1.0586826410397201</v>
      </c>
      <c r="J13" s="119">
        <v>1.0586826410397201</v>
      </c>
      <c r="K13" s="119">
        <f t="shared" si="2"/>
        <v>1.0427156012470016</v>
      </c>
      <c r="L13" s="119">
        <v>1.0419384107823524</v>
      </c>
      <c r="M13" s="126">
        <v>-2.1463147985584241E-3</v>
      </c>
      <c r="W13" s="8"/>
      <c r="X13" s="8"/>
      <c r="Y13" s="8"/>
      <c r="Z13" s="8"/>
    </row>
    <row r="14" spans="2:26" ht="22.5" x14ac:dyDescent="0.3">
      <c r="B14" s="8"/>
      <c r="D14" s="125" t="s">
        <v>168</v>
      </c>
      <c r="E14" s="134">
        <v>5.7329999999999999E-2</v>
      </c>
      <c r="F14" s="119">
        <f t="shared" si="0"/>
        <v>1.1671917748758123</v>
      </c>
      <c r="G14" s="119">
        <v>1.1671917748758123</v>
      </c>
      <c r="H14" s="122">
        <v>4.2324032477537042E-2</v>
      </c>
      <c r="I14" s="119">
        <f t="shared" si="1"/>
        <v>1.1034903595224901</v>
      </c>
      <c r="J14" s="119">
        <v>1.1034903595224901</v>
      </c>
      <c r="K14" s="119">
        <f t="shared" si="2"/>
        <v>1.0577272060454499</v>
      </c>
      <c r="L14" s="119">
        <v>1.0569388266467381</v>
      </c>
      <c r="M14" s="126">
        <v>1.4396643514775986E-2</v>
      </c>
      <c r="W14" s="8"/>
      <c r="X14" s="8"/>
      <c r="Y14" s="8"/>
      <c r="Z14" s="8"/>
    </row>
    <row r="15" spans="2:26" ht="22.5" x14ac:dyDescent="0.3">
      <c r="B15" s="8"/>
      <c r="D15" s="132" t="s">
        <v>169</v>
      </c>
      <c r="E15" s="134">
        <v>4.1099999999999998E-2</v>
      </c>
      <c r="F15" s="119">
        <f t="shared" si="0"/>
        <v>1.2151633568232081</v>
      </c>
      <c r="G15" s="119">
        <v>1.2151633568232081</v>
      </c>
      <c r="H15" s="122">
        <v>5.4316951423546034E-2</v>
      </c>
      <c r="I15" s="119">
        <f t="shared" si="1"/>
        <v>1.1634285917770244</v>
      </c>
      <c r="J15" s="119">
        <v>1.1634285917770244</v>
      </c>
      <c r="K15" s="119">
        <f t="shared" si="2"/>
        <v>1.0444675035595987</v>
      </c>
      <c r="L15" s="119">
        <v>1.0436890073105434</v>
      </c>
      <c r="M15" s="126">
        <v>-1.2536032362659322E-2</v>
      </c>
      <c r="N15" t="s">
        <v>309</v>
      </c>
      <c r="W15" s="8"/>
      <c r="X15" s="8"/>
      <c r="Y15" s="8"/>
      <c r="Z15" s="8"/>
    </row>
    <row r="16" spans="2:26" ht="23.25" thickBot="1" x14ac:dyDescent="0.35">
      <c r="B16" s="8"/>
      <c r="D16" s="133" t="s">
        <v>170</v>
      </c>
      <c r="E16" s="150">
        <v>4.5699999999999998E-2</v>
      </c>
      <c r="F16" s="119">
        <f t="shared" si="0"/>
        <v>1.2706963222300287</v>
      </c>
      <c r="G16" s="151">
        <v>1.2706963222300287</v>
      </c>
      <c r="H16" s="127">
        <v>1.32501700232337E-2</v>
      </c>
      <c r="I16" s="119">
        <f t="shared" si="1"/>
        <v>1.1788442184279613</v>
      </c>
      <c r="J16" s="151">
        <v>1.1788442184279613</v>
      </c>
      <c r="K16" s="119">
        <f t="shared" si="2"/>
        <v>1.0779170838404384</v>
      </c>
      <c r="L16" s="151">
        <v>1.0771136558700107</v>
      </c>
      <c r="M16" s="152">
        <v>3.2099999999999997E-2</v>
      </c>
      <c r="N16" t="s">
        <v>172</v>
      </c>
      <c r="W16" s="8"/>
      <c r="X16" s="8"/>
      <c r="Y16" s="8"/>
      <c r="Z16" s="8"/>
    </row>
    <row r="17" spans="1:26" ht="22.5" x14ac:dyDescent="0.3">
      <c r="B17" s="8"/>
      <c r="D17" s="68"/>
      <c r="E17" s="68"/>
      <c r="F17" s="68"/>
      <c r="G17" s="117"/>
      <c r="H17" s="117"/>
      <c r="I17" s="117"/>
      <c r="J17" s="117"/>
      <c r="K17" s="117"/>
      <c r="L17" s="117"/>
      <c r="M17" s="117"/>
      <c r="W17" s="8"/>
      <c r="X17" s="8"/>
      <c r="Y17" s="8"/>
      <c r="Z17" s="8"/>
    </row>
    <row r="18" spans="1:26" ht="22.5" x14ac:dyDescent="0.3">
      <c r="B18" s="8"/>
      <c r="D18" s="68" t="s">
        <v>171</v>
      </c>
      <c r="E18" s="68"/>
      <c r="F18" s="68"/>
      <c r="G18" s="117"/>
      <c r="H18" s="117" t="s">
        <v>156</v>
      </c>
      <c r="I18" s="117"/>
      <c r="J18" s="117"/>
      <c r="K18" s="117"/>
      <c r="L18" s="117"/>
      <c r="M18" s="117"/>
      <c r="N18" t="s">
        <v>430</v>
      </c>
      <c r="W18" s="8"/>
      <c r="X18" s="8"/>
      <c r="Y18" s="8"/>
      <c r="Z18" s="8"/>
    </row>
    <row r="19" spans="1:26" ht="23.25" thickBot="1" x14ac:dyDescent="0.35">
      <c r="B19" s="8"/>
      <c r="D19" s="121"/>
      <c r="E19" s="68"/>
      <c r="F19" s="68"/>
      <c r="G19" s="117"/>
      <c r="H19" s="117" t="s">
        <v>172</v>
      </c>
      <c r="I19" s="117"/>
      <c r="J19" s="117"/>
      <c r="K19" s="117"/>
      <c r="L19" s="118"/>
      <c r="M19" s="117"/>
      <c r="N19" t="s">
        <v>431</v>
      </c>
      <c r="W19" s="8"/>
      <c r="X19" s="8"/>
      <c r="Y19" s="8"/>
      <c r="Z19" s="8"/>
    </row>
    <row r="20" spans="1:26" ht="23.25" thickBot="1" x14ac:dyDescent="0.35">
      <c r="B20" s="8"/>
      <c r="D20" s="123" t="s">
        <v>158</v>
      </c>
      <c r="E20" s="123" t="s">
        <v>159</v>
      </c>
      <c r="F20" s="136" t="s">
        <v>160</v>
      </c>
      <c r="G20" s="124" t="s">
        <v>160</v>
      </c>
      <c r="H20" s="124" t="s">
        <v>161</v>
      </c>
      <c r="I20" s="130" t="s">
        <v>162</v>
      </c>
      <c r="J20" s="130" t="s">
        <v>162</v>
      </c>
      <c r="K20" s="136" t="s">
        <v>163</v>
      </c>
      <c r="L20" s="124" t="s">
        <v>163</v>
      </c>
      <c r="M20" s="131" t="s">
        <v>164</v>
      </c>
      <c r="W20" s="8"/>
      <c r="X20" s="8"/>
      <c r="Y20" s="8"/>
      <c r="Z20" s="8"/>
    </row>
    <row r="21" spans="1:26" ht="22.5" x14ac:dyDescent="0.3">
      <c r="B21" s="8"/>
      <c r="D21" s="139" t="s">
        <v>165</v>
      </c>
      <c r="E21" s="142">
        <v>7.1108041068716377E-2</v>
      </c>
      <c r="F21" s="119">
        <f t="shared" ref="F21:F26" si="3">G21/G$21</f>
        <v>1</v>
      </c>
      <c r="G21" s="140">
        <v>1</v>
      </c>
      <c r="H21" s="128">
        <v>7.852562675935662E-2</v>
      </c>
      <c r="I21" s="119">
        <f>J21/J$21</f>
        <v>1</v>
      </c>
      <c r="J21" s="140">
        <v>1</v>
      </c>
      <c r="K21" s="119">
        <f>L21/L$21</f>
        <v>1</v>
      </c>
      <c r="L21" s="140">
        <v>0.99312247617803218</v>
      </c>
      <c r="M21" s="141">
        <v>-6.8775238219678236E-3</v>
      </c>
      <c r="W21" s="8"/>
      <c r="X21" s="8"/>
      <c r="Y21" s="8"/>
      <c r="Z21" s="8"/>
    </row>
    <row r="22" spans="1:26" ht="22.5" x14ac:dyDescent="0.3">
      <c r="A22" s="5"/>
      <c r="B22" s="52"/>
      <c r="C22" s="6"/>
      <c r="D22" s="125" t="s">
        <v>166</v>
      </c>
      <c r="E22" s="134">
        <v>6.4976766300360644E-2</v>
      </c>
      <c r="F22" s="119">
        <f t="shared" si="3"/>
        <v>1.0649767663003606</v>
      </c>
      <c r="G22" s="119">
        <v>1.0649767663003606</v>
      </c>
      <c r="H22" s="122">
        <v>2.3542268277659175E-2</v>
      </c>
      <c r="I22" s="119">
        <f t="shared" ref="I22:K26" si="4">J22/J$21</f>
        <v>1.0235422682776592</v>
      </c>
      <c r="J22" s="119">
        <v>1.0235422682776592</v>
      </c>
      <c r="K22" s="119">
        <f t="shared" si="4"/>
        <v>1.0404814723405846</v>
      </c>
      <c r="L22" s="119">
        <v>1.0333255362282461</v>
      </c>
      <c r="M22" s="126">
        <v>4.0481472340584634E-2</v>
      </c>
      <c r="W22" s="8"/>
      <c r="X22" s="8"/>
      <c r="Y22" s="8"/>
      <c r="Z22" s="8"/>
    </row>
    <row r="23" spans="1:26" ht="22.5" x14ac:dyDescent="0.3">
      <c r="A23" s="5"/>
      <c r="B23" s="52"/>
      <c r="C23" s="5"/>
      <c r="D23" s="125" t="s">
        <v>167</v>
      </c>
      <c r="E23" s="134">
        <v>3.6553041824910038E-2</v>
      </c>
      <c r="F23" s="119">
        <f t="shared" si="3"/>
        <v>1.103904906581495</v>
      </c>
      <c r="G23" s="119">
        <v>1.103904906581495</v>
      </c>
      <c r="H23" s="122">
        <v>4.5436083247232029E-2</v>
      </c>
      <c r="I23" s="119">
        <f t="shared" si="4"/>
        <v>1.0700480199861837</v>
      </c>
      <c r="J23" s="119">
        <v>1.0700480199861837</v>
      </c>
      <c r="K23" s="119">
        <f t="shared" si="4"/>
        <v>1.0316405301098064</v>
      </c>
      <c r="L23" s="119">
        <v>1.0245453977882686</v>
      </c>
      <c r="M23" s="126">
        <v>-8.4969722823515781E-3</v>
      </c>
      <c r="W23" s="8"/>
      <c r="X23" s="8"/>
      <c r="Y23" s="8"/>
      <c r="Z23" s="8"/>
    </row>
    <row r="24" spans="1:26" ht="22.5" x14ac:dyDescent="0.3">
      <c r="B24" s="8"/>
      <c r="C24" s="5"/>
      <c r="D24" s="125" t="s">
        <v>168</v>
      </c>
      <c r="E24" s="134">
        <v>5.7329999999999999E-2</v>
      </c>
      <c r="F24" s="119">
        <f t="shared" si="3"/>
        <v>1.1671917748758123</v>
      </c>
      <c r="G24" s="119">
        <v>1.1671917748758123</v>
      </c>
      <c r="H24" s="122">
        <v>4.4002569271591116E-2</v>
      </c>
      <c r="I24" s="119">
        <f t="shared" si="4"/>
        <v>1.1171328821095545</v>
      </c>
      <c r="J24" s="119">
        <v>1.1171328821095545</v>
      </c>
      <c r="K24" s="119">
        <f t="shared" si="4"/>
        <v>1.044810150670463</v>
      </c>
      <c r="L24" s="119">
        <v>1.037624443969793</v>
      </c>
      <c r="M24" s="126">
        <v>1.2765706829349632E-2</v>
      </c>
      <c r="W24" s="8"/>
      <c r="X24" s="8"/>
      <c r="Y24" s="8"/>
      <c r="Z24" s="8"/>
    </row>
    <row r="25" spans="1:26" ht="22.5" x14ac:dyDescent="0.3">
      <c r="C25" s="5"/>
      <c r="D25" s="132" t="s">
        <v>169</v>
      </c>
      <c r="E25" s="134">
        <v>4.1099999999999998E-2</v>
      </c>
      <c r="F25" s="119">
        <f t="shared" si="3"/>
        <v>1.2151633568232081</v>
      </c>
      <c r="G25" s="119">
        <v>1.2151633568232081</v>
      </c>
      <c r="H25" s="122">
        <v>6.208422588508903E-2</v>
      </c>
      <c r="I25" s="119">
        <f t="shared" si="4"/>
        <v>1.1864892123061048</v>
      </c>
      <c r="J25" s="119">
        <v>1.1864892123061048</v>
      </c>
      <c r="K25" s="119">
        <f t="shared" si="4"/>
        <v>1.0241672189006854</v>
      </c>
      <c r="L25" s="119">
        <v>1.0171234844550174</v>
      </c>
      <c r="M25" s="126">
        <v>-1.9757591134169972E-2</v>
      </c>
      <c r="W25" s="8"/>
      <c r="X25" s="8"/>
      <c r="Y25" s="8"/>
      <c r="Z25" s="8"/>
    </row>
    <row r="26" spans="1:26" ht="23.25" thickBot="1" x14ac:dyDescent="0.35">
      <c r="C26" s="5"/>
      <c r="D26" s="133" t="s">
        <v>170</v>
      </c>
      <c r="E26" s="150">
        <v>4.5699999999999998E-2</v>
      </c>
      <c r="F26" s="119">
        <f t="shared" si="3"/>
        <v>1.2706963222300287</v>
      </c>
      <c r="G26" s="147">
        <v>1.2706963222300287</v>
      </c>
      <c r="H26" s="149">
        <v>1.8082623037791335E-2</v>
      </c>
      <c r="I26" s="119">
        <f t="shared" si="4"/>
        <v>1.2079440494706419</v>
      </c>
      <c r="J26" s="147">
        <v>1.2079440494706419</v>
      </c>
      <c r="K26" s="119">
        <f t="shared" si="4"/>
        <v>1.0519496517962788</v>
      </c>
      <c r="L26" s="147">
        <v>1.0447148430065392</v>
      </c>
      <c r="M26" s="148">
        <v>2.7199999999999998E-2</v>
      </c>
      <c r="W26" s="8"/>
      <c r="X26" s="8"/>
      <c r="Y26" s="8"/>
      <c r="Z26" s="8"/>
    </row>
    <row r="27" spans="1:26" ht="22.5" x14ac:dyDescent="0.3">
      <c r="C27" s="5"/>
      <c r="D27" s="68"/>
      <c r="E27" s="68"/>
      <c r="F27" s="68"/>
      <c r="G27" s="117"/>
      <c r="H27" s="117"/>
      <c r="I27" s="117"/>
      <c r="J27" s="117"/>
      <c r="K27" s="117"/>
      <c r="L27" s="117"/>
      <c r="M27" s="117"/>
      <c r="W27" s="8"/>
      <c r="X27" s="8"/>
      <c r="Y27" s="8"/>
      <c r="Z27" s="8"/>
    </row>
    <row r="28" spans="1:26" ht="22.5" x14ac:dyDescent="0.3">
      <c r="C28" s="5"/>
      <c r="D28" s="68" t="s">
        <v>171</v>
      </c>
      <c r="E28" s="68"/>
      <c r="F28" s="68"/>
      <c r="G28" s="117"/>
      <c r="H28" s="117" t="s">
        <v>173</v>
      </c>
      <c r="I28" s="117"/>
      <c r="J28" s="117"/>
      <c r="K28" s="117"/>
      <c r="L28" s="117"/>
      <c r="M28" s="117"/>
      <c r="W28" s="8"/>
      <c r="X28" s="8"/>
      <c r="Y28" s="8"/>
      <c r="Z28" s="8"/>
    </row>
    <row r="29" spans="1:26" ht="23.25" thickBot="1" x14ac:dyDescent="0.35">
      <c r="C29" s="5"/>
      <c r="D29" s="121"/>
      <c r="E29" s="68"/>
      <c r="F29" s="68"/>
      <c r="G29" s="117"/>
      <c r="H29" s="117" t="s">
        <v>157</v>
      </c>
      <c r="I29" s="117"/>
      <c r="J29" s="117"/>
      <c r="K29" s="117"/>
      <c r="L29" s="118"/>
      <c r="M29" s="117"/>
    </row>
    <row r="30" spans="1:26" ht="23.25" thickBot="1" x14ac:dyDescent="0.35">
      <c r="A30" s="5"/>
      <c r="B30" s="5"/>
      <c r="C30" s="5"/>
      <c r="D30" s="135" t="s">
        <v>158</v>
      </c>
      <c r="E30" s="135" t="s">
        <v>159</v>
      </c>
      <c r="F30" s="136" t="s">
        <v>160</v>
      </c>
      <c r="G30" s="136" t="s">
        <v>160</v>
      </c>
      <c r="H30" s="136" t="s">
        <v>161</v>
      </c>
      <c r="I30" s="130" t="s">
        <v>162</v>
      </c>
      <c r="J30" s="137" t="s">
        <v>162</v>
      </c>
      <c r="K30" s="136" t="s">
        <v>163</v>
      </c>
      <c r="L30" s="136" t="s">
        <v>163</v>
      </c>
      <c r="M30" s="138" t="s">
        <v>164</v>
      </c>
    </row>
    <row r="31" spans="1:26" ht="22.5" x14ac:dyDescent="0.3">
      <c r="C31" s="5"/>
      <c r="D31" s="139" t="s">
        <v>165</v>
      </c>
      <c r="E31" s="144">
        <v>7.1108041068716377E-2</v>
      </c>
      <c r="F31" s="119">
        <f t="shared" ref="F31:F36" si="5">G31/G$31</f>
        <v>1</v>
      </c>
      <c r="G31" s="140">
        <v>1</v>
      </c>
      <c r="H31" s="143">
        <v>7.1001412679317935E-2</v>
      </c>
      <c r="I31" s="119">
        <f t="shared" ref="I31:I36" si="6">J31/J$31</f>
        <v>1</v>
      </c>
      <c r="J31" s="140">
        <v>1</v>
      </c>
      <c r="K31" s="119">
        <f t="shared" ref="K31:K36" si="7">L31/L$31</f>
        <v>1</v>
      </c>
      <c r="L31" s="140">
        <v>1.000099559522645</v>
      </c>
      <c r="M31" s="141">
        <v>9.9559522644954157E-5</v>
      </c>
    </row>
    <row r="32" spans="1:26" ht="22.5" x14ac:dyDescent="0.3">
      <c r="C32" s="5"/>
      <c r="D32" s="125" t="s">
        <v>166</v>
      </c>
      <c r="E32" s="145">
        <v>6.4976766300360644E-2</v>
      </c>
      <c r="F32" s="119">
        <f t="shared" si="5"/>
        <v>1.0649767663003606</v>
      </c>
      <c r="G32" s="119">
        <v>1.0649767663003606</v>
      </c>
      <c r="H32" s="129">
        <v>1.3571374548118404E-2</v>
      </c>
      <c r="I32" s="119">
        <f t="shared" si="6"/>
        <v>1.0135713745481183</v>
      </c>
      <c r="J32" s="119">
        <v>1.0135713745481183</v>
      </c>
      <c r="K32" s="119">
        <f t="shared" si="7"/>
        <v>1.0507170911127601</v>
      </c>
      <c r="L32" s="119">
        <v>1.0508217000047861</v>
      </c>
      <c r="M32" s="126">
        <v>5.0717091112760126E-2</v>
      </c>
    </row>
    <row r="33" spans="4:13" ht="22.5" x14ac:dyDescent="0.3">
      <c r="D33" s="125" t="s">
        <v>167</v>
      </c>
      <c r="E33" s="146">
        <v>3.6553041824910038E-2</v>
      </c>
      <c r="F33" s="119">
        <f t="shared" si="5"/>
        <v>1.103904906581495</v>
      </c>
      <c r="G33" s="119">
        <v>1.103904906581495</v>
      </c>
      <c r="H33" s="129">
        <v>3.7013594916159749E-2</v>
      </c>
      <c r="I33" s="119">
        <f t="shared" si="6"/>
        <v>1.0510872948242576</v>
      </c>
      <c r="J33" s="119">
        <v>1.0510872948242576</v>
      </c>
      <c r="K33" s="119">
        <f t="shared" si="7"/>
        <v>1.050250452095959</v>
      </c>
      <c r="L33" s="119">
        <v>1.0503550145296274</v>
      </c>
      <c r="M33" s="126">
        <v>-4.441148057340305E-4</v>
      </c>
    </row>
    <row r="34" spans="4:13" ht="22.5" x14ac:dyDescent="0.3">
      <c r="D34" s="125" t="s">
        <v>168</v>
      </c>
      <c r="E34" s="146">
        <v>5.7329999999999999E-2</v>
      </c>
      <c r="F34" s="119">
        <f t="shared" si="5"/>
        <v>1.1671917748758123</v>
      </c>
      <c r="G34" s="119">
        <v>1.1671917748758123</v>
      </c>
      <c r="H34" s="129">
        <v>4.2403410017562211E-2</v>
      </c>
      <c r="I34" s="119">
        <f t="shared" si="6"/>
        <v>1.0956569803509408</v>
      </c>
      <c r="J34" s="119">
        <v>1.0956569803509408</v>
      </c>
      <c r="K34" s="119">
        <f t="shared" si="7"/>
        <v>1.0652894070021428</v>
      </c>
      <c r="L34" s="119">
        <v>1.0653954667069827</v>
      </c>
      <c r="M34" s="126">
        <v>1.4319398650265658E-2</v>
      </c>
    </row>
    <row r="35" spans="4:13" ht="22.5" x14ac:dyDescent="0.3">
      <c r="D35" s="132" t="s">
        <v>169</v>
      </c>
      <c r="E35" s="431">
        <v>4.1099999999999998E-2</v>
      </c>
      <c r="F35" s="119">
        <f t="shared" si="5"/>
        <v>1.2151633568232081</v>
      </c>
      <c r="G35" s="500">
        <v>1.2151633568232081</v>
      </c>
      <c r="H35" s="501">
        <v>5.8317696493849658E-2</v>
      </c>
      <c r="I35" s="119">
        <f t="shared" si="6"/>
        <v>1.1595531715924148</v>
      </c>
      <c r="J35" s="500">
        <v>1.1595531715924148</v>
      </c>
      <c r="K35" s="119">
        <f t="shared" si="7"/>
        <v>1.047958288238239</v>
      </c>
      <c r="L35" s="500">
        <v>1.0480626224651679</v>
      </c>
      <c r="M35" s="502">
        <v>-1.6268929973382251E-2</v>
      </c>
    </row>
    <row r="36" spans="4:13" ht="23.25" thickBot="1" x14ac:dyDescent="0.35">
      <c r="D36" s="133" t="s">
        <v>170</v>
      </c>
      <c r="E36" s="431">
        <v>4.5699999999999998E-2</v>
      </c>
      <c r="F36" s="119">
        <f t="shared" si="5"/>
        <v>1.2706963222300287</v>
      </c>
      <c r="G36" s="500">
        <v>1.2706963222300287</v>
      </c>
      <c r="H36" s="503">
        <v>8.0306796102240924E-3</v>
      </c>
      <c r="I36" s="119">
        <f t="shared" si="6"/>
        <v>1.1688651716044927</v>
      </c>
      <c r="J36" s="500">
        <v>1.1688651716044927</v>
      </c>
      <c r="K36" s="119">
        <f t="shared" si="7"/>
        <v>1.0871196722251151</v>
      </c>
      <c r="L36" s="500">
        <v>1.0872279053407397</v>
      </c>
      <c r="M36" s="502">
        <v>3.7369220155423877E-2</v>
      </c>
    </row>
    <row r="37" spans="4:13" ht="22.5" x14ac:dyDescent="0.3">
      <c r="D37" s="68"/>
      <c r="E37" s="68"/>
      <c r="F37" s="68"/>
      <c r="G37" s="117"/>
      <c r="H37" s="117"/>
      <c r="I37" s="117"/>
      <c r="J37" s="117"/>
      <c r="K37" s="117"/>
      <c r="L37" s="117"/>
      <c r="M37" s="117"/>
    </row>
    <row r="38" spans="4:13" ht="22.5" x14ac:dyDescent="0.3">
      <c r="D38" s="68" t="s">
        <v>171</v>
      </c>
      <c r="E38" s="68"/>
      <c r="F38" s="68"/>
      <c r="G38" s="117"/>
      <c r="H38" s="117" t="s">
        <v>173</v>
      </c>
      <c r="I38" s="117"/>
      <c r="J38" s="117"/>
      <c r="K38" s="117"/>
      <c r="L38" s="117"/>
      <c r="M38" s="117"/>
    </row>
    <row r="39" spans="4:13" ht="23.25" thickBot="1" x14ac:dyDescent="0.35">
      <c r="D39" s="121"/>
      <c r="E39" s="68"/>
      <c r="F39" s="68"/>
      <c r="G39" s="117"/>
      <c r="H39" s="117" t="s">
        <v>172</v>
      </c>
      <c r="I39" s="117"/>
      <c r="J39" s="117"/>
      <c r="K39" s="117"/>
      <c r="L39" s="118"/>
      <c r="M39" s="117"/>
    </row>
    <row r="40" spans="4:13" ht="23.25" thickBot="1" x14ac:dyDescent="0.35">
      <c r="D40" s="123" t="s">
        <v>158</v>
      </c>
      <c r="E40" s="123" t="s">
        <v>159</v>
      </c>
      <c r="F40" s="136" t="s">
        <v>160</v>
      </c>
      <c r="G40" s="124" t="s">
        <v>160</v>
      </c>
      <c r="H40" s="124" t="s">
        <v>161</v>
      </c>
      <c r="I40" s="130" t="s">
        <v>162</v>
      </c>
      <c r="J40" s="130" t="s">
        <v>162</v>
      </c>
      <c r="K40" s="136" t="s">
        <v>163</v>
      </c>
      <c r="L40" s="124" t="s">
        <v>163</v>
      </c>
      <c r="M40" s="131" t="s">
        <v>164</v>
      </c>
    </row>
    <row r="41" spans="4:13" ht="22.5" x14ac:dyDescent="0.3">
      <c r="D41" s="139" t="s">
        <v>165</v>
      </c>
      <c r="E41" s="142">
        <v>7.1108041068716377E-2</v>
      </c>
      <c r="F41" s="119">
        <f t="shared" ref="F41:F46" si="8">G41/G$41</f>
        <v>1</v>
      </c>
      <c r="G41" s="140">
        <v>1</v>
      </c>
      <c r="H41" s="143">
        <v>7.7452221369281815E-2</v>
      </c>
      <c r="I41" s="119">
        <f>J41/J$41</f>
        <v>1</v>
      </c>
      <c r="J41" s="140">
        <v>1</v>
      </c>
      <c r="K41" s="119">
        <f>L41/L$41</f>
        <v>1</v>
      </c>
      <c r="L41" s="140">
        <v>1</v>
      </c>
      <c r="M41" s="141">
        <v>-5.888131440764055E-3</v>
      </c>
    </row>
    <row r="42" spans="4:13" ht="22.5" x14ac:dyDescent="0.3">
      <c r="D42" s="125" t="s">
        <v>166</v>
      </c>
      <c r="E42" s="134">
        <v>6.4976766300360644E-2</v>
      </c>
      <c r="F42" s="119">
        <f t="shared" si="8"/>
        <v>1.0649767663003606</v>
      </c>
      <c r="G42" s="119">
        <v>1.0649767663003606</v>
      </c>
      <c r="H42" s="129">
        <v>1.8199109951079064E-2</v>
      </c>
      <c r="I42" s="119">
        <f t="shared" ref="I42:K46" si="9">J42/J$41</f>
        <v>1.018199109951079</v>
      </c>
      <c r="J42" s="119">
        <v>1.018199109951079</v>
      </c>
      <c r="K42" s="119">
        <f t="shared" si="9"/>
        <v>1.0459415608323692</v>
      </c>
      <c r="L42" s="119">
        <v>1.0459415608323692</v>
      </c>
      <c r="M42" s="126">
        <v>4.5941560832369222E-2</v>
      </c>
    </row>
    <row r="43" spans="4:13" ht="22.5" x14ac:dyDescent="0.3">
      <c r="D43" s="125" t="s">
        <v>167</v>
      </c>
      <c r="E43" s="134">
        <v>3.6553041824910038E-2</v>
      </c>
      <c r="F43" s="119">
        <f t="shared" si="8"/>
        <v>1.103904906581495</v>
      </c>
      <c r="G43" s="119">
        <v>1.103904906581495</v>
      </c>
      <c r="H43" s="129">
        <v>4.776650738328303E-2</v>
      </c>
      <c r="I43" s="119">
        <f t="shared" si="9"/>
        <v>1.0668349252542095</v>
      </c>
      <c r="J43" s="119">
        <v>1.0668349252542095</v>
      </c>
      <c r="K43" s="119">
        <f t="shared" si="9"/>
        <v>1.034747626319463</v>
      </c>
      <c r="L43" s="119">
        <v>1.034747626319463</v>
      </c>
      <c r="M43" s="126">
        <v>-1.0702256160466606E-2</v>
      </c>
    </row>
    <row r="44" spans="4:13" ht="22.5" x14ac:dyDescent="0.3">
      <c r="D44" s="125" t="s">
        <v>168</v>
      </c>
      <c r="E44" s="134">
        <v>5.7329999999999999E-2</v>
      </c>
      <c r="F44" s="119">
        <f t="shared" si="8"/>
        <v>1.1671917748758123</v>
      </c>
      <c r="G44" s="119">
        <v>1.1671917748758123</v>
      </c>
      <c r="H44" s="129">
        <v>4.4075164272427553E-2</v>
      </c>
      <c r="I44" s="119">
        <f t="shared" si="9"/>
        <v>1.1138558498363518</v>
      </c>
      <c r="J44" s="119">
        <v>1.1138558498363518</v>
      </c>
      <c r="K44" s="119">
        <f t="shared" si="9"/>
        <v>1.0478840462590349</v>
      </c>
      <c r="L44" s="119">
        <v>1.0478840462590349</v>
      </c>
      <c r="M44" s="126">
        <v>1.2695288788723724E-2</v>
      </c>
    </row>
    <row r="45" spans="4:13" ht="22.5" x14ac:dyDescent="0.3">
      <c r="D45" s="132" t="s">
        <v>169</v>
      </c>
      <c r="E45" s="431">
        <v>4.1099999999999998E-2</v>
      </c>
      <c r="F45" s="119">
        <f t="shared" si="8"/>
        <v>1.2151633568232081</v>
      </c>
      <c r="G45" s="500">
        <v>1.2151633568232081</v>
      </c>
      <c r="H45" s="501">
        <v>6.5737232662948189E-2</v>
      </c>
      <c r="I45" s="119">
        <f t="shared" si="9"/>
        <v>1.1870776509900298</v>
      </c>
      <c r="J45" s="500">
        <v>1.1870776509900298</v>
      </c>
      <c r="K45" s="119">
        <f t="shared" si="9"/>
        <v>1.0236595355070113</v>
      </c>
      <c r="L45" s="500">
        <v>1.0236595355070113</v>
      </c>
      <c r="M45" s="502">
        <v>-2.3117548967851453E-2</v>
      </c>
    </row>
    <row r="46" spans="4:13" ht="23.25" thickBot="1" x14ac:dyDescent="0.35">
      <c r="D46" s="7" t="s">
        <v>170</v>
      </c>
      <c r="E46" s="431">
        <v>4.5699999999999998E-2</v>
      </c>
      <c r="F46" s="119">
        <f t="shared" si="8"/>
        <v>1.2706963222300287</v>
      </c>
      <c r="G46" s="500">
        <v>1.2706963222300287</v>
      </c>
      <c r="H46" s="503">
        <v>1.3244999986511734E-2</v>
      </c>
      <c r="I46" s="119">
        <f t="shared" si="9"/>
        <v>1.202800494461381</v>
      </c>
      <c r="J46" s="500">
        <v>1.202800494461381</v>
      </c>
      <c r="K46" s="119">
        <f t="shared" si="9"/>
        <v>1.0564481209321848</v>
      </c>
      <c r="L46" s="500">
        <v>1.0564481209321848</v>
      </c>
      <c r="M46" s="502">
        <v>3.2099999999999997E-2</v>
      </c>
    </row>
    <row r="47" spans="4:13" x14ac:dyDescent="0.25">
      <c r="D47" s="5"/>
      <c r="E47" s="5"/>
      <c r="F47" s="5"/>
      <c r="G47" s="5"/>
      <c r="H47" s="5"/>
      <c r="I47" s="5"/>
      <c r="J47" s="5"/>
      <c r="K47" s="5"/>
      <c r="L47" s="5"/>
      <c r="M47" s="5"/>
    </row>
    <row r="48" spans="4:13" x14ac:dyDescent="0.25">
      <c r="D48" s="5"/>
      <c r="E48" s="5"/>
      <c r="F48" s="5"/>
      <c r="G48" s="5"/>
      <c r="H48" s="5"/>
      <c r="I48" s="5"/>
      <c r="J48" s="5"/>
      <c r="K48" s="5"/>
      <c r="L48" s="5"/>
      <c r="M48" s="5"/>
    </row>
    <row r="58" ht="23.25" customHeight="1" x14ac:dyDescent="0.25"/>
    <row r="65" ht="23.25" customHeight="1" x14ac:dyDescent="0.25"/>
    <row r="72" ht="23.25" customHeight="1" x14ac:dyDescent="0.25"/>
    <row r="79" ht="23.25" customHeight="1" x14ac:dyDescent="0.25"/>
    <row r="86" ht="23.25" customHeight="1" x14ac:dyDescent="0.25"/>
    <row r="94" ht="23.25" customHeight="1" x14ac:dyDescent="0.25"/>
  </sheetData>
  <customSheetViews>
    <customSheetView guid="{9EA95E61-FCA5-4867-AEB4-B8C24058ACDD}" scale="55" showGridLines="0" showRowCol="0" state="hidden">
      <selection activeCell="E31" sqref="E31"/>
      <pageMargins left="0.7" right="0.7" top="0.75" bottom="0.75" header="0.3" footer="0.3"/>
      <pageSetup paperSize="9" orientation="portrait" r:id="rId1"/>
    </customSheetView>
  </customSheetViews>
  <pageMargins left="0.7" right="0.7" top="0.75" bottom="0.75" header="0.3" footer="0.3"/>
  <pageSetup paperSize="9" orientation="portrait" r:id="rId2"/>
  <drawing r:id="rId3"/>
  <legacyDrawing r:id="rId4"/>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AL403"/>
  <sheetViews>
    <sheetView showGridLines="0" showRowColHeaders="0" zoomScaleNormal="100" workbookViewId="0"/>
  </sheetViews>
  <sheetFormatPr defaultRowHeight="15" x14ac:dyDescent="0.25"/>
  <cols>
    <col min="1" max="1" width="5.7109375" style="233" customWidth="1"/>
    <col min="2" max="2" width="11.85546875" style="233" customWidth="1"/>
    <col min="3" max="3" width="14.85546875" style="233" customWidth="1"/>
    <col min="4" max="4" width="13.7109375" style="233" customWidth="1"/>
    <col min="5" max="5" width="15.7109375" style="233" customWidth="1"/>
    <col min="6" max="6" width="12.28515625" style="233" customWidth="1"/>
    <col min="7" max="7" width="30.7109375" style="233" customWidth="1"/>
    <col min="8" max="12" width="35.7109375" style="233" customWidth="1"/>
    <col min="13" max="13" width="16.28515625" style="233" customWidth="1"/>
    <col min="14" max="14" width="26.28515625" style="233" bestFit="1" customWidth="1"/>
    <col min="15" max="15" width="16.28515625" style="233" bestFit="1" customWidth="1"/>
    <col min="16" max="16" width="22.5703125" style="233" bestFit="1" customWidth="1"/>
    <col min="17" max="17" width="21.28515625" style="233" bestFit="1" customWidth="1"/>
    <col min="18" max="18" width="22.28515625" style="233" bestFit="1" customWidth="1"/>
    <col min="19" max="16384" width="9.140625" style="233"/>
  </cols>
  <sheetData>
    <row r="1" spans="1:11" x14ac:dyDescent="0.25">
      <c r="B1" s="658"/>
      <c r="C1" s="658"/>
      <c r="D1" s="658"/>
      <c r="E1" s="658"/>
    </row>
    <row r="2" spans="1:11" x14ac:dyDescent="0.25">
      <c r="B2" s="658"/>
      <c r="C2" s="658"/>
      <c r="D2" s="658"/>
      <c r="E2" s="658"/>
    </row>
    <row r="4" spans="1:11" ht="31.5" x14ac:dyDescent="0.5">
      <c r="B4" s="1224" t="s">
        <v>161</v>
      </c>
      <c r="C4" s="658"/>
      <c r="D4" s="658"/>
      <c r="E4" s="658"/>
      <c r="F4" s="1576"/>
    </row>
    <row r="5" spans="1:11" x14ac:dyDescent="0.25">
      <c r="B5" s="276"/>
      <c r="C5" s="276"/>
      <c r="D5" s="276"/>
      <c r="E5" s="276"/>
      <c r="F5" s="276"/>
    </row>
    <row r="6" spans="1:11" ht="23.25" customHeight="1" x14ac:dyDescent="0.25">
      <c r="B6" s="627" t="s">
        <v>658</v>
      </c>
      <c r="C6" s="276"/>
      <c r="D6" s="276"/>
      <c r="E6" s="276"/>
      <c r="F6" s="276"/>
      <c r="H6" s="376"/>
      <c r="I6" s="376"/>
      <c r="J6" s="376"/>
    </row>
    <row r="7" spans="1:11" x14ac:dyDescent="0.25">
      <c r="B7" s="276"/>
      <c r="C7" s="276"/>
      <c r="D7" s="276"/>
      <c r="E7" s="276"/>
      <c r="F7" s="276"/>
      <c r="H7" s="376"/>
      <c r="I7" s="376"/>
      <c r="J7" s="376"/>
    </row>
    <row r="8" spans="1:11" ht="23.25" customHeight="1" x14ac:dyDescent="0.25">
      <c r="B8" s="382" t="s">
        <v>238</v>
      </c>
      <c r="C8" s="382"/>
      <c r="D8" s="382"/>
      <c r="E8" s="276"/>
      <c r="F8" s="276"/>
      <c r="G8" s="259"/>
      <c r="H8" s="259"/>
      <c r="I8" s="259"/>
      <c r="J8" s="259"/>
      <c r="K8" s="259"/>
    </row>
    <row r="9" spans="1:11" x14ac:dyDescent="0.25">
      <c r="B9" s="1523" t="s">
        <v>266</v>
      </c>
      <c r="C9" s="1533"/>
      <c r="D9" s="276"/>
      <c r="E9" s="276"/>
      <c r="F9" s="276"/>
      <c r="G9" s="1304"/>
      <c r="H9" s="259"/>
      <c r="I9" s="259"/>
      <c r="J9" s="259"/>
      <c r="K9" s="259"/>
    </row>
    <row r="10" spans="1:11" x14ac:dyDescent="0.25">
      <c r="B10" s="267"/>
      <c r="C10" s="267"/>
      <c r="D10" s="267"/>
      <c r="E10" s="1257"/>
      <c r="F10" s="1705"/>
      <c r="G10" s="1657"/>
      <c r="H10" s="376"/>
      <c r="I10" s="376"/>
      <c r="J10" s="376"/>
      <c r="K10" s="259"/>
    </row>
    <row r="11" spans="1:11" ht="48.75" x14ac:dyDescent="0.25">
      <c r="A11" s="279"/>
      <c r="B11" s="1269"/>
      <c r="C11" s="627" t="s">
        <v>595</v>
      </c>
      <c r="D11" s="629" t="s">
        <v>656</v>
      </c>
      <c r="E11" s="1708"/>
      <c r="F11" s="1712" t="s">
        <v>862</v>
      </c>
      <c r="G11" s="628" t="s">
        <v>503</v>
      </c>
      <c r="H11" s="603" t="s">
        <v>536</v>
      </c>
      <c r="I11" s="1279"/>
      <c r="J11" s="567"/>
    </row>
    <row r="12" spans="1:11" ht="39.950000000000003" customHeight="1" x14ac:dyDescent="0.25">
      <c r="A12" s="599"/>
      <c r="B12" s="1258" t="s">
        <v>709</v>
      </c>
      <c r="C12" s="1701">
        <f>IF($B$9="Total",B82,B72)</f>
        <v>40775049.303849995</v>
      </c>
      <c r="D12" s="1263">
        <f>IF($B$9="Total", B82/B81-1,B72/B71-1)</f>
        <v>0.1214020345013529</v>
      </c>
      <c r="E12" s="1706"/>
      <c r="F12" s="1852">
        <f>IF($B$9="Total", B75/1000000,B65)</f>
        <v>25618723.30074</v>
      </c>
      <c r="G12" s="537"/>
      <c r="H12" s="1868">
        <f>IF($B$9="Total", B82,B72)</f>
        <v>40775049.303849995</v>
      </c>
      <c r="I12" s="567"/>
    </row>
    <row r="13" spans="1:11" ht="39.950000000000003" customHeight="1" x14ac:dyDescent="0.25">
      <c r="A13" s="599"/>
      <c r="B13" s="1258" t="s">
        <v>216</v>
      </c>
      <c r="C13" s="1701">
        <f>IF($B$9="Total",C82,C72)</f>
        <v>1709917.0605600001</v>
      </c>
      <c r="D13" s="1263">
        <f>IF($B$9="Total", C82/C81-1,C72/C71-1)</f>
        <v>-1.2306716728269773E-3</v>
      </c>
      <c r="E13" s="1706"/>
      <c r="F13" s="1852">
        <f>IF($B$9="Total", C75/1000000,C65)</f>
        <v>1073683.10451</v>
      </c>
      <c r="G13" s="934"/>
      <c r="H13" s="836">
        <f>IF($B$9="Total", C82/1000000,C72)</f>
        <v>1709917.0605600001</v>
      </c>
      <c r="I13" s="567"/>
    </row>
    <row r="14" spans="1:11" ht="39.950000000000003" customHeight="1" x14ac:dyDescent="0.25">
      <c r="A14" s="599"/>
      <c r="B14" s="1258" t="s">
        <v>57</v>
      </c>
      <c r="C14" s="1701">
        <f>IF($B$9="Total",D59,C59)</f>
        <v>14941588</v>
      </c>
      <c r="D14" s="1263">
        <f>IF($B$9="Total", D59/D58-1,C59/C58-1)</f>
        <v>0.15279187860339372</v>
      </c>
      <c r="E14" s="1706"/>
      <c r="F14" s="1852">
        <f>IF($B$9="Total", D46/1000000,C46)</f>
        <v>5077117.7869999995</v>
      </c>
      <c r="G14" s="934"/>
      <c r="H14" s="836">
        <f>IF($B$9="Total", D59/1000000,C59)</f>
        <v>14941588</v>
      </c>
      <c r="I14" s="567"/>
    </row>
    <row r="15" spans="1:11" ht="39.950000000000003" customHeight="1" x14ac:dyDescent="0.25">
      <c r="A15" s="599"/>
      <c r="B15" s="1258" t="s">
        <v>47</v>
      </c>
      <c r="C15" s="1701">
        <f>IF($B$9="Total",G59,F59)</f>
        <v>7363126.411328</v>
      </c>
      <c r="D15" s="1263">
        <f>IF($B$9="Total", F59/F58-1,G59/G58-1)</f>
        <v>2.9870058469394722E-2</v>
      </c>
      <c r="E15" s="1706"/>
      <c r="F15" s="1852">
        <f>IF($B$9="Total", F46/1000000,G46)</f>
        <v>3395021.8480000002</v>
      </c>
      <c r="G15" s="934"/>
      <c r="H15" s="836">
        <f>IF($B$9="Total", F59/1000000,G59)</f>
        <v>8265079.0023079999</v>
      </c>
      <c r="I15" s="567"/>
    </row>
    <row r="16" spans="1:11" ht="39.950000000000003" customHeight="1" x14ac:dyDescent="0.25">
      <c r="A16" s="1713"/>
      <c r="B16" s="1701" t="str">
        <f>IF($B$9="Total","Prescribing","")</f>
        <v/>
      </c>
      <c r="C16" s="1701" t="str">
        <f>IF($B$9="Total",F124,"")</f>
        <v/>
      </c>
      <c r="D16" s="1263" t="str">
        <f>IF($B$9="Total", F124/F123-1,"")</f>
        <v/>
      </c>
      <c r="E16" s="1706"/>
      <c r="F16" s="934"/>
      <c r="G16" s="934"/>
      <c r="H16" s="935"/>
      <c r="I16" s="567"/>
    </row>
    <row r="17" spans="1:11" ht="39.950000000000003" customHeight="1" x14ac:dyDescent="0.25">
      <c r="A17" s="1713"/>
      <c r="B17" s="1701"/>
      <c r="C17" s="1701"/>
      <c r="D17" s="1263"/>
      <c r="E17" s="1706"/>
      <c r="F17" s="934"/>
      <c r="G17" s="934"/>
      <c r="H17" s="935"/>
      <c r="I17" s="567"/>
    </row>
    <row r="18" spans="1:11" ht="39.950000000000003" customHeight="1" x14ac:dyDescent="0.25">
      <c r="A18" s="1713"/>
      <c r="B18" s="1477"/>
      <c r="C18" s="1522" t="s">
        <v>595</v>
      </c>
      <c r="D18" s="708" t="s">
        <v>716</v>
      </c>
      <c r="E18" s="1624"/>
      <c r="F18" s="1626" t="s">
        <v>739</v>
      </c>
      <c r="G18" s="1624" t="s">
        <v>503</v>
      </c>
      <c r="H18" s="1723" t="s">
        <v>730</v>
      </c>
    </row>
    <row r="19" spans="1:11" ht="39.950000000000003" customHeight="1" x14ac:dyDescent="0.25">
      <c r="A19" s="1713"/>
      <c r="B19" s="1477" t="s">
        <v>788</v>
      </c>
      <c r="C19" s="713">
        <f>H58</f>
        <v>0.01</v>
      </c>
      <c r="D19" s="1621">
        <f>I58</f>
        <v>1.7729842710584454</v>
      </c>
      <c r="E19" s="1821">
        <f>MIN(H46:H58)</f>
        <v>0.01</v>
      </c>
      <c r="F19" s="1638">
        <f>H46</f>
        <v>5.0599999999999999E-2</v>
      </c>
      <c r="G19" s="1615"/>
      <c r="H19" s="1509">
        <f>H58</f>
        <v>0.01</v>
      </c>
    </row>
    <row r="20" spans="1:11" ht="39.950000000000003" customHeight="1" x14ac:dyDescent="0.25">
      <c r="A20" s="1713"/>
      <c r="B20" s="1701"/>
      <c r="C20" s="1701"/>
      <c r="D20" s="1263"/>
      <c r="E20" s="1706"/>
      <c r="F20" s="1706"/>
      <c r="G20" s="934"/>
      <c r="H20" s="934"/>
      <c r="I20" s="935"/>
      <c r="J20" s="567"/>
    </row>
    <row r="21" spans="1:11" ht="39.950000000000003" customHeight="1" x14ac:dyDescent="0.25">
      <c r="A21" s="567" t="b">
        <v>1</v>
      </c>
      <c r="B21" s="1258"/>
      <c r="C21" s="1263"/>
      <c r="D21" s="1266"/>
      <c r="E21" s="1273"/>
      <c r="F21" s="1706"/>
      <c r="G21" s="1707"/>
      <c r="H21" s="537"/>
      <c r="I21" s="1480"/>
      <c r="J21" s="379"/>
      <c r="K21" s="567"/>
    </row>
    <row r="22" spans="1:11" ht="39.950000000000003" customHeight="1" x14ac:dyDescent="0.25">
      <c r="A22" s="567"/>
      <c r="B22" s="1258"/>
      <c r="C22" s="1263"/>
      <c r="D22" s="1266"/>
      <c r="E22" s="1273"/>
      <c r="F22" s="1706"/>
      <c r="G22" s="1707"/>
      <c r="H22" s="537"/>
      <c r="I22" s="1480"/>
      <c r="J22" s="379"/>
      <c r="K22" s="567"/>
    </row>
    <row r="23" spans="1:11" ht="39.950000000000003" customHeight="1" x14ac:dyDescent="0.25">
      <c r="A23" s="1658"/>
      <c r="B23" s="1258"/>
      <c r="C23" s="1517" t="str">
        <f t="shared" ref="C23:F23" si="0">IF($A$21=TRUE,E77,"")</f>
        <v>Staff</v>
      </c>
      <c r="D23" s="1724" t="str">
        <f t="shared" si="0"/>
        <v>Agency</v>
      </c>
      <c r="E23" s="1724" t="str">
        <f t="shared" si="0"/>
        <v>Intermediates</v>
      </c>
      <c r="F23" s="1517" t="str">
        <f t="shared" si="0"/>
        <v xml:space="preserve">Capital </v>
      </c>
      <c r="G23" s="1258"/>
      <c r="H23" s="537"/>
      <c r="I23" s="1480"/>
      <c r="J23" s="379"/>
      <c r="K23" s="567"/>
    </row>
    <row r="24" spans="1:11" ht="39.950000000000003" customHeight="1" x14ac:dyDescent="0.25">
      <c r="A24" s="1658"/>
      <c r="B24" s="1517" t="str">
        <f t="shared" ref="B24:B30" si="1">IF($A$21=TRUE,D78,"")</f>
        <v>1998/99</v>
      </c>
      <c r="C24" s="1714" t="str">
        <f t="shared" ref="C24:C31" si="2">IF($A$21=TRUE,E78,"")</f>
        <v>N/A</v>
      </c>
      <c r="D24" s="1725" t="str">
        <f t="shared" ref="D24:D31" si="3">IF($A$21=TRUE,F78,"")</f>
        <v>N/A</v>
      </c>
      <c r="E24" s="1725">
        <f t="shared" ref="E24:E31" si="4">IF($A$21=TRUE,G78,"")</f>
        <v>5077117.7869999995</v>
      </c>
      <c r="F24" s="1714">
        <f t="shared" ref="F24:F31" si="5">IF($A$21=TRUE,H78,"")</f>
        <v>2010021.848</v>
      </c>
      <c r="G24" s="1258"/>
      <c r="H24" s="537"/>
      <c r="I24" s="1480"/>
      <c r="J24" s="379"/>
      <c r="K24" s="567"/>
    </row>
    <row r="25" spans="1:11" ht="39.950000000000003" customHeight="1" x14ac:dyDescent="0.25">
      <c r="A25" s="1658"/>
      <c r="B25" s="1517" t="str">
        <f t="shared" si="1"/>
        <v>1999/00</v>
      </c>
      <c r="C25" s="1714" t="str">
        <f t="shared" si="2"/>
        <v>N/A</v>
      </c>
      <c r="D25" s="1725" t="str">
        <f t="shared" si="3"/>
        <v>N/A</v>
      </c>
      <c r="E25" s="1725">
        <f t="shared" si="4"/>
        <v>5620251.5159999998</v>
      </c>
      <c r="F25" s="1714">
        <f t="shared" si="5"/>
        <v>2089618.3663333301</v>
      </c>
      <c r="G25" s="1258"/>
      <c r="H25" s="537"/>
      <c r="I25" s="1480"/>
      <c r="J25" s="379"/>
      <c r="K25" s="567"/>
    </row>
    <row r="26" spans="1:11" ht="39.950000000000003" customHeight="1" x14ac:dyDescent="0.25">
      <c r="A26" s="1658"/>
      <c r="B26" s="1517" t="str">
        <f t="shared" si="1"/>
        <v>2000/01</v>
      </c>
      <c r="C26" s="1714" t="str">
        <f t="shared" si="2"/>
        <v>N/A</v>
      </c>
      <c r="D26" s="1725" t="str">
        <f t="shared" si="3"/>
        <v>N/A</v>
      </c>
      <c r="E26" s="1725">
        <f t="shared" si="4"/>
        <v>5303119.1030000001</v>
      </c>
      <c r="F26" s="1714">
        <f t="shared" si="5"/>
        <v>2197552.8220000002</v>
      </c>
      <c r="G26" s="1258"/>
      <c r="H26" s="537"/>
      <c r="I26" s="1480"/>
      <c r="J26" s="379"/>
      <c r="K26" s="567"/>
    </row>
    <row r="27" spans="1:11" ht="39.950000000000003" customHeight="1" x14ac:dyDescent="0.25">
      <c r="A27" s="1658"/>
      <c r="B27" s="1517" t="str">
        <f t="shared" si="1"/>
        <v>2001/2</v>
      </c>
      <c r="C27" s="1714" t="str">
        <f t="shared" si="2"/>
        <v>N/A</v>
      </c>
      <c r="D27" s="1725" t="str">
        <f t="shared" si="3"/>
        <v>N/A</v>
      </c>
      <c r="E27" s="1725">
        <f t="shared" si="4"/>
        <v>5666475.1449999996</v>
      </c>
      <c r="F27" s="1714">
        <f t="shared" si="5"/>
        <v>2231590.15366667</v>
      </c>
      <c r="G27" s="1258"/>
      <c r="H27" s="537"/>
      <c r="I27" s="1480"/>
      <c r="J27" s="379"/>
      <c r="K27" s="567"/>
    </row>
    <row r="28" spans="1:11" ht="39.950000000000003" customHeight="1" x14ac:dyDescent="0.25">
      <c r="A28" s="1658"/>
      <c r="B28" s="1517" t="str">
        <f t="shared" si="1"/>
        <v>2002/3</v>
      </c>
      <c r="C28" s="1714" t="str">
        <f t="shared" si="2"/>
        <v>N/A</v>
      </c>
      <c r="D28" s="1725" t="str">
        <f t="shared" si="3"/>
        <v>N/A</v>
      </c>
      <c r="E28" s="1725">
        <f t="shared" si="4"/>
        <v>6153081.7249999996</v>
      </c>
      <c r="F28" s="1714">
        <f t="shared" si="5"/>
        <v>2327972.3616666701</v>
      </c>
      <c r="G28" s="1258"/>
      <c r="H28" s="537"/>
      <c r="I28" s="1480"/>
      <c r="J28" s="379"/>
      <c r="K28" s="567"/>
    </row>
    <row r="29" spans="1:11" ht="39.950000000000003" customHeight="1" x14ac:dyDescent="0.25">
      <c r="A29" s="1658"/>
      <c r="B29" s="1517" t="str">
        <f t="shared" si="1"/>
        <v>2003/4</v>
      </c>
      <c r="C29" s="1714" t="str">
        <f t="shared" si="2"/>
        <v>N/A</v>
      </c>
      <c r="D29" s="1725" t="str">
        <f t="shared" si="3"/>
        <v>N/A</v>
      </c>
      <c r="E29" s="1725">
        <f t="shared" si="4"/>
        <v>6605831.9550000001</v>
      </c>
      <c r="F29" s="1714">
        <f t="shared" si="5"/>
        <v>2504506.085</v>
      </c>
      <c r="G29" s="1258"/>
      <c r="H29" s="537"/>
      <c r="I29" s="1480"/>
      <c r="J29" s="379"/>
      <c r="K29" s="567"/>
    </row>
    <row r="30" spans="1:11" ht="39.950000000000003" customHeight="1" x14ac:dyDescent="0.25">
      <c r="A30" s="1658"/>
      <c r="B30" s="1517" t="str">
        <f t="shared" si="1"/>
        <v>2004/5</v>
      </c>
      <c r="C30" s="1714">
        <f t="shared" si="2"/>
        <v>25618723.30074</v>
      </c>
      <c r="D30" s="1725">
        <f t="shared" si="3"/>
        <v>1073683.10451</v>
      </c>
      <c r="E30" s="1725">
        <f t="shared" si="4"/>
        <v>6991023</v>
      </c>
      <c r="F30" s="1714">
        <f t="shared" si="5"/>
        <v>4421465.1339764148</v>
      </c>
      <c r="G30" s="1258"/>
      <c r="H30" s="537"/>
      <c r="I30" s="1480"/>
      <c r="J30" s="379"/>
      <c r="K30" s="567"/>
    </row>
    <row r="31" spans="1:11" ht="39.950000000000003" customHeight="1" x14ac:dyDescent="0.25">
      <c r="A31" s="1658"/>
      <c r="B31" s="1517" t="str">
        <f>IF($A$21=TRUE,D85,"")</f>
        <v>2005/6</v>
      </c>
      <c r="C31" s="1714">
        <f t="shared" si="2"/>
        <v>27532377.5</v>
      </c>
      <c r="D31" s="1725">
        <f t="shared" si="3"/>
        <v>948813.5</v>
      </c>
      <c r="E31" s="1725">
        <f t="shared" si="4"/>
        <v>8214109</v>
      </c>
      <c r="F31" s="1714">
        <f t="shared" si="5"/>
        <v>5047095.5</v>
      </c>
      <c r="G31" s="1258"/>
      <c r="H31" s="537"/>
      <c r="I31" s="1480"/>
      <c r="J31" s="379"/>
      <c r="K31" s="567"/>
    </row>
    <row r="32" spans="1:11" ht="39.950000000000003" customHeight="1" x14ac:dyDescent="0.25">
      <c r="A32" s="1658"/>
      <c r="B32" s="1517" t="str">
        <f t="shared" ref="B32:B33" si="6">IF($A$21=TRUE,D86,"")</f>
        <v>2006/7</v>
      </c>
      <c r="C32" s="1714">
        <f t="shared" ref="C32:C37" si="7">IF($A$21=TRUE,E86,"")</f>
        <v>28597580</v>
      </c>
      <c r="D32" s="1725">
        <f t="shared" ref="D32:D37" si="8">IF($A$21=TRUE,F86,"")</f>
        <v>719431</v>
      </c>
      <c r="E32" s="1725">
        <f t="shared" ref="E32:E37" si="9">IF($A$21=TRUE,G86,"")</f>
        <v>8969197</v>
      </c>
      <c r="F32" s="1714">
        <f t="shared" ref="F32:F37" si="10">IF($A$21=TRUE,H86,"")</f>
        <v>5692813.6799999997</v>
      </c>
      <c r="G32" s="1258"/>
      <c r="H32" s="537"/>
      <c r="I32" s="1480"/>
      <c r="J32" s="379"/>
      <c r="K32" s="567"/>
    </row>
    <row r="33" spans="1:34" ht="39.950000000000003" customHeight="1" x14ac:dyDescent="0.25">
      <c r="A33" s="1658"/>
      <c r="B33" s="1517" t="str">
        <f t="shared" si="6"/>
        <v>2007/8</v>
      </c>
      <c r="C33" s="1714">
        <f t="shared" si="7"/>
        <v>29889105.70163</v>
      </c>
      <c r="D33" s="1725">
        <f t="shared" si="8"/>
        <v>909031.29836999997</v>
      </c>
      <c r="E33" s="1725">
        <f t="shared" si="9"/>
        <v>10132245</v>
      </c>
      <c r="F33" s="1714">
        <f t="shared" si="10"/>
        <v>6597634.0729</v>
      </c>
      <c r="G33" s="1258"/>
      <c r="H33" s="537"/>
      <c r="I33" s="1480"/>
      <c r="J33" s="379"/>
      <c r="K33" s="567"/>
    </row>
    <row r="34" spans="1:34" ht="39.950000000000003" customHeight="1" x14ac:dyDescent="0.25">
      <c r="A34" s="1658"/>
      <c r="B34" s="1517" t="str">
        <f>IF($A$21=TRUE,D88,"")</f>
        <v>2008/9</v>
      </c>
      <c r="C34" s="1714">
        <f t="shared" si="7"/>
        <v>31923704.696791034</v>
      </c>
      <c r="D34" s="1725">
        <f t="shared" si="8"/>
        <v>1393760.7426</v>
      </c>
      <c r="E34" s="1725">
        <f t="shared" si="9"/>
        <v>11126240</v>
      </c>
      <c r="F34" s="1714">
        <f t="shared" si="10"/>
        <v>6302210.0633199997</v>
      </c>
      <c r="G34" s="1258"/>
      <c r="H34" s="537"/>
      <c r="I34" s="1480"/>
      <c r="J34" s="379"/>
      <c r="K34" s="567"/>
    </row>
    <row r="35" spans="1:34" ht="39.950000000000003" customHeight="1" x14ac:dyDescent="0.25">
      <c r="A35" s="1658"/>
      <c r="B35" s="1517" t="str">
        <f t="shared" ref="B35:B37" si="11">IF($A$21=TRUE,D89,"")</f>
        <v>2009/10</v>
      </c>
      <c r="C35" s="1714">
        <f t="shared" si="7"/>
        <v>34145273.229639992</v>
      </c>
      <c r="D35" s="1725">
        <f t="shared" si="8"/>
        <v>1592444.8954399999</v>
      </c>
      <c r="E35" s="1725">
        <f t="shared" si="9"/>
        <v>11841634</v>
      </c>
      <c r="F35" s="1714">
        <f t="shared" si="10"/>
        <v>6516513.7579399999</v>
      </c>
      <c r="G35" s="1258"/>
      <c r="H35" s="537"/>
      <c r="I35" s="1480"/>
      <c r="J35" s="379"/>
      <c r="K35" s="567"/>
    </row>
    <row r="36" spans="1:34" ht="39.950000000000003" customHeight="1" x14ac:dyDescent="0.25">
      <c r="A36" s="1658"/>
      <c r="B36" s="1517" t="str">
        <f t="shared" si="11"/>
        <v>2010/11</v>
      </c>
      <c r="C36" s="1714">
        <f t="shared" si="7"/>
        <v>36360777</v>
      </c>
      <c r="D36" s="1725">
        <f t="shared" si="8"/>
        <v>1712024</v>
      </c>
      <c r="E36" s="1725">
        <f t="shared" si="9"/>
        <v>12961219</v>
      </c>
      <c r="F36" s="1714">
        <f t="shared" si="10"/>
        <v>6839898</v>
      </c>
      <c r="G36" s="1258"/>
      <c r="H36" s="537"/>
      <c r="I36" s="1480"/>
      <c r="J36" s="379"/>
      <c r="K36" s="567"/>
    </row>
    <row r="37" spans="1:34" ht="39.950000000000003" customHeight="1" x14ac:dyDescent="0.25">
      <c r="A37" s="1658"/>
      <c r="B37" s="1517" t="str">
        <f t="shared" si="11"/>
        <v>2011/12</v>
      </c>
      <c r="C37" s="1714">
        <f t="shared" si="7"/>
        <v>40775049.303849995</v>
      </c>
      <c r="D37" s="1725">
        <f t="shared" si="8"/>
        <v>1709917.0605600001</v>
      </c>
      <c r="E37" s="1725">
        <f t="shared" si="9"/>
        <v>14941588</v>
      </c>
      <c r="F37" s="1714">
        <f t="shared" si="10"/>
        <v>7363126.411328</v>
      </c>
      <c r="G37" s="1258"/>
      <c r="H37" s="537"/>
      <c r="I37" s="1480"/>
      <c r="J37" s="379"/>
      <c r="K37" s="567"/>
    </row>
    <row r="38" spans="1:34" ht="39.950000000000003" customHeight="1" x14ac:dyDescent="0.25">
      <c r="A38" s="1658"/>
      <c r="B38" s="1258"/>
      <c r="C38" s="1263"/>
      <c r="D38" s="1266"/>
      <c r="E38" s="1273"/>
      <c r="F38" s="1273"/>
      <c r="G38" s="1424"/>
      <c r="H38" s="537"/>
      <c r="I38" s="1480"/>
      <c r="J38" s="379"/>
      <c r="K38" s="567"/>
    </row>
    <row r="39" spans="1:34" ht="39.950000000000003" customHeight="1" x14ac:dyDescent="0.25">
      <c r="A39" s="279"/>
      <c r="B39" s="1258"/>
      <c r="C39" s="1263"/>
      <c r="D39" s="1266"/>
      <c r="E39" s="1273"/>
      <c r="F39" s="1273"/>
      <c r="G39" s="1424"/>
      <c r="H39" s="537"/>
      <c r="I39" s="1480"/>
      <c r="J39" s="379"/>
      <c r="K39" s="567"/>
    </row>
    <row r="40" spans="1:34" ht="39.950000000000003" customHeight="1" x14ac:dyDescent="0.25">
      <c r="A40" s="279"/>
      <c r="B40" s="1258"/>
      <c r="C40" s="1263"/>
      <c r="D40" s="1266"/>
      <c r="E40" s="1273"/>
      <c r="F40" s="1273"/>
      <c r="G40" s="1424"/>
      <c r="H40" s="537"/>
      <c r="I40" s="1480"/>
      <c r="J40" s="379"/>
      <c r="K40" s="567"/>
    </row>
    <row r="41" spans="1:34" ht="39.950000000000003" customHeight="1" x14ac:dyDescent="0.25">
      <c r="A41" s="279"/>
      <c r="B41" s="1284"/>
      <c r="C41" s="1822"/>
      <c r="D41" s="1823"/>
      <c r="E41" s="1824"/>
      <c r="F41" s="1824"/>
      <c r="G41" s="1825"/>
      <c r="H41" s="752"/>
      <c r="I41" s="1770"/>
      <c r="J41" s="567"/>
      <c r="K41" s="567"/>
      <c r="L41" s="396"/>
      <c r="M41" s="396"/>
      <c r="N41" s="396"/>
      <c r="O41" s="396"/>
      <c r="P41" s="396"/>
      <c r="Q41" s="396"/>
      <c r="R41" s="396"/>
      <c r="S41" s="396"/>
      <c r="T41" s="396"/>
      <c r="U41" s="396"/>
      <c r="V41" s="396"/>
      <c r="W41" s="396"/>
      <c r="X41" s="396"/>
      <c r="Y41" s="396"/>
      <c r="Z41" s="396"/>
      <c r="AA41" s="396"/>
      <c r="AB41" s="396"/>
      <c r="AC41" s="396"/>
      <c r="AD41" s="396"/>
      <c r="AE41" s="396"/>
      <c r="AF41" s="396"/>
      <c r="AG41" s="396"/>
      <c r="AH41" s="396"/>
    </row>
    <row r="42" spans="1:34" ht="39.950000000000003" customHeight="1" x14ac:dyDescent="0.25">
      <c r="A42" s="279"/>
      <c r="B42" s="1284"/>
      <c r="C42" s="1826"/>
      <c r="D42" s="1823"/>
      <c r="E42" s="1824"/>
      <c r="F42" s="1824"/>
      <c r="G42" s="1825"/>
      <c r="H42" s="752"/>
      <c r="I42" s="1770"/>
      <c r="J42" s="567"/>
      <c r="K42" s="567"/>
      <c r="L42" s="396"/>
      <c r="M42" s="396"/>
      <c r="N42" s="396"/>
      <c r="O42" s="396"/>
      <c r="P42" s="396"/>
      <c r="Q42" s="396"/>
      <c r="R42" s="396"/>
      <c r="S42" s="396"/>
      <c r="T42" s="396"/>
      <c r="U42" s="396"/>
      <c r="V42" s="396"/>
      <c r="W42" s="396"/>
      <c r="X42" s="396"/>
      <c r="Y42" s="396"/>
      <c r="Z42" s="396"/>
      <c r="AA42" s="396"/>
      <c r="AB42" s="396"/>
      <c r="AC42" s="396"/>
      <c r="AD42" s="396"/>
      <c r="AE42" s="396"/>
      <c r="AF42" s="396"/>
      <c r="AG42" s="396"/>
      <c r="AH42" s="396"/>
    </row>
    <row r="43" spans="1:34" ht="39.950000000000003" customHeight="1" x14ac:dyDescent="0.25">
      <c r="A43" s="279"/>
      <c r="B43" s="1416"/>
      <c r="C43" s="1826"/>
      <c r="D43" s="1823"/>
      <c r="E43" s="1824"/>
      <c r="F43" s="1824"/>
      <c r="G43" s="1825"/>
      <c r="H43" s="752"/>
      <c r="I43" s="1770"/>
      <c r="J43" s="567"/>
      <c r="K43" s="567"/>
      <c r="L43" s="396"/>
      <c r="M43" s="396"/>
      <c r="N43" s="396"/>
      <c r="O43" s="396"/>
      <c r="P43" s="396"/>
      <c r="Q43" s="396"/>
      <c r="R43" s="396"/>
      <c r="S43" s="396"/>
      <c r="T43" s="396"/>
      <c r="U43" s="396"/>
      <c r="V43" s="396"/>
      <c r="W43" s="396"/>
      <c r="X43" s="396"/>
      <c r="Y43" s="396"/>
      <c r="Z43" s="396"/>
      <c r="AA43" s="396"/>
      <c r="AB43" s="396"/>
      <c r="AC43" s="396"/>
      <c r="AD43" s="396"/>
      <c r="AE43" s="396"/>
      <c r="AF43" s="396"/>
      <c r="AG43" s="396"/>
      <c r="AH43" s="396"/>
    </row>
    <row r="44" spans="1:34" ht="39.950000000000003" customHeight="1" x14ac:dyDescent="0.25">
      <c r="A44" s="1319"/>
      <c r="B44" s="1284" t="s">
        <v>57</v>
      </c>
      <c r="C44" s="1826"/>
      <c r="D44" s="1823"/>
      <c r="E44" s="1824" t="s">
        <v>47</v>
      </c>
      <c r="F44" s="1824"/>
      <c r="G44" s="1825"/>
      <c r="H44" s="1841" t="s">
        <v>620</v>
      </c>
      <c r="I44" s="1770" t="s">
        <v>624</v>
      </c>
      <c r="J44" s="567"/>
      <c r="K44" s="567"/>
      <c r="L44" s="396"/>
      <c r="M44" s="396"/>
      <c r="N44" s="396"/>
      <c r="O44" s="396"/>
      <c r="P44" s="396"/>
      <c r="Q44" s="396"/>
      <c r="R44" s="396"/>
      <c r="S44" s="396"/>
      <c r="T44" s="396"/>
      <c r="U44" s="396"/>
      <c r="V44" s="396"/>
      <c r="W44" s="396"/>
      <c r="X44" s="396"/>
      <c r="Y44" s="396"/>
      <c r="Z44" s="396"/>
      <c r="AA44" s="396"/>
      <c r="AB44" s="396"/>
      <c r="AC44" s="396"/>
      <c r="AD44" s="396"/>
      <c r="AE44" s="396"/>
      <c r="AF44" s="396"/>
      <c r="AG44" s="396"/>
      <c r="AH44" s="396"/>
    </row>
    <row r="45" spans="1:34" x14ac:dyDescent="0.25">
      <c r="A45" s="1597"/>
      <c r="B45" s="1842"/>
      <c r="C45" s="1842" t="s">
        <v>266</v>
      </c>
      <c r="D45" s="1842" t="s">
        <v>48</v>
      </c>
      <c r="E45" s="1827" t="s">
        <v>1</v>
      </c>
      <c r="F45" s="1827" t="s">
        <v>266</v>
      </c>
      <c r="G45" s="1828" t="s">
        <v>48</v>
      </c>
      <c r="H45" s="1843"/>
      <c r="I45" s="1770">
        <v>1</v>
      </c>
      <c r="J45" s="567"/>
      <c r="K45" s="567"/>
      <c r="L45" s="396"/>
      <c r="M45" s="396"/>
      <c r="N45" s="396"/>
      <c r="O45" s="396"/>
      <c r="P45" s="396"/>
      <c r="Q45" s="396"/>
      <c r="R45" s="396"/>
      <c r="S45" s="396"/>
      <c r="T45" s="396"/>
      <c r="U45" s="396"/>
      <c r="V45" s="396"/>
      <c r="W45" s="396"/>
      <c r="X45" s="396"/>
      <c r="Y45" s="396"/>
      <c r="Z45" s="396"/>
      <c r="AA45" s="396"/>
      <c r="AB45" s="396"/>
      <c r="AC45" s="396"/>
      <c r="AD45" s="396"/>
      <c r="AE45" s="396"/>
      <c r="AF45" s="396"/>
      <c r="AG45" s="396"/>
      <c r="AH45" s="396"/>
    </row>
    <row r="46" spans="1:34" x14ac:dyDescent="0.25">
      <c r="A46" s="1597"/>
      <c r="B46" s="1842" t="s">
        <v>68</v>
      </c>
      <c r="C46" s="819">
        <v>5077117.7869999995</v>
      </c>
      <c r="D46" s="819">
        <v>10445008.787</v>
      </c>
      <c r="E46" s="1844" t="s">
        <v>68</v>
      </c>
      <c r="F46" s="1829">
        <v>2010021.848</v>
      </c>
      <c r="G46" s="1830">
        <v>3395021.8480000002</v>
      </c>
      <c r="H46" s="1838">
        <v>5.0599999999999999E-2</v>
      </c>
      <c r="I46" s="1770">
        <v>1.0506</v>
      </c>
      <c r="J46" s="567"/>
      <c r="K46" s="567"/>
      <c r="L46" s="396"/>
      <c r="M46" s="396"/>
      <c r="N46" s="396"/>
      <c r="O46" s="396"/>
      <c r="P46" s="396"/>
      <c r="Q46" s="396"/>
      <c r="R46" s="396"/>
      <c r="S46" s="396"/>
      <c r="T46" s="396"/>
      <c r="U46" s="396"/>
      <c r="V46" s="396"/>
      <c r="W46" s="396"/>
      <c r="X46" s="396"/>
      <c r="Y46" s="396"/>
      <c r="Z46" s="396"/>
      <c r="AA46" s="396"/>
      <c r="AB46" s="396"/>
      <c r="AC46" s="396"/>
      <c r="AD46" s="396"/>
      <c r="AE46" s="396"/>
      <c r="AF46" s="396"/>
      <c r="AG46" s="396"/>
      <c r="AH46" s="396"/>
    </row>
    <row r="47" spans="1:34" x14ac:dyDescent="0.25">
      <c r="A47" s="1597"/>
      <c r="B47" s="1842" t="s">
        <v>69</v>
      </c>
      <c r="C47" s="819">
        <v>5620251.5159999998</v>
      </c>
      <c r="D47" s="819">
        <v>11641474.516000001</v>
      </c>
      <c r="E47" s="1844" t="s">
        <v>69</v>
      </c>
      <c r="F47" s="1829">
        <v>2089618.3663333301</v>
      </c>
      <c r="G47" s="1830">
        <v>3544618.3663333301</v>
      </c>
      <c r="H47" s="1838">
        <v>1.55E-2</v>
      </c>
      <c r="I47" s="1770">
        <v>1.0668843000000001</v>
      </c>
      <c r="J47" s="567"/>
      <c r="K47" s="960"/>
      <c r="L47" s="396"/>
      <c r="M47" s="396"/>
      <c r="N47" s="396"/>
      <c r="O47" s="396"/>
      <c r="P47" s="396"/>
      <c r="Q47" s="396"/>
      <c r="R47" s="396"/>
      <c r="S47" s="396"/>
      <c r="T47" s="396"/>
      <c r="U47" s="396"/>
      <c r="V47" s="396"/>
      <c r="W47" s="396"/>
      <c r="X47" s="396"/>
      <c r="Y47" s="396"/>
      <c r="Z47" s="396"/>
      <c r="AA47" s="396"/>
      <c r="AB47" s="396"/>
      <c r="AC47" s="396"/>
      <c r="AD47" s="396"/>
      <c r="AE47" s="396"/>
      <c r="AF47" s="396"/>
      <c r="AG47" s="396"/>
      <c r="AH47" s="396"/>
    </row>
    <row r="48" spans="1:34" x14ac:dyDescent="0.25">
      <c r="A48" s="1597"/>
      <c r="B48" s="1842" t="s">
        <v>70</v>
      </c>
      <c r="C48" s="819">
        <v>5303119.1030000001</v>
      </c>
      <c r="D48" s="819">
        <v>11757118.103</v>
      </c>
      <c r="E48" s="1844" t="s">
        <v>70</v>
      </c>
      <c r="F48" s="1831">
        <v>2197552.8220000002</v>
      </c>
      <c r="G48" s="1831">
        <v>3815552.8220000002</v>
      </c>
      <c r="H48" s="1845">
        <v>6.0999999999999999E-2</v>
      </c>
      <c r="I48" s="1277">
        <v>1.1319642423</v>
      </c>
      <c r="J48" s="567"/>
      <c r="K48" s="960"/>
      <c r="L48" s="396"/>
      <c r="M48" s="396"/>
      <c r="N48" s="396"/>
      <c r="O48" s="396"/>
      <c r="P48" s="396"/>
      <c r="Q48" s="396"/>
      <c r="R48" s="396"/>
      <c r="S48" s="396"/>
      <c r="T48" s="396"/>
      <c r="U48" s="396"/>
      <c r="V48" s="396"/>
      <c r="W48" s="396"/>
      <c r="X48" s="396"/>
      <c r="Y48" s="396"/>
      <c r="Z48" s="396"/>
      <c r="AA48" s="396"/>
      <c r="AB48" s="396"/>
      <c r="AC48" s="396"/>
      <c r="AD48" s="396"/>
      <c r="AE48" s="396"/>
      <c r="AF48" s="396"/>
      <c r="AG48" s="396"/>
      <c r="AH48" s="396"/>
    </row>
    <row r="49" spans="1:34" x14ac:dyDescent="0.25">
      <c r="A49" s="1597"/>
      <c r="B49" s="1842" t="s">
        <v>494</v>
      </c>
      <c r="C49" s="819">
        <v>5666475.1449999996</v>
      </c>
      <c r="D49" s="819">
        <v>13321063.145</v>
      </c>
      <c r="E49" s="1844" t="s">
        <v>494</v>
      </c>
      <c r="F49" s="1846">
        <v>2231590.15366667</v>
      </c>
      <c r="G49" s="1831">
        <v>3626590.15366667</v>
      </c>
      <c r="H49" s="1845">
        <v>7.0599999999999996E-2</v>
      </c>
      <c r="I49" s="1277">
        <v>1.2118809178063801</v>
      </c>
      <c r="J49" s="567"/>
      <c r="K49" s="960"/>
      <c r="L49" s="396"/>
      <c r="M49" s="396"/>
      <c r="N49" s="396"/>
      <c r="O49" s="396"/>
      <c r="P49" s="396"/>
      <c r="Q49" s="396"/>
      <c r="R49" s="396"/>
      <c r="S49" s="396"/>
      <c r="T49" s="396"/>
      <c r="U49" s="396"/>
      <c r="V49" s="396"/>
      <c r="W49" s="396"/>
      <c r="X49" s="396"/>
      <c r="Y49" s="396"/>
      <c r="Z49" s="396"/>
      <c r="AA49" s="396"/>
      <c r="AB49" s="396"/>
      <c r="AC49" s="396"/>
      <c r="AD49" s="396"/>
      <c r="AE49" s="396"/>
      <c r="AF49" s="396"/>
      <c r="AG49" s="396"/>
      <c r="AH49" s="396"/>
    </row>
    <row r="50" spans="1:34" x14ac:dyDescent="0.25">
      <c r="A50" s="1597"/>
      <c r="B50" s="1842" t="s">
        <v>493</v>
      </c>
      <c r="C50" s="819">
        <v>6153081.7249999996</v>
      </c>
      <c r="D50" s="819">
        <v>14985078.725</v>
      </c>
      <c r="E50" s="1844" t="s">
        <v>493</v>
      </c>
      <c r="F50" s="1831">
        <v>2327972.3616666701</v>
      </c>
      <c r="G50" s="1831">
        <v>3895972.3616666701</v>
      </c>
      <c r="H50" s="1831">
        <v>7.6300000000000007E-2</v>
      </c>
      <c r="I50" s="396">
        <v>1.304347431835007</v>
      </c>
      <c r="J50" s="1277"/>
      <c r="K50" s="567"/>
      <c r="L50" s="960"/>
      <c r="M50" s="396"/>
      <c r="N50" s="396"/>
      <c r="O50" s="396"/>
      <c r="P50" s="396"/>
      <c r="Q50" s="396"/>
      <c r="R50" s="396"/>
      <c r="S50" s="396"/>
      <c r="T50" s="396"/>
      <c r="U50" s="396"/>
      <c r="V50" s="396"/>
      <c r="W50" s="396"/>
      <c r="X50" s="396"/>
      <c r="Y50" s="396"/>
      <c r="Z50" s="396"/>
      <c r="AA50" s="396"/>
      <c r="AB50" s="396"/>
      <c r="AC50" s="396"/>
      <c r="AD50" s="396"/>
      <c r="AE50" s="396"/>
      <c r="AF50" s="396"/>
      <c r="AG50" s="396"/>
      <c r="AH50" s="396"/>
    </row>
    <row r="51" spans="1:34" x14ac:dyDescent="0.25">
      <c r="A51" s="1597"/>
      <c r="B51" s="1842" t="s">
        <v>492</v>
      </c>
      <c r="C51" s="819">
        <v>6605831.9550000001</v>
      </c>
      <c r="D51" s="819">
        <v>17301167.954999998</v>
      </c>
      <c r="E51" s="1844" t="s">
        <v>492</v>
      </c>
      <c r="F51" s="1831">
        <v>2504506.085</v>
      </c>
      <c r="G51" s="1831">
        <v>4134506.085</v>
      </c>
      <c r="H51" s="1831">
        <v>6.5000000000000002E-2</v>
      </c>
      <c r="I51" s="396">
        <v>1.3891300149042825</v>
      </c>
      <c r="J51" s="1277"/>
      <c r="K51" s="567"/>
      <c r="L51" s="960"/>
      <c r="M51" s="396"/>
      <c r="N51" s="396"/>
      <c r="O51" s="396"/>
      <c r="P51" s="396"/>
      <c r="Q51" s="396"/>
      <c r="R51" s="396"/>
      <c r="S51" s="396"/>
      <c r="T51" s="396"/>
      <c r="U51" s="396"/>
      <c r="V51" s="396"/>
      <c r="W51" s="396"/>
      <c r="X51" s="396"/>
      <c r="Y51" s="396"/>
      <c r="Z51" s="396"/>
      <c r="AA51" s="396"/>
      <c r="AB51" s="396"/>
      <c r="AC51" s="396"/>
      <c r="AD51" s="396"/>
      <c r="AE51" s="396"/>
      <c r="AF51" s="396"/>
      <c r="AG51" s="396"/>
      <c r="AH51" s="396"/>
    </row>
    <row r="52" spans="1:34" x14ac:dyDescent="0.25">
      <c r="A52" s="1597"/>
      <c r="B52" s="1842" t="s">
        <v>192</v>
      </c>
      <c r="C52" s="819">
        <v>6991023</v>
      </c>
      <c r="D52" s="819">
        <v>11981995</v>
      </c>
      <c r="E52" s="1844" t="s">
        <v>192</v>
      </c>
      <c r="F52" s="1831">
        <v>4421465.1339764148</v>
      </c>
      <c r="G52" s="1831">
        <v>5115514.2809764491</v>
      </c>
      <c r="H52" s="1831">
        <v>7.1900000000000006E-2</v>
      </c>
      <c r="I52" s="396">
        <v>1.4890084629759004</v>
      </c>
      <c r="J52" s="1277"/>
      <c r="K52" s="567"/>
      <c r="L52" s="960"/>
      <c r="M52" s="396"/>
      <c r="N52" s="396"/>
      <c r="O52" s="396"/>
      <c r="P52" s="396"/>
      <c r="Q52" s="396"/>
      <c r="R52" s="396"/>
      <c r="S52" s="396"/>
      <c r="T52" s="396"/>
      <c r="U52" s="396"/>
      <c r="V52" s="396"/>
      <c r="W52" s="396"/>
      <c r="X52" s="396"/>
      <c r="Y52" s="396"/>
      <c r="Z52" s="396"/>
      <c r="AA52" s="396"/>
      <c r="AB52" s="396"/>
      <c r="AC52" s="396"/>
      <c r="AD52" s="396"/>
      <c r="AE52" s="396"/>
      <c r="AF52" s="396"/>
      <c r="AG52" s="396"/>
      <c r="AH52" s="396"/>
    </row>
    <row r="53" spans="1:34" x14ac:dyDescent="0.25">
      <c r="A53" s="1597"/>
      <c r="B53" s="1842" t="s">
        <v>193</v>
      </c>
      <c r="C53" s="819">
        <v>8214109</v>
      </c>
      <c r="D53" s="819">
        <v>14214691</v>
      </c>
      <c r="E53" s="1844" t="s">
        <v>193</v>
      </c>
      <c r="F53" s="1831">
        <v>5047095.5</v>
      </c>
      <c r="G53" s="1831">
        <v>5839664.3710000003</v>
      </c>
      <c r="H53" s="1831">
        <v>1.9199999999999998E-2</v>
      </c>
      <c r="I53" s="1578">
        <v>1.5175974254650377</v>
      </c>
      <c r="J53" s="1277"/>
      <c r="K53" s="567"/>
      <c r="L53" s="960"/>
      <c r="M53" s="396"/>
      <c r="N53" s="396"/>
      <c r="O53" s="396"/>
      <c r="P53" s="396"/>
      <c r="Q53" s="396"/>
      <c r="R53" s="396"/>
      <c r="S53" s="396"/>
      <c r="T53" s="396"/>
      <c r="U53" s="396"/>
      <c r="V53" s="396"/>
      <c r="W53" s="396"/>
      <c r="X53" s="396"/>
      <c r="Y53" s="396"/>
      <c r="Z53" s="396"/>
      <c r="AA53" s="396"/>
      <c r="AB53" s="396"/>
      <c r="AC53" s="396"/>
      <c r="AD53" s="396"/>
      <c r="AE53" s="396"/>
      <c r="AF53" s="396"/>
      <c r="AG53" s="396"/>
      <c r="AH53" s="396"/>
    </row>
    <row r="54" spans="1:34" x14ac:dyDescent="0.25">
      <c r="A54" s="1597"/>
      <c r="B54" s="1842" t="s">
        <v>194</v>
      </c>
      <c r="C54" s="819">
        <v>8969197</v>
      </c>
      <c r="D54" s="819">
        <v>15833718</v>
      </c>
      <c r="E54" s="1844" t="s">
        <v>194</v>
      </c>
      <c r="F54" s="1831">
        <v>5692813.6799999997</v>
      </c>
      <c r="G54" s="1831">
        <v>6568362.6799999997</v>
      </c>
      <c r="H54" s="1831">
        <v>3.8800000000000001E-2</v>
      </c>
      <c r="I54" s="1578">
        <v>1.5764802055730811</v>
      </c>
      <c r="J54" s="1277"/>
      <c r="K54" s="567"/>
      <c r="L54" s="960"/>
      <c r="M54" s="396"/>
      <c r="N54" s="396"/>
      <c r="O54" s="396"/>
      <c r="P54" s="396"/>
      <c r="Q54" s="396"/>
      <c r="R54" s="396"/>
      <c r="S54" s="396"/>
      <c r="T54" s="396"/>
      <c r="U54" s="396"/>
      <c r="V54" s="396"/>
      <c r="W54" s="396"/>
      <c r="X54" s="396"/>
      <c r="Y54" s="396"/>
      <c r="Z54" s="396"/>
      <c r="AA54" s="396"/>
      <c r="AB54" s="396"/>
      <c r="AC54" s="396"/>
      <c r="AD54" s="396"/>
      <c r="AE54" s="396"/>
      <c r="AF54" s="396"/>
      <c r="AG54" s="396"/>
      <c r="AH54" s="396"/>
    </row>
    <row r="55" spans="1:34" x14ac:dyDescent="0.25">
      <c r="A55" s="1597"/>
      <c r="B55" s="1842" t="s">
        <v>195</v>
      </c>
      <c r="C55" s="819">
        <v>10132245</v>
      </c>
      <c r="D55" s="819">
        <v>18554701</v>
      </c>
      <c r="E55" s="1844" t="s">
        <v>195</v>
      </c>
      <c r="F55" s="1831">
        <v>6597634.0729</v>
      </c>
      <c r="G55" s="1831">
        <v>7784592.0729</v>
      </c>
      <c r="H55" s="1831">
        <v>4.2299999999999997E-2</v>
      </c>
      <c r="I55" s="1578">
        <v>1.6431653182688224</v>
      </c>
      <c r="J55" s="1277"/>
      <c r="K55" s="567"/>
      <c r="L55" s="960"/>
      <c r="M55" s="396"/>
      <c r="N55" s="396"/>
      <c r="O55" s="396"/>
      <c r="P55" s="396"/>
      <c r="Q55" s="396"/>
      <c r="R55" s="396"/>
      <c r="S55" s="396"/>
      <c r="T55" s="396"/>
      <c r="U55" s="396"/>
      <c r="V55" s="396"/>
      <c r="W55" s="396"/>
      <c r="X55" s="396"/>
      <c r="Y55" s="396"/>
      <c r="Z55" s="396"/>
      <c r="AA55" s="396"/>
      <c r="AB55" s="396"/>
      <c r="AC55" s="396"/>
      <c r="AD55" s="396"/>
      <c r="AE55" s="396"/>
      <c r="AF55" s="396"/>
      <c r="AG55" s="396"/>
      <c r="AH55" s="396"/>
    </row>
    <row r="56" spans="1:34" x14ac:dyDescent="0.25">
      <c r="A56" s="1597"/>
      <c r="B56" s="1842" t="s">
        <v>196</v>
      </c>
      <c r="C56" s="819">
        <v>11126240</v>
      </c>
      <c r="D56" s="819">
        <v>20184853</v>
      </c>
      <c r="E56" s="1844" t="s">
        <v>196</v>
      </c>
      <c r="F56" s="1831">
        <v>6302210.0633199997</v>
      </c>
      <c r="G56" s="1831">
        <v>7426030.9178999998</v>
      </c>
      <c r="H56" s="1831">
        <v>5.4300000000000001E-2</v>
      </c>
      <c r="I56" s="1578">
        <v>1.7323891950508195</v>
      </c>
      <c r="J56" s="1277"/>
      <c r="K56" s="567"/>
      <c r="L56" s="960"/>
      <c r="M56" s="396"/>
      <c r="N56" s="396"/>
      <c r="O56" s="396"/>
      <c r="P56" s="396"/>
      <c r="Q56" s="396"/>
      <c r="R56" s="396"/>
      <c r="S56" s="396"/>
      <c r="T56" s="396"/>
      <c r="U56" s="396"/>
      <c r="V56" s="396"/>
      <c r="W56" s="396"/>
      <c r="X56" s="396"/>
      <c r="Y56" s="396"/>
      <c r="Z56" s="396"/>
      <c r="AA56" s="396"/>
      <c r="AB56" s="396"/>
      <c r="AC56" s="396"/>
      <c r="AD56" s="396"/>
      <c r="AE56" s="396"/>
      <c r="AF56" s="396"/>
      <c r="AG56" s="396"/>
      <c r="AH56" s="396"/>
    </row>
    <row r="57" spans="1:34" x14ac:dyDescent="0.25">
      <c r="A57" s="1597"/>
      <c r="B57" s="1853" t="s">
        <v>6</v>
      </c>
      <c r="C57" s="819">
        <v>11841634</v>
      </c>
      <c r="D57" s="819">
        <v>22017444</v>
      </c>
      <c r="E57" s="1844" t="s">
        <v>6</v>
      </c>
      <c r="F57" s="1831">
        <v>6516513.7579399999</v>
      </c>
      <c r="G57" s="1831">
        <v>7635390.1285600001</v>
      </c>
      <c r="H57" s="1831">
        <v>1.3299999999999999E-2</v>
      </c>
      <c r="I57" s="1578">
        <v>1.7554299713449955</v>
      </c>
      <c r="J57" s="1277"/>
      <c r="K57" s="567"/>
      <c r="L57" s="960"/>
      <c r="M57" s="396"/>
      <c r="N57" s="396"/>
      <c r="O57" s="396"/>
      <c r="P57" s="396"/>
      <c r="Q57" s="396"/>
      <c r="R57" s="396"/>
      <c r="S57" s="396"/>
      <c r="T57" s="396"/>
      <c r="U57" s="396"/>
      <c r="V57" s="396"/>
      <c r="W57" s="396"/>
      <c r="X57" s="396"/>
      <c r="Y57" s="396"/>
      <c r="Z57" s="396"/>
      <c r="AA57" s="396"/>
      <c r="AB57" s="396"/>
      <c r="AC57" s="396"/>
      <c r="AD57" s="396"/>
      <c r="AE57" s="396"/>
      <c r="AF57" s="396"/>
      <c r="AG57" s="396"/>
      <c r="AH57" s="396"/>
    </row>
    <row r="58" spans="1:34" x14ac:dyDescent="0.25">
      <c r="A58" s="1597"/>
      <c r="B58" s="1853" t="s">
        <v>7</v>
      </c>
      <c r="C58" s="819">
        <v>12961219</v>
      </c>
      <c r="D58" s="819">
        <v>23931314</v>
      </c>
      <c r="E58" s="1844" t="s">
        <v>7</v>
      </c>
      <c r="F58" s="1831">
        <v>6839898</v>
      </c>
      <c r="G58" s="1831">
        <v>8025361</v>
      </c>
      <c r="H58" s="1831">
        <v>0.01</v>
      </c>
      <c r="I58" s="1578">
        <v>1.7729842710584454</v>
      </c>
      <c r="J58" s="1277"/>
      <c r="K58" s="567"/>
      <c r="L58" s="960"/>
      <c r="M58" s="396"/>
      <c r="N58" s="396"/>
      <c r="O58" s="396"/>
      <c r="P58" s="396"/>
      <c r="Q58" s="396"/>
      <c r="R58" s="396"/>
      <c r="S58" s="396"/>
      <c r="T58" s="396"/>
      <c r="U58" s="396"/>
      <c r="V58" s="396"/>
      <c r="W58" s="396"/>
      <c r="X58" s="396"/>
      <c r="Y58" s="396"/>
      <c r="Z58" s="396"/>
      <c r="AA58" s="396"/>
      <c r="AB58" s="396"/>
      <c r="AC58" s="396"/>
      <c r="AD58" s="396"/>
      <c r="AE58" s="396"/>
      <c r="AF58" s="396"/>
      <c r="AG58" s="396"/>
      <c r="AH58" s="396"/>
    </row>
    <row r="59" spans="1:34" x14ac:dyDescent="0.25">
      <c r="A59" s="1597"/>
      <c r="B59" s="1853" t="s">
        <v>489</v>
      </c>
      <c r="C59" s="819">
        <v>14941588</v>
      </c>
      <c r="D59" s="819">
        <v>25522535.52482</v>
      </c>
      <c r="E59" s="1844" t="s">
        <v>489</v>
      </c>
      <c r="F59" s="1831">
        <v>7363126.411328</v>
      </c>
      <c r="G59" s="1831">
        <v>8265079.0023079999</v>
      </c>
      <c r="H59" s="1831"/>
      <c r="I59" s="1578"/>
      <c r="J59" s="1277"/>
      <c r="K59" s="567"/>
      <c r="L59" s="960"/>
      <c r="M59" s="396"/>
      <c r="N59" s="396"/>
      <c r="O59" s="396"/>
      <c r="P59" s="396"/>
      <c r="Q59" s="396"/>
      <c r="R59" s="396"/>
      <c r="S59" s="396"/>
      <c r="T59" s="396"/>
      <c r="U59" s="396"/>
      <c r="V59" s="396"/>
      <c r="W59" s="396"/>
      <c r="X59" s="396"/>
      <c r="Y59" s="396"/>
      <c r="Z59" s="396"/>
      <c r="AA59" s="396"/>
      <c r="AB59" s="396"/>
      <c r="AC59" s="396"/>
      <c r="AD59" s="396"/>
      <c r="AE59" s="396"/>
      <c r="AF59" s="396"/>
      <c r="AG59" s="396"/>
      <c r="AH59" s="396"/>
    </row>
    <row r="60" spans="1:34" x14ac:dyDescent="0.25">
      <c r="A60" s="1597"/>
      <c r="B60" s="1854"/>
      <c r="C60" s="1832"/>
      <c r="D60" s="1823"/>
      <c r="E60" s="1822"/>
      <c r="F60" s="1831"/>
      <c r="G60" s="1831"/>
      <c r="H60" s="1831"/>
      <c r="I60" s="1578"/>
      <c r="J60" s="1277"/>
      <c r="K60" s="567"/>
      <c r="L60" s="960"/>
      <c r="M60" s="396"/>
      <c r="N60" s="396"/>
      <c r="O60" s="396"/>
      <c r="P60" s="396"/>
      <c r="Q60" s="396"/>
      <c r="R60" s="396"/>
      <c r="S60" s="396"/>
      <c r="T60" s="396"/>
      <c r="U60" s="396"/>
      <c r="V60" s="396"/>
      <c r="W60" s="396"/>
      <c r="X60" s="396"/>
      <c r="Y60" s="396"/>
      <c r="Z60" s="396"/>
      <c r="AA60" s="396"/>
      <c r="AB60" s="396"/>
      <c r="AC60" s="396"/>
      <c r="AD60" s="396"/>
      <c r="AE60" s="396"/>
      <c r="AF60" s="396"/>
      <c r="AG60" s="396"/>
      <c r="AH60" s="396"/>
    </row>
    <row r="61" spans="1:34" x14ac:dyDescent="0.25">
      <c r="A61" s="1597"/>
      <c r="B61" s="1854"/>
      <c r="C61" s="1832"/>
      <c r="D61" s="1823"/>
      <c r="E61" s="1822"/>
      <c r="F61" s="1831"/>
      <c r="G61" s="1831"/>
      <c r="H61" s="1831"/>
      <c r="I61" s="1578"/>
      <c r="J61" s="1277"/>
      <c r="K61" s="567"/>
      <c r="L61" s="960"/>
      <c r="M61" s="396"/>
      <c r="N61" s="396"/>
      <c r="O61" s="396"/>
      <c r="P61" s="396"/>
      <c r="Q61" s="396"/>
      <c r="R61" s="396"/>
      <c r="S61" s="396"/>
      <c r="T61" s="396"/>
      <c r="U61" s="396"/>
      <c r="V61" s="396"/>
      <c r="W61" s="396"/>
      <c r="X61" s="396"/>
      <c r="Y61" s="396"/>
      <c r="Z61" s="396"/>
      <c r="AA61" s="396"/>
      <c r="AB61" s="396"/>
      <c r="AC61" s="396"/>
      <c r="AD61" s="396"/>
      <c r="AE61" s="396"/>
      <c r="AF61" s="396"/>
      <c r="AG61" s="396"/>
      <c r="AH61" s="396"/>
    </row>
    <row r="62" spans="1:34" x14ac:dyDescent="0.25">
      <c r="A62" s="1031"/>
      <c r="B62" s="1854"/>
      <c r="C62" s="1832"/>
      <c r="D62" s="1823"/>
      <c r="E62" s="1822"/>
      <c r="F62" s="1831"/>
      <c r="G62" s="1831"/>
      <c r="H62" s="1831"/>
      <c r="I62" s="1578"/>
      <c r="J62" s="1277"/>
      <c r="K62" s="567"/>
      <c r="L62" s="960"/>
      <c r="M62" s="396"/>
      <c r="N62" s="396"/>
      <c r="O62" s="396"/>
      <c r="P62" s="396"/>
      <c r="Q62" s="396"/>
      <c r="R62" s="396"/>
      <c r="S62" s="396"/>
      <c r="T62" s="396"/>
      <c r="U62" s="396"/>
      <c r="V62" s="396"/>
      <c r="W62" s="396"/>
      <c r="X62" s="396"/>
      <c r="Y62" s="396"/>
      <c r="Z62" s="396"/>
      <c r="AA62" s="396"/>
      <c r="AB62" s="396"/>
      <c r="AC62" s="396"/>
      <c r="AD62" s="396"/>
      <c r="AE62" s="396"/>
      <c r="AF62" s="396"/>
      <c r="AG62" s="396"/>
      <c r="AH62" s="396"/>
    </row>
    <row r="63" spans="1:34" x14ac:dyDescent="0.25">
      <c r="A63" s="1031"/>
      <c r="B63" s="1854" t="s">
        <v>710</v>
      </c>
      <c r="C63" s="1833" t="s">
        <v>711</v>
      </c>
      <c r="D63" s="1823"/>
      <c r="E63" s="1822"/>
      <c r="F63" s="1822"/>
      <c r="G63" s="1822"/>
      <c r="H63" s="1834"/>
      <c r="I63" s="1578"/>
      <c r="J63" s="1277"/>
      <c r="K63" s="567"/>
      <c r="L63" s="960"/>
      <c r="M63" s="396"/>
      <c r="N63" s="396"/>
      <c r="O63" s="396"/>
      <c r="P63" s="396"/>
      <c r="Q63" s="396"/>
      <c r="R63" s="396"/>
      <c r="S63" s="396"/>
      <c r="T63" s="396"/>
      <c r="U63" s="396"/>
      <c r="V63" s="396"/>
      <c r="W63" s="396"/>
      <c r="X63" s="396"/>
      <c r="Y63" s="396"/>
      <c r="Z63" s="396"/>
      <c r="AA63" s="396"/>
      <c r="AB63" s="396"/>
      <c r="AC63" s="396"/>
      <c r="AD63" s="396"/>
      <c r="AE63" s="396"/>
      <c r="AF63" s="396"/>
      <c r="AG63" s="396"/>
      <c r="AH63" s="396"/>
    </row>
    <row r="64" spans="1:34" x14ac:dyDescent="0.25">
      <c r="A64" s="1031"/>
      <c r="B64" s="1854"/>
      <c r="C64" s="1832"/>
      <c r="D64" s="1823"/>
      <c r="E64" s="1822"/>
      <c r="F64" s="1822"/>
      <c r="G64" s="1822"/>
      <c r="H64" s="1834"/>
      <c r="I64" s="1578"/>
      <c r="J64" s="1277"/>
      <c r="K64" s="567"/>
      <c r="L64" s="960"/>
      <c r="M64" s="396"/>
      <c r="N64" s="396"/>
      <c r="O64" s="396"/>
      <c r="P64" s="396"/>
      <c r="Q64" s="396"/>
      <c r="R64" s="396"/>
      <c r="S64" s="396"/>
      <c r="T64" s="396"/>
      <c r="U64" s="396"/>
      <c r="V64" s="396"/>
      <c r="W64" s="396"/>
      <c r="X64" s="396"/>
      <c r="Y64" s="396"/>
      <c r="Z64" s="396"/>
      <c r="AA64" s="396"/>
      <c r="AB64" s="396"/>
      <c r="AC64" s="396"/>
      <c r="AD64" s="396"/>
      <c r="AE64" s="396"/>
      <c r="AF64" s="396"/>
      <c r="AG64" s="396"/>
      <c r="AH64" s="396"/>
    </row>
    <row r="65" spans="1:34" x14ac:dyDescent="0.25">
      <c r="A65" s="1031"/>
      <c r="B65" s="1855">
        <v>25618723.30074</v>
      </c>
      <c r="C65" s="1835">
        <v>1073683.10451</v>
      </c>
      <c r="D65" s="1823"/>
      <c r="E65" s="1822"/>
      <c r="F65" s="1822"/>
      <c r="G65" s="1822"/>
      <c r="H65" s="1834"/>
      <c r="I65" s="1578"/>
      <c r="J65" s="1277"/>
      <c r="K65" s="567"/>
      <c r="L65" s="960"/>
      <c r="M65" s="1768"/>
      <c r="N65" s="1768"/>
      <c r="O65" s="1768"/>
      <c r="P65" s="1768"/>
      <c r="Q65" s="1847"/>
      <c r="R65" s="396"/>
      <c r="S65" s="396"/>
      <c r="T65" s="396"/>
      <c r="U65" s="396"/>
      <c r="V65" s="396"/>
      <c r="W65" s="396"/>
      <c r="X65" s="396"/>
      <c r="Y65" s="396"/>
      <c r="Z65" s="396"/>
      <c r="AA65" s="396"/>
      <c r="AB65" s="396"/>
      <c r="AC65" s="396"/>
      <c r="AD65" s="396"/>
      <c r="AE65" s="396"/>
      <c r="AF65" s="396"/>
      <c r="AG65" s="396"/>
      <c r="AH65" s="396"/>
    </row>
    <row r="66" spans="1:34" x14ac:dyDescent="0.25">
      <c r="A66" s="1031"/>
      <c r="B66" s="1855">
        <v>27532377.5</v>
      </c>
      <c r="C66" s="1835">
        <v>948813.5</v>
      </c>
      <c r="D66" s="1823"/>
      <c r="E66" s="1822"/>
      <c r="F66" s="1822"/>
      <c r="G66" s="1834"/>
      <c r="H66" s="1822"/>
      <c r="I66" s="1277"/>
      <c r="J66" s="567"/>
      <c r="K66" s="960"/>
      <c r="L66" s="1836"/>
      <c r="M66" s="1836"/>
      <c r="N66" s="1836"/>
      <c r="O66" s="1836"/>
      <c r="P66" s="396"/>
      <c r="Q66" s="396"/>
      <c r="R66" s="396"/>
      <c r="S66" s="396"/>
      <c r="T66" s="396"/>
      <c r="U66" s="396"/>
      <c r="V66" s="396"/>
      <c r="W66" s="396"/>
      <c r="X66" s="396"/>
      <c r="Y66" s="396"/>
      <c r="Z66" s="396"/>
      <c r="AA66" s="396"/>
      <c r="AB66" s="396"/>
      <c r="AC66" s="396"/>
      <c r="AD66" s="396"/>
      <c r="AE66" s="396"/>
      <c r="AF66" s="396"/>
      <c r="AG66" s="396"/>
      <c r="AH66" s="396"/>
    </row>
    <row r="67" spans="1:34" x14ac:dyDescent="0.25">
      <c r="A67" s="1031"/>
      <c r="B67" s="1855">
        <v>28597580</v>
      </c>
      <c r="C67" s="1835">
        <v>719431</v>
      </c>
      <c r="D67" s="1823"/>
      <c r="E67" s="1822"/>
      <c r="F67" s="1822"/>
      <c r="G67" s="1834"/>
      <c r="H67" s="1822"/>
      <c r="I67" s="1277"/>
      <c r="J67" s="567"/>
      <c r="K67" s="960"/>
      <c r="L67" s="1836"/>
      <c r="M67" s="1836"/>
      <c r="N67" s="1836"/>
      <c r="O67" s="1836"/>
      <c r="P67" s="396"/>
      <c r="Q67" s="396"/>
      <c r="R67" s="396"/>
      <c r="S67" s="396"/>
      <c r="T67" s="396"/>
      <c r="U67" s="396"/>
      <c r="V67" s="396"/>
      <c r="W67" s="396"/>
      <c r="X67" s="396"/>
      <c r="Y67" s="396"/>
      <c r="Z67" s="396"/>
      <c r="AA67" s="396"/>
      <c r="AB67" s="396"/>
      <c r="AC67" s="396"/>
      <c r="AD67" s="396"/>
      <c r="AE67" s="396"/>
      <c r="AF67" s="396"/>
      <c r="AG67" s="396"/>
      <c r="AH67" s="396"/>
    </row>
    <row r="68" spans="1:34" x14ac:dyDescent="0.25">
      <c r="A68" s="1031"/>
      <c r="B68" s="1855">
        <v>29889105.70163</v>
      </c>
      <c r="C68" s="1835">
        <v>909031.29836999997</v>
      </c>
      <c r="D68" s="1823"/>
      <c r="E68" s="1822"/>
      <c r="F68" s="1822"/>
      <c r="G68" s="1834"/>
      <c r="H68" s="1822"/>
      <c r="I68" s="1277"/>
      <c r="J68" s="567"/>
      <c r="K68" s="960"/>
      <c r="L68" s="1836"/>
      <c r="M68" s="1836"/>
      <c r="N68" s="1836"/>
      <c r="O68" s="1836"/>
      <c r="P68" s="396"/>
      <c r="Q68" s="396"/>
      <c r="R68" s="396"/>
      <c r="S68" s="396"/>
      <c r="T68" s="396"/>
      <c r="U68" s="396"/>
      <c r="V68" s="396"/>
      <c r="W68" s="396"/>
      <c r="X68" s="396"/>
      <c r="Y68" s="396"/>
      <c r="Z68" s="396"/>
      <c r="AA68" s="396"/>
      <c r="AB68" s="396"/>
      <c r="AC68" s="396"/>
      <c r="AD68" s="396"/>
      <c r="AE68" s="396"/>
      <c r="AF68" s="396"/>
      <c r="AG68" s="396"/>
      <c r="AH68" s="396"/>
    </row>
    <row r="69" spans="1:34" x14ac:dyDescent="0.25">
      <c r="A69" s="1031"/>
      <c r="B69" s="1855">
        <v>31923704.696791034</v>
      </c>
      <c r="C69" s="1835">
        <v>1393760.7426</v>
      </c>
      <c r="D69" s="1823"/>
      <c r="E69" s="1822"/>
      <c r="F69" s="1822"/>
      <c r="G69" s="1834"/>
      <c r="H69" s="1822"/>
      <c r="I69" s="1277"/>
      <c r="J69" s="567"/>
      <c r="K69" s="960"/>
      <c r="L69" s="1836"/>
      <c r="M69" s="1836"/>
      <c r="N69" s="1836"/>
      <c r="O69" s="1836"/>
      <c r="P69" s="396"/>
      <c r="Q69" s="396"/>
      <c r="R69" s="396"/>
      <c r="S69" s="396"/>
      <c r="T69" s="396"/>
      <c r="U69" s="396"/>
      <c r="V69" s="396"/>
      <c r="W69" s="396"/>
      <c r="X69" s="396"/>
      <c r="Y69" s="396"/>
      <c r="Z69" s="396"/>
      <c r="AA69" s="396"/>
      <c r="AB69" s="396"/>
      <c r="AC69" s="396"/>
      <c r="AD69" s="396"/>
      <c r="AE69" s="396"/>
      <c r="AF69" s="396"/>
      <c r="AG69" s="396"/>
      <c r="AH69" s="396"/>
    </row>
    <row r="70" spans="1:34" x14ac:dyDescent="0.25">
      <c r="A70" s="1031"/>
      <c r="B70" s="1855">
        <v>34145273.229639992</v>
      </c>
      <c r="C70" s="1835">
        <v>1592444.8954399999</v>
      </c>
      <c r="D70" s="1823"/>
      <c r="E70" s="1822"/>
      <c r="F70" s="1822"/>
      <c r="G70" s="1834"/>
      <c r="H70" s="1822"/>
      <c r="I70" s="1277"/>
      <c r="J70" s="567"/>
      <c r="K70" s="960"/>
      <c r="L70" s="1836"/>
      <c r="M70" s="1836"/>
      <c r="N70" s="1836"/>
      <c r="O70" s="1836"/>
      <c r="P70" s="396"/>
      <c r="Q70" s="396"/>
      <c r="R70" s="396"/>
      <c r="S70" s="396"/>
      <c r="T70" s="396"/>
      <c r="U70" s="396"/>
      <c r="V70" s="396"/>
      <c r="W70" s="396"/>
      <c r="X70" s="396"/>
      <c r="Y70" s="396"/>
      <c r="Z70" s="396"/>
      <c r="AA70" s="396"/>
      <c r="AB70" s="396"/>
      <c r="AC70" s="396"/>
      <c r="AD70" s="396"/>
      <c r="AE70" s="396"/>
      <c r="AF70" s="396"/>
      <c r="AG70" s="396"/>
      <c r="AH70" s="396"/>
    </row>
    <row r="71" spans="1:34" x14ac:dyDescent="0.25">
      <c r="A71" s="1031"/>
      <c r="B71" s="1856">
        <v>36360777</v>
      </c>
      <c r="C71" s="1835">
        <v>1712024</v>
      </c>
      <c r="D71" s="1031"/>
      <c r="E71" s="1031"/>
      <c r="F71" s="1031"/>
      <c r="G71" s="1586"/>
      <c r="H71" s="1031"/>
      <c r="I71" s="1277"/>
      <c r="J71" s="960"/>
      <c r="K71" s="960"/>
      <c r="L71" s="1836"/>
      <c r="M71" s="1836"/>
      <c r="N71" s="1836"/>
      <c r="O71" s="1836"/>
      <c r="P71" s="396"/>
      <c r="Q71" s="396"/>
      <c r="R71" s="396"/>
      <c r="S71" s="396"/>
      <c r="T71" s="396"/>
      <c r="U71" s="396"/>
      <c r="V71" s="396"/>
      <c r="W71" s="396"/>
      <c r="X71" s="396"/>
      <c r="Y71" s="396"/>
      <c r="Z71" s="396"/>
      <c r="AA71" s="396"/>
      <c r="AB71" s="396"/>
      <c r="AC71" s="396"/>
      <c r="AD71" s="396"/>
      <c r="AE71" s="396"/>
      <c r="AF71" s="396"/>
      <c r="AG71" s="396"/>
      <c r="AH71" s="396"/>
    </row>
    <row r="72" spans="1:34" x14ac:dyDescent="0.25">
      <c r="A72" s="1587"/>
      <c r="B72" s="1857">
        <v>40775049.303849995</v>
      </c>
      <c r="C72" s="1837">
        <v>1709917.0605600001</v>
      </c>
      <c r="D72" s="1587"/>
      <c r="E72" s="1587"/>
      <c r="F72" s="1587"/>
      <c r="G72" s="1587"/>
      <c r="H72" s="1587"/>
      <c r="I72" s="1082"/>
      <c r="J72" s="1082"/>
      <c r="K72" s="1082"/>
      <c r="L72" s="1836"/>
      <c r="M72" s="1836"/>
      <c r="N72" s="1836"/>
      <c r="O72" s="1836"/>
      <c r="P72" s="396"/>
      <c r="Q72" s="396"/>
      <c r="R72" s="396"/>
      <c r="S72" s="396"/>
      <c r="T72" s="396"/>
      <c r="U72" s="396"/>
      <c r="V72" s="396"/>
      <c r="W72" s="396"/>
      <c r="X72" s="396"/>
      <c r="Y72" s="396"/>
      <c r="Z72" s="396"/>
      <c r="AA72" s="396"/>
      <c r="AB72" s="396"/>
      <c r="AC72" s="396"/>
      <c r="AD72" s="396"/>
      <c r="AE72" s="396"/>
      <c r="AF72" s="396"/>
      <c r="AG72" s="396"/>
      <c r="AH72" s="396"/>
    </row>
    <row r="73" spans="1:34" ht="23.25" x14ac:dyDescent="0.25">
      <c r="A73" s="1590"/>
      <c r="B73" s="1858"/>
      <c r="C73" s="1587"/>
      <c r="D73" s="1587"/>
      <c r="E73" s="1587"/>
      <c r="F73" s="1587"/>
      <c r="G73" s="1587"/>
      <c r="H73" s="1587"/>
      <c r="I73" s="1081"/>
      <c r="J73" s="1082"/>
      <c r="K73" s="1082"/>
      <c r="L73" s="1836"/>
      <c r="M73" s="1836"/>
      <c r="N73" s="1836"/>
      <c r="O73" s="1836"/>
      <c r="P73" s="396"/>
      <c r="Q73" s="396"/>
      <c r="R73" s="396"/>
      <c r="S73" s="396"/>
      <c r="T73" s="396"/>
      <c r="U73" s="396"/>
      <c r="V73" s="396"/>
      <c r="W73" s="396"/>
      <c r="X73" s="396"/>
      <c r="Y73" s="396"/>
      <c r="Z73" s="396"/>
      <c r="AA73" s="396"/>
      <c r="AB73" s="396"/>
      <c r="AC73" s="396"/>
      <c r="AD73" s="396"/>
      <c r="AE73" s="396"/>
      <c r="AF73" s="396"/>
      <c r="AG73" s="396"/>
      <c r="AH73" s="396"/>
    </row>
    <row r="74" spans="1:34" ht="15.75" thickBot="1" x14ac:dyDescent="0.3">
      <c r="A74" s="1591"/>
      <c r="B74" s="1859" t="s">
        <v>712</v>
      </c>
      <c r="C74" s="1768" t="s">
        <v>713</v>
      </c>
      <c r="D74" s="1768"/>
      <c r="E74" s="1768"/>
      <c r="F74" s="1768"/>
      <c r="G74" s="1768"/>
      <c r="H74" s="1768"/>
      <c r="I74" s="1768"/>
      <c r="J74" s="1768"/>
      <c r="K74" s="1768"/>
      <c r="L74" s="1768"/>
      <c r="M74" s="1768"/>
      <c r="N74" s="1768"/>
      <c r="O74" s="1768"/>
      <c r="P74" s="396"/>
      <c r="Q74" s="396"/>
      <c r="R74" s="396"/>
      <c r="S74" s="396"/>
      <c r="T74" s="396"/>
      <c r="U74" s="396"/>
      <c r="V74" s="396"/>
      <c r="W74" s="396"/>
      <c r="X74" s="396"/>
      <c r="Y74" s="396"/>
      <c r="Z74" s="396"/>
      <c r="AA74" s="396"/>
      <c r="AB74" s="396"/>
      <c r="AC74" s="396"/>
      <c r="AD74" s="396"/>
      <c r="AE74" s="396"/>
      <c r="AF74" s="396"/>
      <c r="AG74" s="396"/>
      <c r="AH74" s="396"/>
    </row>
    <row r="75" spans="1:34" x14ac:dyDescent="0.25">
      <c r="A75" s="1697"/>
      <c r="B75" s="1860">
        <v>31334252</v>
      </c>
      <c r="C75" s="1838">
        <v>1557282</v>
      </c>
      <c r="D75" s="1838"/>
      <c r="E75" s="1771" t="s">
        <v>783</v>
      </c>
      <c r="F75" s="1771" t="s">
        <v>784</v>
      </c>
      <c r="G75" s="1771">
        <v>31334252</v>
      </c>
      <c r="H75" s="1771">
        <v>33926746</v>
      </c>
      <c r="I75" s="1770">
        <v>35177509</v>
      </c>
      <c r="J75" s="1770">
        <v>36561167</v>
      </c>
      <c r="K75" s="1771">
        <v>39264185</v>
      </c>
      <c r="L75" s="1771">
        <v>42104673</v>
      </c>
      <c r="M75" s="1771">
        <v>43513839</v>
      </c>
      <c r="N75" s="1771">
        <v>43360622</v>
      </c>
      <c r="O75" s="1771"/>
      <c r="P75" s="1501"/>
      <c r="Q75" s="1501"/>
      <c r="R75" s="1501"/>
      <c r="S75" s="1998"/>
      <c r="T75" s="2000"/>
      <c r="U75" s="2000"/>
      <c r="V75" s="1501"/>
      <c r="W75" s="1501"/>
      <c r="X75" s="1501"/>
      <c r="Y75" s="1501"/>
      <c r="Z75" s="1501"/>
      <c r="AA75" s="1501"/>
      <c r="AB75" s="1501"/>
      <c r="AC75" s="396"/>
      <c r="AD75" s="396"/>
      <c r="AE75" s="396"/>
      <c r="AF75" s="396"/>
      <c r="AG75" s="396"/>
      <c r="AH75" s="396"/>
    </row>
    <row r="76" spans="1:34" ht="15.75" thickBot="1" x14ac:dyDescent="0.3">
      <c r="A76" s="1698"/>
      <c r="B76" s="1860">
        <v>33926746</v>
      </c>
      <c r="C76" s="1839">
        <v>1459936</v>
      </c>
      <c r="D76" s="1839"/>
      <c r="E76" s="1770" t="s">
        <v>785</v>
      </c>
      <c r="F76" s="1770"/>
      <c r="G76" s="1770">
        <v>1557282</v>
      </c>
      <c r="H76" s="1770">
        <v>1459936</v>
      </c>
      <c r="I76" s="1770">
        <v>1185244</v>
      </c>
      <c r="J76" s="1770">
        <v>1207654</v>
      </c>
      <c r="K76" s="1770">
        <v>1895423</v>
      </c>
      <c r="L76" s="1771">
        <v>2302578</v>
      </c>
      <c r="M76" s="1771">
        <v>2127889</v>
      </c>
      <c r="N76" s="1771">
        <v>1872598</v>
      </c>
      <c r="O76" s="1771"/>
      <c r="P76" s="1501"/>
      <c r="Q76" s="1501"/>
      <c r="R76" s="1501"/>
      <c r="S76" s="1999"/>
      <c r="T76" s="1848"/>
      <c r="U76" s="1848"/>
      <c r="V76" s="1501"/>
      <c r="W76" s="1501"/>
      <c r="X76" s="1501"/>
      <c r="Y76" s="1501"/>
      <c r="Z76" s="1501"/>
      <c r="AA76" s="1501"/>
      <c r="AB76" s="1501"/>
      <c r="AC76" s="396"/>
      <c r="AD76" s="396"/>
      <c r="AE76" s="396"/>
      <c r="AF76" s="396"/>
      <c r="AG76" s="396"/>
      <c r="AH76" s="396"/>
    </row>
    <row r="77" spans="1:34" ht="30" customHeight="1" x14ac:dyDescent="0.25">
      <c r="A77" s="1699"/>
      <c r="B77" s="1860">
        <v>35177509</v>
      </c>
      <c r="C77" s="1839">
        <v>1185244</v>
      </c>
      <c r="D77" s="1839"/>
      <c r="E77" s="1770" t="s">
        <v>709</v>
      </c>
      <c r="F77" s="1770" t="s">
        <v>785</v>
      </c>
      <c r="G77" s="1770" t="s">
        <v>57</v>
      </c>
      <c r="H77" s="1770" t="s">
        <v>786</v>
      </c>
      <c r="I77" s="1770"/>
      <c r="J77" s="1770"/>
      <c r="K77" s="1771"/>
      <c r="L77" s="1771"/>
      <c r="M77" s="1771"/>
      <c r="N77" s="1771"/>
      <c r="O77" s="1771"/>
      <c r="P77" s="1501"/>
      <c r="Q77" s="1501"/>
      <c r="R77" s="1501"/>
      <c r="S77" s="1849"/>
      <c r="T77" s="1832"/>
      <c r="U77" s="1832"/>
      <c r="V77" s="1501"/>
      <c r="W77" s="1501"/>
      <c r="X77" s="1501"/>
      <c r="Y77" s="1501"/>
      <c r="Z77" s="1501"/>
      <c r="AA77" s="1501"/>
      <c r="AB77" s="1501"/>
      <c r="AC77" s="396"/>
      <c r="AD77" s="396"/>
      <c r="AE77" s="396"/>
      <c r="AF77" s="396"/>
      <c r="AG77" s="396"/>
      <c r="AH77" s="396"/>
    </row>
    <row r="78" spans="1:34" x14ac:dyDescent="0.25">
      <c r="A78" s="1700"/>
      <c r="B78" s="1860">
        <v>36561167</v>
      </c>
      <c r="C78" s="1839">
        <v>1207654</v>
      </c>
      <c r="D78" s="1842" t="s">
        <v>68</v>
      </c>
      <c r="E78" s="1770" t="s">
        <v>464</v>
      </c>
      <c r="F78" s="1770" t="s">
        <v>464</v>
      </c>
      <c r="G78" s="1770">
        <f>IF($B$9="Total",D46,C46)</f>
        <v>5077117.7869999995</v>
      </c>
      <c r="H78" s="1770">
        <f>IF($B$9="Total",G46,F46)</f>
        <v>2010021.848</v>
      </c>
      <c r="I78" s="1770"/>
      <c r="J78" s="1770"/>
      <c r="K78" s="1771"/>
      <c r="L78" s="1771"/>
      <c r="M78" s="1771"/>
      <c r="N78" s="1771"/>
      <c r="O78" s="1771"/>
      <c r="P78" s="1501"/>
      <c r="Q78" s="1501"/>
      <c r="R78" s="1501"/>
      <c r="S78" s="1849"/>
      <c r="T78" s="1832"/>
      <c r="U78" s="1832"/>
      <c r="V78" s="1501"/>
      <c r="W78" s="1501"/>
      <c r="X78" s="1501"/>
      <c r="Y78" s="1501"/>
      <c r="Z78" s="1501"/>
      <c r="AA78" s="1501"/>
      <c r="AB78" s="1501"/>
      <c r="AC78" s="396"/>
      <c r="AD78" s="396"/>
      <c r="AE78" s="396"/>
      <c r="AF78" s="396"/>
      <c r="AG78" s="396"/>
      <c r="AH78" s="396"/>
    </row>
    <row r="79" spans="1:34" ht="30" customHeight="1" x14ac:dyDescent="0.25">
      <c r="A79" s="1700"/>
      <c r="B79" s="1860">
        <v>39264185</v>
      </c>
      <c r="C79" s="1839">
        <v>1895423</v>
      </c>
      <c r="D79" s="1842" t="s">
        <v>69</v>
      </c>
      <c r="E79" s="1770" t="s">
        <v>464</v>
      </c>
      <c r="F79" s="1770" t="s">
        <v>464</v>
      </c>
      <c r="G79" s="1770">
        <f t="shared" ref="G79:G91" si="12">IF($B$9="Total",D47,C47)</f>
        <v>5620251.5159999998</v>
      </c>
      <c r="H79" s="1770">
        <f t="shared" ref="H79:H91" si="13">IF($B$9="Total",G47,F47)</f>
        <v>2089618.3663333301</v>
      </c>
      <c r="I79" s="1770"/>
      <c r="J79" s="1770"/>
      <c r="K79" s="1771"/>
      <c r="L79" s="1771"/>
      <c r="M79" s="1771"/>
      <c r="N79" s="1771"/>
      <c r="O79" s="1771"/>
      <c r="P79" s="1501"/>
      <c r="Q79" s="1501"/>
      <c r="R79" s="1501"/>
      <c r="S79" s="1849"/>
      <c r="T79" s="1832"/>
      <c r="U79" s="1832"/>
      <c r="V79" s="1501"/>
      <c r="W79" s="1501"/>
      <c r="X79" s="1501"/>
      <c r="Y79" s="1501"/>
      <c r="Z79" s="1501"/>
      <c r="AA79" s="1501"/>
      <c r="AB79" s="1501"/>
      <c r="AC79" s="396"/>
      <c r="AD79" s="396"/>
      <c r="AE79" s="396"/>
      <c r="AF79" s="396"/>
      <c r="AG79" s="396"/>
      <c r="AH79" s="396"/>
    </row>
    <row r="80" spans="1:34" ht="30" customHeight="1" x14ac:dyDescent="0.25">
      <c r="A80" s="1700"/>
      <c r="B80" s="1860">
        <v>42104673</v>
      </c>
      <c r="C80" s="1839">
        <v>2302578</v>
      </c>
      <c r="D80" s="1842" t="s">
        <v>70</v>
      </c>
      <c r="E80" s="1770" t="s">
        <v>464</v>
      </c>
      <c r="F80" s="1770" t="s">
        <v>464</v>
      </c>
      <c r="G80" s="1770">
        <f t="shared" si="12"/>
        <v>5303119.1030000001</v>
      </c>
      <c r="H80" s="1770">
        <f t="shared" si="13"/>
        <v>2197552.8220000002</v>
      </c>
      <c r="I80" s="1770"/>
      <c r="J80" s="1770"/>
      <c r="K80" s="1771"/>
      <c r="L80" s="1771"/>
      <c r="M80" s="1771"/>
      <c r="N80" s="1771"/>
      <c r="O80" s="1771"/>
      <c r="P80" s="1501"/>
      <c r="Q80" s="1501"/>
      <c r="R80" s="1501"/>
      <c r="S80" s="1849"/>
      <c r="T80" s="1832"/>
      <c r="U80" s="1832"/>
      <c r="V80" s="1501"/>
      <c r="W80" s="1501"/>
      <c r="X80" s="1501"/>
      <c r="Y80" s="1501"/>
      <c r="Z80" s="1501"/>
      <c r="AA80" s="1501"/>
      <c r="AB80" s="1501"/>
      <c r="AC80" s="396"/>
      <c r="AD80" s="396"/>
      <c r="AE80" s="396"/>
      <c r="AF80" s="396"/>
      <c r="AG80" s="396"/>
      <c r="AH80" s="396"/>
    </row>
    <row r="81" spans="1:38" ht="30" customHeight="1" x14ac:dyDescent="0.25">
      <c r="A81" s="1700"/>
      <c r="B81" s="1860">
        <v>43513839</v>
      </c>
      <c r="C81" s="1839">
        <v>2127889</v>
      </c>
      <c r="D81" s="1842" t="s">
        <v>494</v>
      </c>
      <c r="E81" s="1770" t="s">
        <v>464</v>
      </c>
      <c r="F81" s="1770" t="s">
        <v>464</v>
      </c>
      <c r="G81" s="1770">
        <f t="shared" si="12"/>
        <v>5666475.1449999996</v>
      </c>
      <c r="H81" s="1770">
        <f t="shared" si="13"/>
        <v>2231590.15366667</v>
      </c>
      <c r="I81" s="1770"/>
      <c r="J81" s="1770"/>
      <c r="K81" s="1771"/>
      <c r="L81" s="1771"/>
      <c r="M81" s="1771"/>
      <c r="N81" s="1771"/>
      <c r="O81" s="1771"/>
      <c r="P81" s="1501"/>
      <c r="Q81" s="1501"/>
      <c r="R81" s="1501"/>
      <c r="S81" s="1849"/>
      <c r="T81" s="1832"/>
      <c r="U81" s="1832"/>
      <c r="V81" s="1501"/>
      <c r="W81" s="1501"/>
      <c r="X81" s="1501"/>
      <c r="Y81" s="1501"/>
      <c r="Z81" s="1501"/>
      <c r="AA81" s="1501"/>
      <c r="AB81" s="1501"/>
      <c r="AC81" s="396"/>
      <c r="AD81" s="396"/>
      <c r="AE81" s="396"/>
      <c r="AF81" s="396"/>
      <c r="AG81" s="396"/>
      <c r="AH81" s="396"/>
    </row>
    <row r="82" spans="1:38" ht="30" customHeight="1" thickBot="1" x14ac:dyDescent="0.3">
      <c r="A82" s="1700"/>
      <c r="B82" s="1860">
        <v>43360622</v>
      </c>
      <c r="C82" s="1839">
        <v>1872598</v>
      </c>
      <c r="D82" s="1842" t="s">
        <v>493</v>
      </c>
      <c r="E82" s="1770" t="s">
        <v>464</v>
      </c>
      <c r="F82" s="1770" t="s">
        <v>464</v>
      </c>
      <c r="G82" s="1770">
        <f t="shared" si="12"/>
        <v>6153081.7249999996</v>
      </c>
      <c r="H82" s="1770">
        <f t="shared" si="13"/>
        <v>2327972.3616666701</v>
      </c>
      <c r="I82" s="1770"/>
      <c r="J82" s="1770"/>
      <c r="K82" s="1771"/>
      <c r="L82" s="1771"/>
      <c r="M82" s="1771"/>
      <c r="N82" s="1771"/>
      <c r="O82" s="1771"/>
      <c r="P82" s="1501"/>
      <c r="Q82" s="1501"/>
      <c r="R82" s="1501"/>
      <c r="S82" s="1850"/>
      <c r="T82" s="1851"/>
      <c r="U82" s="1851"/>
      <c r="V82" s="1501"/>
      <c r="W82" s="1501"/>
      <c r="X82" s="1501"/>
      <c r="Y82" s="1501"/>
      <c r="Z82" s="1501"/>
      <c r="AA82" s="1501"/>
      <c r="AB82" s="1501"/>
      <c r="AC82" s="396"/>
      <c r="AD82" s="396"/>
      <c r="AE82" s="396"/>
      <c r="AF82" s="396"/>
      <c r="AG82" s="396"/>
      <c r="AH82" s="396"/>
    </row>
    <row r="83" spans="1:38" ht="30" customHeight="1" x14ac:dyDescent="0.25">
      <c r="A83" s="1282"/>
      <c r="B83" s="1861"/>
      <c r="C83" s="1770"/>
      <c r="D83" s="1842" t="s">
        <v>492</v>
      </c>
      <c r="E83" s="1770" t="s">
        <v>464</v>
      </c>
      <c r="F83" s="1770" t="s">
        <v>464</v>
      </c>
      <c r="G83" s="1770">
        <f t="shared" si="12"/>
        <v>6605831.9550000001</v>
      </c>
      <c r="H83" s="1770">
        <f t="shared" si="13"/>
        <v>2504506.085</v>
      </c>
      <c r="I83" s="1770"/>
      <c r="J83" s="1770"/>
      <c r="K83" s="1771"/>
      <c r="L83" s="1771"/>
      <c r="M83" s="1771"/>
      <c r="N83" s="1771"/>
      <c r="O83" s="1771"/>
      <c r="P83" s="1501"/>
      <c r="Q83" s="1501"/>
      <c r="R83" s="1501"/>
      <c r="S83" s="1501"/>
      <c r="T83" s="1501"/>
      <c r="U83" s="1501"/>
      <c r="V83" s="1501"/>
      <c r="W83" s="1501"/>
      <c r="X83" s="1501"/>
      <c r="Y83" s="1501"/>
      <c r="Z83" s="1501"/>
      <c r="AA83" s="1501"/>
      <c r="AB83" s="1501"/>
      <c r="AC83" s="396"/>
      <c r="AD83" s="396"/>
      <c r="AE83" s="396"/>
      <c r="AF83" s="396"/>
      <c r="AG83" s="396"/>
      <c r="AH83" s="396"/>
    </row>
    <row r="84" spans="1:38" ht="30" customHeight="1" x14ac:dyDescent="0.25">
      <c r="A84" s="1282"/>
      <c r="B84" s="1861"/>
      <c r="C84" s="1770"/>
      <c r="D84" s="1842" t="s">
        <v>192</v>
      </c>
      <c r="E84" s="1770">
        <f>IF($B$9="Total",B75,B65)</f>
        <v>25618723.30074</v>
      </c>
      <c r="F84" s="1770">
        <f t="shared" ref="F84:F91" si="14">IF($B$9="Total",C75,C65)</f>
        <v>1073683.10451</v>
      </c>
      <c r="G84" s="1770">
        <f t="shared" si="12"/>
        <v>6991023</v>
      </c>
      <c r="H84" s="1770">
        <f t="shared" si="13"/>
        <v>4421465.1339764148</v>
      </c>
      <c r="I84" s="1770"/>
      <c r="J84" s="1770"/>
      <c r="K84" s="1771"/>
      <c r="L84" s="1771"/>
      <c r="M84" s="1771"/>
      <c r="N84" s="1771"/>
      <c r="O84" s="1771"/>
      <c r="P84" s="1501"/>
      <c r="Q84" s="1501"/>
      <c r="R84" s="1501"/>
      <c r="S84" s="1501"/>
      <c r="T84" s="1501"/>
      <c r="U84" s="1501"/>
      <c r="V84" s="1501"/>
      <c r="W84" s="1501"/>
      <c r="X84" s="1501"/>
      <c r="Y84" s="1501"/>
      <c r="Z84" s="1501"/>
      <c r="AA84" s="1501"/>
      <c r="AB84" s="1501"/>
      <c r="AC84" s="396"/>
      <c r="AD84" s="396"/>
      <c r="AE84" s="396"/>
      <c r="AF84" s="396"/>
      <c r="AG84" s="396"/>
      <c r="AH84" s="396"/>
      <c r="AI84" s="376"/>
      <c r="AJ84" s="376"/>
      <c r="AK84" s="376"/>
      <c r="AL84" s="376"/>
    </row>
    <row r="85" spans="1:38" x14ac:dyDescent="0.25">
      <c r="A85" s="375"/>
      <c r="B85" s="1862"/>
      <c r="C85" s="1501"/>
      <c r="D85" s="1842" t="s">
        <v>193</v>
      </c>
      <c r="E85" s="1770">
        <f t="shared" ref="E85:E91" si="15">IF($B$9="Total",B76,B66)</f>
        <v>27532377.5</v>
      </c>
      <c r="F85" s="1770">
        <f t="shared" si="14"/>
        <v>948813.5</v>
      </c>
      <c r="G85" s="1770">
        <f t="shared" si="12"/>
        <v>8214109</v>
      </c>
      <c r="H85" s="1770">
        <f t="shared" si="13"/>
        <v>5047095.5</v>
      </c>
      <c r="I85" s="1501"/>
      <c r="J85" s="1501"/>
      <c r="K85" s="1501"/>
      <c r="L85" s="1401"/>
      <c r="M85" s="1501"/>
      <c r="N85" s="1501"/>
      <c r="O85" s="1501"/>
      <c r="P85" s="1501"/>
      <c r="Q85" s="1501"/>
      <c r="R85" s="1501"/>
      <c r="S85" s="1501"/>
      <c r="T85" s="1501"/>
      <c r="U85" s="1501"/>
      <c r="V85" s="1501"/>
      <c r="W85" s="1501"/>
      <c r="X85" s="1501"/>
      <c r="Y85" s="1501"/>
      <c r="Z85" s="1501"/>
      <c r="AA85" s="1501"/>
      <c r="AB85" s="1501"/>
      <c r="AC85" s="396"/>
      <c r="AD85" s="396"/>
      <c r="AE85" s="396"/>
      <c r="AF85" s="396"/>
      <c r="AG85" s="396"/>
      <c r="AH85" s="396"/>
      <c r="AI85" s="376"/>
      <c r="AJ85" s="376"/>
      <c r="AK85" s="376"/>
      <c r="AL85" s="376"/>
    </row>
    <row r="86" spans="1:38" x14ac:dyDescent="0.25">
      <c r="A86" s="378"/>
      <c r="B86" s="1863"/>
      <c r="C86" s="1501"/>
      <c r="D86" s="1842" t="s">
        <v>194</v>
      </c>
      <c r="E86" s="1770">
        <f t="shared" si="15"/>
        <v>28597580</v>
      </c>
      <c r="F86" s="1770">
        <f t="shared" si="14"/>
        <v>719431</v>
      </c>
      <c r="G86" s="1770">
        <f t="shared" si="12"/>
        <v>8969197</v>
      </c>
      <c r="H86" s="1770">
        <f t="shared" si="13"/>
        <v>5692813.6799999997</v>
      </c>
      <c r="I86" s="1501"/>
      <c r="J86" s="1501"/>
      <c r="K86" s="1840"/>
      <c r="L86" s="1397"/>
      <c r="M86" s="1501"/>
      <c r="N86" s="1501"/>
      <c r="O86" s="1501"/>
      <c r="P86" s="1501"/>
      <c r="Q86" s="1501"/>
      <c r="R86" s="1501"/>
      <c r="S86" s="1501"/>
      <c r="T86" s="1501"/>
      <c r="U86" s="1501"/>
      <c r="V86" s="1501"/>
      <c r="W86" s="1501"/>
      <c r="X86" s="1501"/>
      <c r="Y86" s="1501"/>
      <c r="Z86" s="1501"/>
      <c r="AA86" s="1501"/>
      <c r="AB86" s="1501"/>
      <c r="AC86" s="396"/>
      <c r="AD86" s="396"/>
      <c r="AE86" s="396"/>
      <c r="AF86" s="396"/>
      <c r="AG86" s="396"/>
      <c r="AH86" s="396"/>
      <c r="AI86" s="376"/>
      <c r="AJ86" s="376"/>
      <c r="AK86" s="376"/>
      <c r="AL86" s="376"/>
    </row>
    <row r="87" spans="1:38" x14ac:dyDescent="0.25">
      <c r="A87" s="547"/>
      <c r="B87" s="1864"/>
      <c r="C87" s="1399"/>
      <c r="D87" s="1842" t="s">
        <v>195</v>
      </c>
      <c r="E87" s="1770">
        <f t="shared" si="15"/>
        <v>29889105.70163</v>
      </c>
      <c r="F87" s="1770">
        <f t="shared" si="14"/>
        <v>909031.29836999997</v>
      </c>
      <c r="G87" s="1770">
        <f t="shared" si="12"/>
        <v>10132245</v>
      </c>
      <c r="H87" s="1770">
        <f t="shared" si="13"/>
        <v>6597634.0729</v>
      </c>
      <c r="I87" s="1399"/>
      <c r="J87" s="1399"/>
      <c r="K87" s="1580"/>
      <c r="L87" s="1399"/>
      <c r="M87" s="547"/>
      <c r="N87" s="547"/>
      <c r="O87" s="547"/>
      <c r="P87" s="547"/>
      <c r="Q87" s="547"/>
      <c r="R87" s="547"/>
      <c r="S87" s="547"/>
      <c r="T87" s="547"/>
      <c r="U87" s="547"/>
      <c r="V87" s="547"/>
      <c r="W87" s="547"/>
      <c r="X87" s="547"/>
      <c r="Y87" s="547"/>
      <c r="Z87" s="396"/>
      <c r="AA87" s="396"/>
      <c r="AB87" s="396"/>
      <c r="AC87" s="396"/>
      <c r="AD87" s="396"/>
      <c r="AE87" s="396"/>
      <c r="AF87" s="396"/>
      <c r="AG87" s="396"/>
      <c r="AH87" s="396"/>
      <c r="AI87" s="376"/>
      <c r="AJ87" s="376"/>
      <c r="AK87" s="376"/>
      <c r="AL87" s="376"/>
    </row>
    <row r="88" spans="1:38" ht="23.25" customHeight="1" x14ac:dyDescent="0.25">
      <c r="A88" s="547"/>
      <c r="B88" s="1865"/>
      <c r="C88" s="1410"/>
      <c r="D88" s="1842" t="s">
        <v>196</v>
      </c>
      <c r="E88" s="1770">
        <f t="shared" si="15"/>
        <v>31923704.696791034</v>
      </c>
      <c r="F88" s="1770">
        <f t="shared" si="14"/>
        <v>1393760.7426</v>
      </c>
      <c r="G88" s="1770">
        <f t="shared" si="12"/>
        <v>11126240</v>
      </c>
      <c r="H88" s="1770">
        <f t="shared" si="13"/>
        <v>6302210.0633199997</v>
      </c>
      <c r="I88" s="1934"/>
      <c r="J88" s="1934"/>
      <c r="K88" s="1580"/>
      <c r="L88" s="1579"/>
      <c r="M88" s="547"/>
      <c r="N88" s="547"/>
      <c r="O88" s="547"/>
      <c r="P88" s="547"/>
      <c r="Q88" s="547"/>
      <c r="R88" s="547"/>
      <c r="S88" s="547"/>
      <c r="T88" s="547"/>
      <c r="U88" s="547"/>
      <c r="V88" s="547"/>
      <c r="W88" s="547"/>
      <c r="X88" s="547"/>
      <c r="Y88" s="547"/>
      <c r="Z88" s="396"/>
      <c r="AA88" s="396"/>
      <c r="AB88" s="396"/>
      <c r="AC88" s="396"/>
      <c r="AD88" s="396"/>
      <c r="AE88" s="396"/>
      <c r="AF88" s="396"/>
      <c r="AG88" s="396"/>
      <c r="AH88" s="396"/>
      <c r="AI88" s="376"/>
      <c r="AJ88" s="376"/>
      <c r="AK88" s="376"/>
      <c r="AL88" s="376"/>
    </row>
    <row r="89" spans="1:38" x14ac:dyDescent="0.25">
      <c r="A89" s="547"/>
      <c r="B89" s="1866"/>
      <c r="C89" s="1402"/>
      <c r="D89" s="1842" t="s">
        <v>6</v>
      </c>
      <c r="E89" s="1770">
        <f t="shared" si="15"/>
        <v>34145273.229639992</v>
      </c>
      <c r="F89" s="1770">
        <f t="shared" si="14"/>
        <v>1592444.8954399999</v>
      </c>
      <c r="G89" s="1770">
        <f t="shared" si="12"/>
        <v>11841634</v>
      </c>
      <c r="H89" s="1770">
        <f t="shared" si="13"/>
        <v>6516513.7579399999</v>
      </c>
      <c r="I89" s="1402"/>
      <c r="J89" s="1402"/>
      <c r="K89" s="1402"/>
      <c r="L89" s="1402"/>
      <c r="M89" s="547"/>
      <c r="N89" s="547"/>
      <c r="O89" s="547"/>
      <c r="P89" s="547"/>
      <c r="Q89" s="547"/>
      <c r="R89" s="547"/>
      <c r="S89" s="547"/>
      <c r="T89" s="547"/>
      <c r="U89" s="547"/>
      <c r="V89" s="547"/>
      <c r="W89" s="547"/>
      <c r="X89" s="547"/>
      <c r="Y89" s="547"/>
      <c r="Z89" s="396"/>
      <c r="AA89" s="396"/>
      <c r="AB89" s="396"/>
      <c r="AC89" s="396"/>
      <c r="AD89" s="396"/>
      <c r="AE89" s="396"/>
      <c r="AF89" s="396"/>
      <c r="AG89" s="396"/>
      <c r="AH89" s="396"/>
      <c r="AI89" s="376"/>
      <c r="AJ89" s="376"/>
      <c r="AK89" s="376"/>
      <c r="AL89" s="376"/>
    </row>
    <row r="90" spans="1:38" x14ac:dyDescent="0.25">
      <c r="A90" s="547"/>
      <c r="B90" s="1867"/>
      <c r="C90" s="1397"/>
      <c r="D90" s="1842" t="s">
        <v>7</v>
      </c>
      <c r="E90" s="1770">
        <f t="shared" si="15"/>
        <v>36360777</v>
      </c>
      <c r="F90" s="1770">
        <f t="shared" si="14"/>
        <v>1712024</v>
      </c>
      <c r="G90" s="1770">
        <f t="shared" si="12"/>
        <v>12961219</v>
      </c>
      <c r="H90" s="1770">
        <f t="shared" si="13"/>
        <v>6839898</v>
      </c>
      <c r="I90" s="1397"/>
      <c r="J90" s="1397"/>
      <c r="K90" s="1397"/>
      <c r="L90" s="1404"/>
      <c r="M90" s="547"/>
      <c r="N90" s="547"/>
      <c r="O90" s="547"/>
      <c r="P90" s="547"/>
      <c r="Q90" s="547"/>
      <c r="R90" s="547"/>
      <c r="S90" s="547"/>
      <c r="T90" s="547"/>
      <c r="U90" s="547"/>
      <c r="V90" s="547"/>
      <c r="W90" s="547"/>
      <c r="X90" s="547"/>
      <c r="Y90" s="547"/>
      <c r="Z90" s="396"/>
      <c r="AA90" s="396"/>
      <c r="AB90" s="396"/>
      <c r="AC90" s="396"/>
      <c r="AD90" s="396"/>
      <c r="AE90" s="396"/>
      <c r="AF90" s="396"/>
      <c r="AG90" s="396"/>
      <c r="AH90" s="396"/>
      <c r="AI90" s="376"/>
      <c r="AJ90" s="376"/>
      <c r="AK90" s="376"/>
      <c r="AL90" s="376"/>
    </row>
    <row r="91" spans="1:38" x14ac:dyDescent="0.25">
      <c r="A91" s="547"/>
      <c r="B91" s="1864"/>
      <c r="C91" s="1404"/>
      <c r="D91" s="1842" t="s">
        <v>489</v>
      </c>
      <c r="E91" s="1770">
        <f t="shared" si="15"/>
        <v>40775049.303849995</v>
      </c>
      <c r="F91" s="1770">
        <f t="shared" si="14"/>
        <v>1709917.0605600001</v>
      </c>
      <c r="G91" s="1770">
        <f t="shared" si="12"/>
        <v>14941588</v>
      </c>
      <c r="H91" s="1770">
        <f t="shared" si="13"/>
        <v>7363126.411328</v>
      </c>
      <c r="I91" s="1404"/>
      <c r="J91" s="1404"/>
      <c r="K91" s="1404"/>
      <c r="L91" s="1402"/>
      <c r="M91" s="547"/>
      <c r="N91" s="547"/>
      <c r="O91" s="547"/>
      <c r="P91" s="547"/>
      <c r="Q91" s="547"/>
      <c r="R91" s="547"/>
      <c r="S91" s="547"/>
      <c r="T91" s="547"/>
      <c r="U91" s="547"/>
      <c r="V91" s="547"/>
      <c r="W91" s="547"/>
      <c r="X91" s="547"/>
      <c r="Y91" s="547"/>
      <c r="Z91" s="396"/>
      <c r="AA91" s="396"/>
      <c r="AB91" s="396"/>
      <c r="AC91" s="396"/>
      <c r="AD91" s="396"/>
      <c r="AE91" s="396"/>
      <c r="AF91" s="396"/>
      <c r="AG91" s="396"/>
      <c r="AH91" s="396"/>
      <c r="AI91" s="376"/>
      <c r="AJ91" s="376"/>
      <c r="AK91" s="376"/>
      <c r="AL91" s="376"/>
    </row>
    <row r="92" spans="1:38" x14ac:dyDescent="0.25">
      <c r="A92" s="547"/>
      <c r="B92" s="1864"/>
      <c r="C92" s="1404"/>
      <c r="D92" s="1404"/>
      <c r="E92" s="1770"/>
      <c r="F92" s="1770"/>
      <c r="G92" s="1770"/>
      <c r="H92" s="1404"/>
      <c r="I92" s="1404"/>
      <c r="J92" s="1404"/>
      <c r="K92" s="1404"/>
      <c r="L92" s="1404"/>
      <c r="M92" s="547"/>
      <c r="N92" s="547"/>
      <c r="O92" s="547"/>
      <c r="P92" s="547"/>
      <c r="Q92" s="547"/>
      <c r="R92" s="547"/>
      <c r="S92" s="547"/>
      <c r="T92" s="547"/>
      <c r="U92" s="547"/>
      <c r="V92" s="547"/>
      <c r="W92" s="547"/>
      <c r="X92" s="547"/>
      <c r="Y92" s="547"/>
      <c r="Z92" s="396"/>
      <c r="AA92" s="396"/>
      <c r="AB92" s="396"/>
      <c r="AC92" s="396"/>
      <c r="AD92" s="396"/>
      <c r="AE92" s="396"/>
      <c r="AF92" s="396"/>
      <c r="AG92" s="396"/>
      <c r="AH92" s="396"/>
      <c r="AI92" s="376"/>
      <c r="AJ92" s="376"/>
      <c r="AK92" s="376"/>
      <c r="AL92" s="376"/>
    </row>
    <row r="93" spans="1:38" x14ac:dyDescent="0.25">
      <c r="A93" s="547"/>
      <c r="B93" s="1864"/>
      <c r="C93" s="1405"/>
      <c r="D93" s="1405"/>
      <c r="E93" s="1770"/>
      <c r="F93" s="1770"/>
      <c r="G93" s="1770"/>
      <c r="H93" s="1405"/>
      <c r="I93" s="1404"/>
      <c r="J93" s="1405"/>
      <c r="K93" s="1404"/>
      <c r="L93" s="1404"/>
      <c r="M93" s="547"/>
      <c r="N93" s="547"/>
      <c r="O93" s="547"/>
      <c r="P93" s="547"/>
      <c r="Q93" s="547"/>
      <c r="R93" s="547"/>
      <c r="S93" s="547"/>
      <c r="T93" s="547"/>
      <c r="U93" s="547"/>
      <c r="V93" s="547"/>
      <c r="W93" s="547"/>
      <c r="X93" s="547"/>
      <c r="Y93" s="547"/>
      <c r="Z93" s="396"/>
      <c r="AA93" s="396"/>
      <c r="AB93" s="396"/>
      <c r="AC93" s="396"/>
      <c r="AD93" s="396"/>
      <c r="AE93" s="396"/>
      <c r="AF93" s="396"/>
      <c r="AG93" s="396"/>
      <c r="AH93" s="396"/>
      <c r="AI93" s="376"/>
      <c r="AJ93" s="376"/>
      <c r="AK93" s="376"/>
      <c r="AL93" s="376"/>
    </row>
    <row r="94" spans="1:38" x14ac:dyDescent="0.25">
      <c r="A94" s="547"/>
      <c r="B94" s="1864"/>
      <c r="C94" s="1404"/>
      <c r="D94" s="1405"/>
      <c r="E94" s="1770"/>
      <c r="F94" s="1770"/>
      <c r="G94" s="1770"/>
      <c r="H94" s="1405"/>
      <c r="I94" s="1404"/>
      <c r="J94" s="1405"/>
      <c r="K94" s="1404"/>
      <c r="L94" s="1399"/>
      <c r="M94" s="547"/>
      <c r="N94" s="547"/>
      <c r="O94" s="547"/>
      <c r="P94" s="547"/>
      <c r="Q94" s="547"/>
      <c r="R94" s="547"/>
      <c r="S94" s="547"/>
      <c r="T94" s="547"/>
      <c r="U94" s="547"/>
      <c r="V94" s="547"/>
      <c r="W94" s="547"/>
      <c r="X94" s="547"/>
      <c r="Y94" s="547"/>
      <c r="Z94" s="396"/>
      <c r="AA94" s="396"/>
      <c r="AB94" s="396"/>
      <c r="AC94" s="396"/>
      <c r="AD94" s="396"/>
      <c r="AE94" s="396"/>
      <c r="AF94" s="396"/>
      <c r="AG94" s="396"/>
      <c r="AH94" s="396"/>
      <c r="AI94" s="376"/>
      <c r="AJ94" s="376"/>
      <c r="AK94" s="376"/>
      <c r="AL94" s="376"/>
    </row>
    <row r="95" spans="1:38" ht="23.25" customHeight="1" x14ac:dyDescent="0.25">
      <c r="A95" s="547"/>
      <c r="B95" s="1864"/>
      <c r="C95" s="1404"/>
      <c r="D95" s="1405"/>
      <c r="E95" s="1770"/>
      <c r="F95" s="1770"/>
      <c r="G95" s="1770"/>
      <c r="H95" s="1405"/>
      <c r="I95" s="1404"/>
      <c r="J95" s="1405"/>
      <c r="K95" s="1404"/>
      <c r="L95" s="1405"/>
      <c r="M95" s="547"/>
      <c r="N95" s="547"/>
      <c r="O95" s="547"/>
      <c r="P95" s="547"/>
      <c r="Q95" s="547"/>
      <c r="R95" s="547"/>
      <c r="S95" s="547"/>
      <c r="T95" s="547"/>
      <c r="U95" s="547"/>
      <c r="V95" s="547"/>
      <c r="W95" s="547"/>
      <c r="X95" s="547"/>
      <c r="Y95" s="547"/>
      <c r="Z95" s="396"/>
      <c r="AA95" s="396"/>
      <c r="AB95" s="396"/>
      <c r="AC95" s="396"/>
      <c r="AD95" s="396"/>
      <c r="AE95" s="396"/>
      <c r="AF95" s="396"/>
      <c r="AG95" s="396"/>
      <c r="AH95" s="396"/>
      <c r="AI95" s="376"/>
      <c r="AJ95" s="376"/>
      <c r="AK95" s="376"/>
      <c r="AL95" s="376"/>
    </row>
    <row r="96" spans="1:38" x14ac:dyDescent="0.25">
      <c r="A96" s="547"/>
      <c r="B96" s="1864"/>
      <c r="C96" s="1404"/>
      <c r="D96" s="1405"/>
      <c r="E96" s="1404"/>
      <c r="F96" s="1405"/>
      <c r="G96" s="1404"/>
      <c r="H96" s="1405"/>
      <c r="I96" s="1406"/>
      <c r="J96" s="1405"/>
      <c r="K96" s="1406"/>
      <c r="L96" s="1405"/>
      <c r="M96" s="547"/>
      <c r="N96" s="547"/>
      <c r="O96" s="547"/>
      <c r="P96" s="547"/>
      <c r="Q96" s="547"/>
      <c r="R96" s="547"/>
      <c r="S96" s="547"/>
      <c r="T96" s="547"/>
      <c r="U96" s="547"/>
      <c r="V96" s="547"/>
      <c r="W96" s="547"/>
      <c r="X96" s="547"/>
      <c r="Y96" s="547"/>
      <c r="Z96" s="396"/>
      <c r="AA96" s="396"/>
      <c r="AB96" s="396"/>
      <c r="AC96" s="396"/>
      <c r="AD96" s="396"/>
      <c r="AE96" s="396"/>
      <c r="AF96" s="396"/>
      <c r="AG96" s="396"/>
      <c r="AH96" s="396"/>
      <c r="AI96" s="376"/>
      <c r="AJ96" s="376"/>
      <c r="AK96" s="376"/>
      <c r="AL96" s="376"/>
    </row>
    <row r="97" spans="1:38" x14ac:dyDescent="0.25">
      <c r="A97" s="547"/>
      <c r="B97" s="1398"/>
      <c r="C97" s="1401"/>
      <c r="D97" s="1401"/>
      <c r="E97" s="1401"/>
      <c r="F97" s="1401"/>
      <c r="G97" s="1401"/>
      <c r="H97" s="1401"/>
      <c r="I97" s="1401"/>
      <c r="J97" s="1401"/>
      <c r="K97" s="1401"/>
      <c r="L97" s="1404"/>
      <c r="M97" s="547"/>
      <c r="N97" s="547"/>
      <c r="O97" s="547"/>
      <c r="P97" s="547"/>
      <c r="Q97" s="547"/>
      <c r="R97" s="547"/>
      <c r="S97" s="547"/>
      <c r="T97" s="547"/>
      <c r="U97" s="547"/>
      <c r="V97" s="547"/>
      <c r="W97" s="547"/>
      <c r="X97" s="547"/>
      <c r="Y97" s="547"/>
      <c r="Z97" s="396"/>
      <c r="AA97" s="396"/>
      <c r="AB97" s="396"/>
      <c r="AC97" s="396"/>
      <c r="AD97" s="396"/>
      <c r="AE97" s="396"/>
      <c r="AF97" s="396"/>
      <c r="AG97" s="396"/>
      <c r="AH97" s="396"/>
      <c r="AI97" s="376"/>
      <c r="AJ97" s="376"/>
      <c r="AK97" s="376"/>
      <c r="AL97" s="376"/>
    </row>
    <row r="98" spans="1:38" x14ac:dyDescent="0.25">
      <c r="A98" s="547"/>
      <c r="B98" s="1398"/>
      <c r="C98" s="1397"/>
      <c r="D98" s="1397"/>
      <c r="E98" s="1397"/>
      <c r="F98" s="1397"/>
      <c r="G98" s="1404"/>
      <c r="H98" s="1397"/>
      <c r="I98" s="1404"/>
      <c r="J98" s="1397"/>
      <c r="K98" s="1404"/>
      <c r="L98" s="1405"/>
      <c r="M98" s="547"/>
      <c r="N98" s="547"/>
      <c r="O98" s="547"/>
      <c r="P98" s="547"/>
      <c r="Q98" s="547"/>
      <c r="R98" s="547"/>
      <c r="S98" s="547"/>
      <c r="T98" s="547"/>
      <c r="U98" s="547"/>
      <c r="V98" s="547"/>
      <c r="W98" s="547"/>
      <c r="X98" s="547"/>
      <c r="Y98" s="547"/>
      <c r="Z98" s="396"/>
      <c r="AA98" s="396"/>
      <c r="AB98" s="396"/>
      <c r="AC98" s="396"/>
      <c r="AD98" s="396"/>
      <c r="AE98" s="396"/>
      <c r="AF98" s="396"/>
      <c r="AG98" s="396"/>
      <c r="AH98" s="396"/>
      <c r="AI98" s="376"/>
      <c r="AJ98" s="376"/>
      <c r="AK98" s="376"/>
      <c r="AL98" s="376"/>
    </row>
    <row r="99" spans="1:38" x14ac:dyDescent="0.25">
      <c r="A99" s="547"/>
      <c r="B99" s="1398"/>
      <c r="C99" s="1397"/>
      <c r="D99" s="1397"/>
      <c r="E99" s="1397"/>
      <c r="F99" s="1397"/>
      <c r="G99" s="1404"/>
      <c r="H99" s="1397"/>
      <c r="I99" s="1404"/>
      <c r="J99" s="1397"/>
      <c r="K99" s="1404"/>
      <c r="L99" s="1401"/>
      <c r="M99" s="547"/>
      <c r="N99" s="547"/>
      <c r="O99" s="547"/>
      <c r="P99" s="547"/>
      <c r="Q99" s="547"/>
      <c r="R99" s="547"/>
      <c r="S99" s="547"/>
      <c r="T99" s="547"/>
      <c r="U99" s="547"/>
      <c r="V99" s="547"/>
      <c r="W99" s="547"/>
      <c r="X99" s="547"/>
      <c r="Y99" s="547"/>
      <c r="Z99" s="396"/>
      <c r="AA99" s="396"/>
      <c r="AB99" s="396"/>
      <c r="AC99" s="396"/>
      <c r="AD99" s="396"/>
      <c r="AE99" s="396"/>
      <c r="AF99" s="396"/>
      <c r="AG99" s="396"/>
      <c r="AH99" s="396"/>
      <c r="AI99" s="376"/>
      <c r="AJ99" s="376"/>
      <c r="AK99" s="376"/>
      <c r="AL99" s="376"/>
    </row>
    <row r="100" spans="1:38" x14ac:dyDescent="0.25">
      <c r="A100" s="547"/>
      <c r="B100" s="1398"/>
      <c r="C100" s="1397"/>
      <c r="D100" s="1397"/>
      <c r="E100" s="1397"/>
      <c r="F100" s="1397"/>
      <c r="G100" s="1404"/>
      <c r="H100" s="1397"/>
      <c r="I100" s="1404"/>
      <c r="J100" s="1397"/>
      <c r="K100" s="1399"/>
      <c r="L100" s="1404"/>
      <c r="M100" s="547"/>
      <c r="N100" s="547"/>
      <c r="O100" s="547"/>
      <c r="P100" s="547"/>
      <c r="Q100" s="547"/>
      <c r="R100" s="547"/>
      <c r="S100" s="547"/>
      <c r="T100" s="547"/>
      <c r="U100" s="547"/>
      <c r="V100" s="547"/>
      <c r="W100" s="547"/>
      <c r="X100" s="547"/>
      <c r="Y100" s="547"/>
      <c r="Z100" s="396"/>
      <c r="AA100" s="396"/>
      <c r="AB100" s="396"/>
      <c r="AC100" s="396"/>
      <c r="AD100" s="396"/>
      <c r="AE100" s="396"/>
      <c r="AF100" s="396"/>
      <c r="AG100" s="396"/>
      <c r="AH100" s="396"/>
      <c r="AI100" s="376"/>
      <c r="AJ100" s="376"/>
      <c r="AK100" s="376"/>
      <c r="AL100" s="376"/>
    </row>
    <row r="101" spans="1:38" x14ac:dyDescent="0.25">
      <c r="A101" s="547"/>
      <c r="B101" s="1398"/>
      <c r="C101" s="1399"/>
      <c r="D101" s="1399"/>
      <c r="E101" s="1399"/>
      <c r="F101" s="1399"/>
      <c r="G101" s="1399"/>
      <c r="H101" s="1399"/>
      <c r="I101" s="1399"/>
      <c r="J101" s="1399"/>
      <c r="K101" s="1579"/>
      <c r="L101" s="1399"/>
      <c r="M101" s="547"/>
      <c r="N101" s="547"/>
      <c r="O101" s="547"/>
      <c r="P101" s="547"/>
      <c r="Q101" s="547"/>
      <c r="R101" s="547"/>
      <c r="S101" s="547"/>
      <c r="T101" s="547"/>
      <c r="U101" s="547"/>
      <c r="V101" s="547"/>
      <c r="W101" s="547"/>
      <c r="X101" s="547"/>
      <c r="Y101" s="547"/>
      <c r="Z101" s="396"/>
      <c r="AA101" s="396"/>
      <c r="AB101" s="396"/>
      <c r="AC101" s="396"/>
      <c r="AD101" s="396"/>
      <c r="AE101" s="396"/>
      <c r="AF101" s="396"/>
      <c r="AG101" s="396"/>
      <c r="AH101" s="396"/>
      <c r="AI101" s="376"/>
      <c r="AJ101" s="376"/>
      <c r="AK101" s="376"/>
      <c r="AL101" s="376"/>
    </row>
    <row r="102" spans="1:38" ht="23.25" customHeight="1" x14ac:dyDescent="0.25">
      <c r="A102" s="547"/>
      <c r="B102" s="1400"/>
      <c r="C102" s="1410"/>
      <c r="D102" s="1410"/>
      <c r="E102" s="1410"/>
      <c r="F102" s="1410"/>
      <c r="G102" s="1410"/>
      <c r="H102" s="1410"/>
      <c r="I102" s="1410"/>
      <c r="J102" s="1410"/>
      <c r="K102" s="1579"/>
      <c r="L102" s="1399"/>
      <c r="M102" s="547"/>
      <c r="N102" s="547"/>
      <c r="O102" s="547"/>
      <c r="P102" s="547"/>
      <c r="Q102" s="547"/>
      <c r="R102" s="547"/>
      <c r="S102" s="547"/>
      <c r="T102" s="547"/>
      <c r="U102" s="547"/>
      <c r="V102" s="547"/>
      <c r="W102" s="547"/>
      <c r="X102" s="547"/>
      <c r="Y102" s="547"/>
      <c r="Z102" s="396"/>
      <c r="AA102" s="396"/>
      <c r="AB102" s="396"/>
      <c r="AC102" s="396"/>
      <c r="AD102" s="396"/>
      <c r="AE102" s="396"/>
      <c r="AF102" s="396"/>
      <c r="AG102" s="396"/>
      <c r="AH102" s="396"/>
      <c r="AI102" s="376"/>
      <c r="AJ102" s="376"/>
      <c r="AK102" s="376"/>
      <c r="AL102" s="376"/>
    </row>
    <row r="103" spans="1:38" x14ac:dyDescent="0.25">
      <c r="A103" s="547"/>
      <c r="B103" s="1398"/>
      <c r="C103" s="1402"/>
      <c r="D103" s="1402"/>
      <c r="E103" s="1402"/>
      <c r="F103" s="1402"/>
      <c r="G103" s="1402"/>
      <c r="H103" s="1402"/>
      <c r="I103" s="1402"/>
      <c r="J103" s="1402"/>
      <c r="K103" s="1402"/>
      <c r="L103" s="1401"/>
      <c r="M103" s="547"/>
      <c r="N103" s="547"/>
      <c r="O103" s="547"/>
      <c r="P103" s="547"/>
      <c r="Q103" s="547"/>
      <c r="R103" s="547"/>
      <c r="S103" s="547"/>
      <c r="T103" s="547"/>
      <c r="U103" s="547"/>
      <c r="V103" s="547"/>
      <c r="W103" s="547"/>
      <c r="X103" s="547"/>
      <c r="Y103" s="547"/>
      <c r="Z103" s="396"/>
      <c r="AA103" s="396"/>
      <c r="AB103" s="396"/>
      <c r="AC103" s="396"/>
      <c r="AD103" s="396"/>
      <c r="AE103" s="396"/>
      <c r="AF103" s="396"/>
      <c r="AG103" s="396"/>
      <c r="AH103" s="396"/>
      <c r="AI103" s="376"/>
      <c r="AJ103" s="376"/>
      <c r="AK103" s="376"/>
      <c r="AL103" s="376"/>
    </row>
    <row r="104" spans="1:38" x14ac:dyDescent="0.25">
      <c r="A104" s="547"/>
      <c r="B104" s="1398"/>
      <c r="C104" s="1397"/>
      <c r="D104" s="1397"/>
      <c r="E104" s="1397"/>
      <c r="F104" s="1397"/>
      <c r="G104" s="1397"/>
      <c r="H104" s="1397"/>
      <c r="I104" s="1397"/>
      <c r="J104" s="1404"/>
      <c r="K104" s="1404"/>
      <c r="L104" s="1399"/>
      <c r="M104" s="547"/>
      <c r="N104" s="547"/>
      <c r="O104" s="547"/>
      <c r="P104" s="547"/>
      <c r="Q104" s="547"/>
      <c r="R104" s="547"/>
      <c r="S104" s="547"/>
      <c r="T104" s="547"/>
      <c r="U104" s="547"/>
      <c r="V104" s="547"/>
      <c r="W104" s="547"/>
      <c r="X104" s="547"/>
      <c r="Y104" s="547"/>
      <c r="Z104" s="396"/>
      <c r="AA104" s="396"/>
      <c r="AB104" s="396"/>
      <c r="AC104" s="396"/>
      <c r="AD104" s="396"/>
      <c r="AE104" s="396"/>
      <c r="AF104" s="396"/>
      <c r="AG104" s="396"/>
      <c r="AH104" s="396"/>
      <c r="AI104" s="376"/>
      <c r="AJ104" s="376"/>
      <c r="AK104" s="376"/>
      <c r="AL104" s="376"/>
    </row>
    <row r="105" spans="1:38" x14ac:dyDescent="0.25">
      <c r="A105" s="547"/>
      <c r="B105" s="1398"/>
      <c r="C105" s="1397"/>
      <c r="D105" s="1397"/>
      <c r="E105" s="1404"/>
      <c r="F105" s="1397"/>
      <c r="G105" s="1397"/>
      <c r="H105" s="1397"/>
      <c r="I105" s="1404"/>
      <c r="J105" s="1404"/>
      <c r="K105" s="1404"/>
      <c r="L105" s="1399"/>
      <c r="M105" s="547"/>
      <c r="N105" s="547"/>
      <c r="O105" s="547"/>
      <c r="P105" s="547"/>
      <c r="Q105" s="547"/>
      <c r="R105" s="547"/>
      <c r="S105" s="547"/>
      <c r="T105" s="547"/>
      <c r="U105" s="547"/>
      <c r="V105" s="547"/>
      <c r="W105" s="547"/>
      <c r="X105" s="547"/>
      <c r="Y105" s="547"/>
      <c r="Z105" s="396"/>
      <c r="AA105" s="396"/>
      <c r="AB105" s="396"/>
      <c r="AC105" s="396"/>
      <c r="AD105" s="396"/>
      <c r="AE105" s="396"/>
      <c r="AF105" s="396"/>
      <c r="AG105" s="396"/>
      <c r="AH105" s="396"/>
      <c r="AI105" s="376"/>
      <c r="AJ105" s="376"/>
      <c r="AK105" s="376"/>
      <c r="AL105" s="376"/>
    </row>
    <row r="106" spans="1:38" x14ac:dyDescent="0.25">
      <c r="A106" s="547"/>
      <c r="B106" s="1398"/>
      <c r="C106" s="1397"/>
      <c r="D106" s="1397"/>
      <c r="E106" s="1397"/>
      <c r="F106" s="1397"/>
      <c r="G106" s="1397"/>
      <c r="H106" s="1397"/>
      <c r="I106" s="1404"/>
      <c r="J106" s="1397"/>
      <c r="K106" s="1404"/>
      <c r="L106" s="1399"/>
      <c r="M106" s="547"/>
      <c r="N106" s="547"/>
      <c r="O106" s="547"/>
      <c r="P106" s="547"/>
      <c r="Q106" s="547"/>
      <c r="R106" s="547"/>
      <c r="S106" s="547"/>
      <c r="T106" s="547"/>
      <c r="U106" s="547"/>
      <c r="V106" s="547"/>
      <c r="W106" s="547"/>
      <c r="X106" s="547"/>
      <c r="Y106" s="547"/>
      <c r="Z106" s="396"/>
      <c r="AA106" s="396"/>
      <c r="AB106" s="396"/>
      <c r="AC106" s="396"/>
      <c r="AD106" s="396"/>
      <c r="AE106" s="396"/>
      <c r="AF106" s="396"/>
      <c r="AG106" s="396"/>
      <c r="AH106" s="396"/>
      <c r="AI106" s="376"/>
      <c r="AJ106" s="376"/>
      <c r="AK106" s="376"/>
      <c r="AL106" s="376"/>
    </row>
    <row r="107" spans="1:38" x14ac:dyDescent="0.25">
      <c r="A107" s="547"/>
      <c r="B107" s="1398"/>
      <c r="C107" s="1397"/>
      <c r="D107" s="1405"/>
      <c r="E107" s="1397"/>
      <c r="F107" s="1405"/>
      <c r="G107" s="1397"/>
      <c r="H107" s="1405"/>
      <c r="I107" s="1397"/>
      <c r="J107" s="1405"/>
      <c r="K107" s="1404"/>
      <c r="L107" s="1399"/>
      <c r="M107" s="547"/>
      <c r="N107" s="547"/>
      <c r="O107" s="547"/>
      <c r="P107" s="547"/>
      <c r="Q107" s="547"/>
      <c r="R107" s="547"/>
      <c r="S107" s="547"/>
      <c r="T107" s="547"/>
      <c r="U107" s="547"/>
      <c r="V107" s="547"/>
      <c r="W107" s="547"/>
      <c r="X107" s="547"/>
      <c r="Y107" s="547"/>
      <c r="Z107" s="396"/>
      <c r="AA107" s="396"/>
      <c r="AB107" s="396"/>
      <c r="AC107" s="396"/>
      <c r="AD107" s="396"/>
      <c r="AE107" s="396"/>
      <c r="AF107" s="396"/>
      <c r="AG107" s="396"/>
      <c r="AH107" s="396"/>
      <c r="AI107" s="376"/>
      <c r="AJ107" s="376"/>
      <c r="AK107" s="376"/>
      <c r="AL107" s="376"/>
    </row>
    <row r="108" spans="1:38" x14ac:dyDescent="0.25">
      <c r="A108" s="547"/>
      <c r="B108" s="1398"/>
      <c r="C108" s="1397"/>
      <c r="D108" s="1405"/>
      <c r="E108" s="1397"/>
      <c r="F108" s="1405"/>
      <c r="G108" s="1397"/>
      <c r="H108" s="1405"/>
      <c r="I108" s="1397"/>
      <c r="J108" s="1405"/>
      <c r="K108" s="1404"/>
      <c r="L108" s="1399"/>
      <c r="M108" s="547"/>
      <c r="N108" s="547"/>
      <c r="O108" s="547"/>
      <c r="P108" s="547"/>
      <c r="Q108" s="547"/>
      <c r="R108" s="547"/>
      <c r="S108" s="547"/>
      <c r="T108" s="547"/>
      <c r="U108" s="547"/>
      <c r="V108" s="547"/>
      <c r="W108" s="547"/>
      <c r="X108" s="547"/>
      <c r="Y108" s="547"/>
      <c r="Z108" s="396"/>
      <c r="AA108" s="396"/>
      <c r="AB108" s="396"/>
      <c r="AC108" s="396"/>
      <c r="AD108" s="396"/>
      <c r="AE108" s="396"/>
      <c r="AF108" s="396"/>
      <c r="AG108" s="396"/>
      <c r="AH108" s="396"/>
      <c r="AI108" s="376"/>
      <c r="AJ108" s="376"/>
      <c r="AK108" s="376"/>
      <c r="AL108" s="376"/>
    </row>
    <row r="109" spans="1:38" ht="23.25" customHeight="1" x14ac:dyDescent="0.25">
      <c r="A109" s="547"/>
      <c r="B109" s="1398"/>
      <c r="C109" s="1404"/>
      <c r="D109" s="1404"/>
      <c r="E109" s="1404"/>
      <c r="F109" s="1404"/>
      <c r="G109" s="1404"/>
      <c r="H109" s="1404"/>
      <c r="I109" s="1404"/>
      <c r="J109" s="1404"/>
      <c r="K109" s="1404"/>
      <c r="L109" s="1399"/>
      <c r="M109" s="547"/>
      <c r="N109" s="547"/>
      <c r="O109" s="547"/>
      <c r="P109" s="547"/>
      <c r="Q109" s="547"/>
      <c r="R109" s="547"/>
      <c r="S109" s="547"/>
      <c r="T109" s="547"/>
      <c r="U109" s="547"/>
      <c r="V109" s="547"/>
      <c r="W109" s="547"/>
      <c r="X109" s="547"/>
      <c r="Y109" s="547"/>
      <c r="Z109" s="396"/>
      <c r="AA109" s="396"/>
      <c r="AB109" s="396"/>
      <c r="AC109" s="396"/>
      <c r="AD109" s="396"/>
      <c r="AE109" s="396"/>
      <c r="AF109" s="396"/>
      <c r="AG109" s="396"/>
      <c r="AH109" s="396"/>
      <c r="AI109" s="376"/>
      <c r="AJ109" s="376"/>
      <c r="AK109" s="376"/>
      <c r="AL109" s="376"/>
    </row>
    <row r="110" spans="1:38" x14ac:dyDescent="0.25">
      <c r="A110" s="547"/>
      <c r="B110" s="1398"/>
      <c r="C110" s="1397" t="s">
        <v>1</v>
      </c>
      <c r="D110" s="1405" t="s">
        <v>65</v>
      </c>
      <c r="E110" s="1397" t="s">
        <v>343</v>
      </c>
      <c r="F110" s="1405" t="s">
        <v>3</v>
      </c>
      <c r="G110" s="1397"/>
      <c r="H110" s="1405" t="s">
        <v>512</v>
      </c>
      <c r="I110" s="1404"/>
      <c r="J110" s="1405"/>
      <c r="K110" s="1404"/>
      <c r="L110" s="1407"/>
      <c r="M110" s="547"/>
      <c r="N110" s="547"/>
      <c r="O110" s="547"/>
      <c r="P110" s="547"/>
      <c r="Q110" s="547"/>
      <c r="R110" s="547"/>
      <c r="S110" s="547"/>
      <c r="T110" s="547"/>
      <c r="U110" s="547"/>
      <c r="V110" s="547"/>
      <c r="W110" s="547"/>
      <c r="X110" s="547"/>
      <c r="Y110" s="547"/>
      <c r="Z110" s="396"/>
      <c r="AA110" s="396"/>
      <c r="AB110" s="396"/>
      <c r="AC110" s="396"/>
      <c r="AD110" s="396"/>
      <c r="AE110" s="396"/>
      <c r="AF110" s="396"/>
      <c r="AG110" s="396"/>
      <c r="AH110" s="396"/>
      <c r="AI110" s="376"/>
      <c r="AJ110" s="376"/>
      <c r="AK110" s="376"/>
      <c r="AL110" s="376"/>
    </row>
    <row r="111" spans="1:38" x14ac:dyDescent="0.25">
      <c r="A111" s="547"/>
      <c r="B111" s="1398"/>
      <c r="C111" s="1401" t="s">
        <v>68</v>
      </c>
      <c r="D111" s="1401">
        <v>516341468</v>
      </c>
      <c r="E111" s="1401">
        <v>50582460208</v>
      </c>
      <c r="F111" s="1401">
        <v>4799456503</v>
      </c>
      <c r="G111" s="1401"/>
      <c r="H111" s="1401">
        <v>9.2951211561415796</v>
      </c>
      <c r="I111" s="1401"/>
      <c r="J111" s="1401"/>
      <c r="K111" s="1401"/>
      <c r="L111" s="1399"/>
      <c r="M111" s="547"/>
      <c r="N111" s="547"/>
      <c r="O111" s="547"/>
      <c r="P111" s="547"/>
      <c r="Q111" s="547"/>
      <c r="R111" s="547"/>
      <c r="S111" s="547"/>
      <c r="T111" s="547"/>
      <c r="U111" s="547"/>
      <c r="V111" s="547"/>
      <c r="W111" s="547"/>
      <c r="X111" s="547"/>
      <c r="Y111" s="547"/>
      <c r="Z111" s="396"/>
      <c r="AA111" s="396"/>
      <c r="AB111" s="396"/>
      <c r="AC111" s="396"/>
      <c r="AD111" s="396"/>
      <c r="AE111" s="396"/>
      <c r="AF111" s="396"/>
      <c r="AG111" s="396"/>
      <c r="AH111" s="396"/>
      <c r="AI111" s="376"/>
      <c r="AJ111" s="376"/>
      <c r="AK111" s="376"/>
      <c r="AL111" s="376"/>
    </row>
    <row r="112" spans="1:38" x14ac:dyDescent="0.25">
      <c r="A112" s="547"/>
      <c r="B112" s="1398"/>
      <c r="C112" s="1401" t="s">
        <v>69</v>
      </c>
      <c r="D112" s="1404">
        <v>534119797</v>
      </c>
      <c r="E112" s="1404">
        <v>52158169497</v>
      </c>
      <c r="F112" s="1404">
        <v>5435175325</v>
      </c>
      <c r="G112" s="1404"/>
      <c r="H112" s="1404">
        <v>10.175948084171088</v>
      </c>
      <c r="I112" s="1408"/>
      <c r="J112" s="1408"/>
      <c r="K112" s="1404"/>
      <c r="L112" s="1399"/>
      <c r="M112" s="547"/>
      <c r="N112" s="547"/>
      <c r="O112" s="547"/>
      <c r="P112" s="547"/>
      <c r="Q112" s="547"/>
      <c r="R112" s="547"/>
      <c r="S112" s="547"/>
      <c r="T112" s="547"/>
      <c r="U112" s="547"/>
      <c r="V112" s="547"/>
      <c r="W112" s="547"/>
      <c r="X112" s="547"/>
      <c r="Y112" s="547"/>
      <c r="Z112" s="396"/>
      <c r="AA112" s="396"/>
      <c r="AB112" s="396"/>
      <c r="AC112" s="396"/>
      <c r="AD112" s="396"/>
      <c r="AE112" s="396"/>
      <c r="AF112" s="396"/>
      <c r="AG112" s="396"/>
      <c r="AH112" s="396"/>
      <c r="AI112" s="376"/>
      <c r="AJ112" s="376"/>
      <c r="AK112" s="376"/>
      <c r="AL112" s="376"/>
    </row>
    <row r="113" spans="1:38" x14ac:dyDescent="0.25">
      <c r="A113" s="547"/>
      <c r="B113" s="1398"/>
      <c r="C113" s="1401" t="s">
        <v>70</v>
      </c>
      <c r="D113" s="1401">
        <v>561373380</v>
      </c>
      <c r="E113" s="1401">
        <v>54089177055</v>
      </c>
      <c r="F113" s="1401">
        <v>5651309236</v>
      </c>
      <c r="G113" s="1401"/>
      <c r="H113" s="1401">
        <v>10.066934837558561</v>
      </c>
      <c r="I113" s="1401"/>
      <c r="J113" s="1401"/>
      <c r="K113" s="1399"/>
      <c r="L113" s="1399"/>
      <c r="M113" s="547"/>
      <c r="N113" s="547"/>
      <c r="O113" s="547"/>
      <c r="P113" s="547"/>
      <c r="Q113" s="547"/>
      <c r="R113" s="547"/>
      <c r="S113" s="547"/>
      <c r="T113" s="547"/>
      <c r="U113" s="547"/>
      <c r="V113" s="547"/>
      <c r="W113" s="547"/>
      <c r="X113" s="547"/>
      <c r="Y113" s="547"/>
      <c r="Z113" s="396"/>
      <c r="AA113" s="396"/>
      <c r="AB113" s="396"/>
      <c r="AC113" s="396"/>
      <c r="AD113" s="396"/>
      <c r="AE113" s="396"/>
      <c r="AF113" s="396"/>
      <c r="AG113" s="396"/>
      <c r="AH113" s="396"/>
      <c r="AI113" s="376"/>
      <c r="AJ113" s="376"/>
      <c r="AK113" s="376"/>
      <c r="AL113" s="376"/>
    </row>
    <row r="114" spans="1:38" x14ac:dyDescent="0.25">
      <c r="A114" s="547"/>
      <c r="B114" s="1398"/>
      <c r="C114" s="1401" t="s">
        <v>71</v>
      </c>
      <c r="D114" s="1401">
        <v>591871608</v>
      </c>
      <c r="E114" s="1401">
        <v>56740912048</v>
      </c>
      <c r="F114" s="1401">
        <v>6281071387</v>
      </c>
      <c r="G114" s="1401"/>
      <c r="H114" s="1401">
        <v>10.612219444390041</v>
      </c>
      <c r="I114" s="1401"/>
      <c r="J114" s="1401"/>
      <c r="K114" s="1399"/>
      <c r="L114" s="547"/>
      <c r="M114" s="547"/>
      <c r="N114" s="547"/>
      <c r="O114" s="547"/>
      <c r="P114" s="547"/>
      <c r="Q114" s="547"/>
      <c r="R114" s="547"/>
      <c r="S114" s="547"/>
      <c r="T114" s="547"/>
      <c r="U114" s="547"/>
      <c r="V114" s="547"/>
      <c r="W114" s="547"/>
      <c r="X114" s="547"/>
      <c r="Y114" s="547"/>
      <c r="Z114" s="396"/>
      <c r="AA114" s="396"/>
      <c r="AB114" s="396"/>
      <c r="AC114" s="396"/>
      <c r="AD114" s="396"/>
      <c r="AE114" s="396"/>
      <c r="AF114" s="396"/>
      <c r="AG114" s="396"/>
      <c r="AH114" s="396"/>
      <c r="AI114" s="376"/>
      <c r="AJ114" s="376"/>
      <c r="AK114" s="376"/>
      <c r="AL114" s="376"/>
    </row>
    <row r="115" spans="1:38" x14ac:dyDescent="0.25">
      <c r="A115" s="547"/>
      <c r="B115" s="1398"/>
      <c r="C115" s="1399" t="s">
        <v>72</v>
      </c>
      <c r="D115" s="1399">
        <v>624381798</v>
      </c>
      <c r="E115" s="1399">
        <v>59190563180</v>
      </c>
      <c r="F115" s="1399">
        <v>7018559073</v>
      </c>
      <c r="G115" s="1399"/>
      <c r="H115" s="1399">
        <v>11.240813065790237</v>
      </c>
      <c r="I115" s="1399"/>
      <c r="J115" s="1399"/>
      <c r="K115" s="1399"/>
      <c r="L115" s="547"/>
      <c r="M115" s="547"/>
      <c r="N115" s="547"/>
      <c r="O115" s="547"/>
      <c r="P115" s="547"/>
      <c r="Q115" s="547"/>
      <c r="R115" s="547"/>
      <c r="S115" s="547"/>
      <c r="T115" s="547"/>
      <c r="U115" s="547"/>
      <c r="V115" s="547"/>
      <c r="W115" s="547"/>
      <c r="X115" s="547"/>
      <c r="Y115" s="547"/>
      <c r="Z115" s="396"/>
      <c r="AA115" s="396"/>
      <c r="AB115" s="396"/>
      <c r="AC115" s="396"/>
      <c r="AD115" s="396"/>
      <c r="AE115" s="396"/>
      <c r="AF115" s="396"/>
      <c r="AG115" s="396"/>
      <c r="AH115" s="396"/>
      <c r="AI115" s="376"/>
      <c r="AJ115" s="376"/>
      <c r="AK115" s="376"/>
      <c r="AL115" s="376"/>
    </row>
    <row r="116" spans="1:38" x14ac:dyDescent="0.25">
      <c r="A116" s="547"/>
      <c r="B116" s="1400"/>
      <c r="C116" s="1409" t="s">
        <v>73</v>
      </c>
      <c r="D116" s="1409">
        <v>659400104</v>
      </c>
      <c r="E116" s="1410">
        <v>61657885237</v>
      </c>
      <c r="F116" s="1410">
        <v>7664991607</v>
      </c>
      <c r="G116" s="1410"/>
      <c r="H116" s="1410">
        <v>11.624189260061142</v>
      </c>
      <c r="I116" s="1410"/>
      <c r="J116" s="1410"/>
      <c r="K116" s="1401"/>
      <c r="L116" s="547"/>
      <c r="M116" s="547"/>
      <c r="N116" s="547"/>
      <c r="O116" s="547"/>
      <c r="P116" s="547"/>
      <c r="Q116" s="547"/>
      <c r="R116" s="547"/>
      <c r="S116" s="547"/>
      <c r="T116" s="547"/>
      <c r="U116" s="547"/>
      <c r="V116" s="547"/>
      <c r="W116" s="547"/>
      <c r="X116" s="547"/>
      <c r="Y116" s="547"/>
      <c r="Z116" s="396"/>
      <c r="AA116" s="396"/>
      <c r="AB116" s="396"/>
      <c r="AC116" s="396"/>
      <c r="AD116" s="396"/>
      <c r="AE116" s="396"/>
      <c r="AF116" s="396"/>
      <c r="AG116" s="396"/>
      <c r="AH116" s="396"/>
      <c r="AI116" s="376"/>
      <c r="AJ116" s="376"/>
      <c r="AK116" s="376"/>
      <c r="AL116" s="376"/>
    </row>
    <row r="117" spans="1:38" ht="23.25" customHeight="1" x14ac:dyDescent="0.25">
      <c r="A117" s="547"/>
      <c r="B117" s="1398"/>
      <c r="C117" s="1402" t="s">
        <v>74</v>
      </c>
      <c r="D117" s="1402">
        <v>691948868</v>
      </c>
      <c r="E117" s="1402">
        <v>64042525435</v>
      </c>
      <c r="F117" s="1402">
        <v>8094174944</v>
      </c>
      <c r="G117" s="1402"/>
      <c r="H117" s="1402">
        <v>11.697648942464921</v>
      </c>
      <c r="I117" s="1401"/>
      <c r="J117" s="1401"/>
      <c r="K117" s="1399"/>
      <c r="L117" s="1579"/>
      <c r="M117" s="1409"/>
      <c r="N117" s="1410"/>
      <c r="O117" s="1410"/>
      <c r="P117" s="547"/>
      <c r="Q117" s="547"/>
      <c r="R117" s="547"/>
      <c r="S117" s="547"/>
      <c r="T117" s="547"/>
      <c r="U117" s="547"/>
      <c r="V117" s="547"/>
      <c r="W117" s="547"/>
      <c r="X117" s="547"/>
      <c r="Y117" s="547"/>
      <c r="Z117" s="396"/>
      <c r="AA117" s="396"/>
      <c r="AB117" s="396"/>
      <c r="AC117" s="396"/>
      <c r="AD117" s="396"/>
      <c r="AE117" s="396"/>
      <c r="AF117" s="396"/>
      <c r="AG117" s="396"/>
      <c r="AH117" s="396"/>
      <c r="AI117" s="376"/>
      <c r="AJ117" s="376"/>
      <c r="AK117" s="376"/>
      <c r="AL117" s="376"/>
    </row>
    <row r="118" spans="1:38" x14ac:dyDescent="0.25">
      <c r="A118" s="547"/>
      <c r="B118" s="1398"/>
      <c r="C118" s="1404" t="s">
        <v>75</v>
      </c>
      <c r="D118" s="1404">
        <v>733010929</v>
      </c>
      <c r="E118" s="1397">
        <v>67468607795</v>
      </c>
      <c r="F118" s="1404">
        <v>8013483226</v>
      </c>
      <c r="G118" s="1404"/>
      <c r="H118" s="1404">
        <v>10.932283420292633</v>
      </c>
      <c r="I118" s="1399"/>
      <c r="J118" s="1399"/>
      <c r="K118" s="1399"/>
      <c r="L118" s="1404"/>
      <c r="M118" s="1404"/>
      <c r="N118" s="1397"/>
      <c r="O118" s="1404"/>
      <c r="P118" s="547"/>
      <c r="Q118" s="547"/>
      <c r="R118" s="547"/>
      <c r="S118" s="547"/>
      <c r="T118" s="547"/>
      <c r="U118" s="547"/>
      <c r="V118" s="547"/>
      <c r="W118" s="547"/>
      <c r="X118" s="547"/>
      <c r="Y118" s="547"/>
      <c r="Z118" s="396"/>
      <c r="AA118" s="396"/>
      <c r="AB118" s="396"/>
      <c r="AC118" s="396"/>
      <c r="AD118" s="396"/>
      <c r="AE118" s="396"/>
      <c r="AF118" s="396"/>
      <c r="AG118" s="396"/>
      <c r="AH118" s="396"/>
      <c r="AI118" s="376"/>
      <c r="AJ118" s="376"/>
      <c r="AK118" s="376"/>
      <c r="AL118" s="376"/>
    </row>
    <row r="119" spans="1:38" x14ac:dyDescent="0.25">
      <c r="A119" s="547"/>
      <c r="B119" s="1398"/>
      <c r="C119" s="1404" t="s">
        <v>76</v>
      </c>
      <c r="D119" s="1399">
        <v>762631738</v>
      </c>
      <c r="E119" s="1404">
        <v>70369213090</v>
      </c>
      <c r="F119" s="1399">
        <v>8250323893</v>
      </c>
      <c r="G119" s="1404"/>
      <c r="H119" s="1399">
        <v>10.818227831215699</v>
      </c>
      <c r="I119" s="1399"/>
      <c r="J119" s="1411"/>
      <c r="K119" s="1411"/>
      <c r="L119" s="1404"/>
      <c r="M119" s="1404"/>
      <c r="N119" s="1404"/>
      <c r="O119" s="1404"/>
      <c r="P119" s="547"/>
      <c r="Q119" s="547"/>
      <c r="R119" s="547"/>
      <c r="S119" s="547"/>
      <c r="T119" s="547"/>
      <c r="U119" s="547"/>
      <c r="V119" s="547"/>
      <c r="W119" s="547"/>
      <c r="X119" s="547"/>
      <c r="Y119" s="547"/>
      <c r="Z119" s="396"/>
      <c r="AA119" s="396"/>
      <c r="AB119" s="396"/>
      <c r="AC119" s="396"/>
      <c r="AD119" s="396"/>
      <c r="AE119" s="396"/>
      <c r="AF119" s="396"/>
      <c r="AG119" s="396"/>
      <c r="AH119" s="396"/>
      <c r="AI119" s="376"/>
      <c r="AJ119" s="376"/>
      <c r="AK119" s="376"/>
      <c r="AL119" s="376"/>
    </row>
    <row r="120" spans="1:38" x14ac:dyDescent="0.25">
      <c r="A120" s="547"/>
      <c r="B120" s="1398"/>
      <c r="C120" s="1404" t="s">
        <v>4</v>
      </c>
      <c r="D120" s="1399">
        <v>803297137</v>
      </c>
      <c r="E120" s="1404">
        <v>73093309000</v>
      </c>
      <c r="F120" s="1399">
        <v>8303500918</v>
      </c>
      <c r="G120" s="1404"/>
      <c r="H120" s="1399">
        <v>10.336773947695521</v>
      </c>
      <c r="I120" s="1399"/>
      <c r="J120" s="1411"/>
      <c r="K120" s="1411"/>
      <c r="L120" s="1404"/>
      <c r="M120" s="1404"/>
      <c r="N120" s="1404"/>
      <c r="O120" s="1404"/>
      <c r="P120" s="547"/>
      <c r="Q120" s="547"/>
      <c r="R120" s="547"/>
      <c r="S120" s="547"/>
      <c r="T120" s="547"/>
      <c r="U120" s="547"/>
      <c r="V120" s="547"/>
      <c r="W120" s="547"/>
      <c r="X120" s="547"/>
      <c r="Y120" s="547"/>
      <c r="Z120" s="396"/>
      <c r="AA120" s="396"/>
      <c r="AB120" s="396"/>
      <c r="AC120" s="396"/>
      <c r="AD120" s="396"/>
      <c r="AE120" s="396"/>
      <c r="AF120" s="396"/>
      <c r="AG120" s="396"/>
      <c r="AH120" s="396"/>
      <c r="AI120" s="376"/>
      <c r="AJ120" s="376"/>
      <c r="AK120" s="376"/>
      <c r="AL120" s="376"/>
    </row>
    <row r="121" spans="1:38" x14ac:dyDescent="0.25">
      <c r="A121" s="547"/>
      <c r="B121" s="1398"/>
      <c r="C121" s="1404" t="s">
        <v>5</v>
      </c>
      <c r="D121" s="1405">
        <v>852482281</v>
      </c>
      <c r="E121" s="1397">
        <v>77363704790</v>
      </c>
      <c r="F121" s="1405">
        <v>8376264432</v>
      </c>
      <c r="G121" s="1404"/>
      <c r="H121" s="1405">
        <v>9.8257343509524517</v>
      </c>
      <c r="I121" s="1399"/>
      <c r="J121" s="1411"/>
      <c r="K121" s="1411"/>
      <c r="L121" s="547"/>
      <c r="M121" s="547"/>
      <c r="N121" s="547"/>
      <c r="O121" s="547"/>
      <c r="P121" s="547"/>
      <c r="Q121" s="547"/>
      <c r="R121" s="547"/>
      <c r="S121" s="547"/>
      <c r="T121" s="547"/>
      <c r="U121" s="547"/>
      <c r="V121" s="547"/>
      <c r="W121" s="547"/>
      <c r="X121" s="547"/>
      <c r="Y121" s="547"/>
      <c r="Z121" s="396"/>
      <c r="AA121" s="396"/>
      <c r="AB121" s="396"/>
      <c r="AC121" s="396"/>
      <c r="AD121" s="396"/>
      <c r="AE121" s="396"/>
      <c r="AF121" s="396"/>
      <c r="AG121" s="396"/>
      <c r="AH121" s="396"/>
      <c r="AI121" s="376"/>
      <c r="AJ121" s="376"/>
      <c r="AK121" s="376"/>
      <c r="AL121" s="376"/>
    </row>
    <row r="122" spans="1:38" x14ac:dyDescent="0.25">
      <c r="A122" s="547"/>
      <c r="B122" s="1398"/>
      <c r="C122" s="1397" t="s">
        <v>6</v>
      </c>
      <c r="D122" s="1405">
        <v>897727347</v>
      </c>
      <c r="E122" s="1404">
        <v>81139818758</v>
      </c>
      <c r="F122" s="1405">
        <v>8621421130</v>
      </c>
      <c r="G122" s="1404"/>
      <c r="H122" s="1405">
        <v>9.6036075527952036</v>
      </c>
      <c r="I122" s="1399"/>
      <c r="J122" s="1412"/>
      <c r="K122" s="1411"/>
      <c r="L122" s="1404"/>
      <c r="M122" s="1404"/>
      <c r="N122" s="1404"/>
      <c r="O122" s="1404"/>
      <c r="P122" s="547"/>
      <c r="Q122" s="547"/>
      <c r="R122" s="547"/>
      <c r="S122" s="547"/>
      <c r="T122" s="547"/>
      <c r="U122" s="547"/>
      <c r="V122" s="547"/>
      <c r="W122" s="547"/>
      <c r="X122" s="547"/>
      <c r="Y122" s="547"/>
      <c r="Z122" s="396"/>
      <c r="AA122" s="396"/>
      <c r="AB122" s="396"/>
      <c r="AC122" s="396"/>
      <c r="AD122" s="396"/>
      <c r="AE122" s="396"/>
      <c r="AF122" s="396"/>
      <c r="AG122" s="396"/>
      <c r="AH122" s="396"/>
      <c r="AI122" s="376"/>
      <c r="AJ122" s="376"/>
      <c r="AK122" s="376"/>
      <c r="AL122" s="376"/>
    </row>
    <row r="123" spans="1:38" x14ac:dyDescent="0.25">
      <c r="A123" s="547"/>
      <c r="B123" s="1398"/>
      <c r="C123" s="1404" t="s">
        <v>7</v>
      </c>
      <c r="D123" s="1404">
        <v>936743859</v>
      </c>
      <c r="E123" s="1404">
        <v>83740259688</v>
      </c>
      <c r="F123" s="1404">
        <v>8880735344</v>
      </c>
      <c r="G123" s="1404"/>
      <c r="H123" s="1404">
        <v>9.4804308121970831</v>
      </c>
      <c r="I123" s="1399"/>
      <c r="J123" s="1412"/>
      <c r="K123" s="1407"/>
      <c r="L123" s="1404"/>
      <c r="M123" s="1404"/>
      <c r="N123" s="1397"/>
      <c r="O123" s="1404"/>
      <c r="P123" s="547"/>
      <c r="Q123" s="547"/>
      <c r="R123" s="547"/>
      <c r="S123" s="547"/>
      <c r="T123" s="547"/>
      <c r="U123" s="547"/>
      <c r="V123" s="547"/>
      <c r="W123" s="547"/>
      <c r="X123" s="547"/>
      <c r="Y123" s="547"/>
      <c r="Z123" s="396"/>
      <c r="AA123" s="396"/>
      <c r="AB123" s="396"/>
      <c r="AC123" s="396"/>
      <c r="AD123" s="396"/>
      <c r="AE123" s="396"/>
      <c r="AF123" s="396"/>
      <c r="AG123" s="396"/>
      <c r="AH123" s="396"/>
      <c r="AI123" s="376"/>
      <c r="AJ123" s="376"/>
      <c r="AK123" s="376"/>
      <c r="AL123" s="376"/>
    </row>
    <row r="124" spans="1:38" x14ac:dyDescent="0.25">
      <c r="A124" s="547"/>
      <c r="B124" s="1398"/>
      <c r="C124" s="1404" t="s">
        <v>489</v>
      </c>
      <c r="D124" s="1405">
        <v>973381568</v>
      </c>
      <c r="E124" s="1404">
        <v>84155589191</v>
      </c>
      <c r="F124" s="1405">
        <v>8777964802</v>
      </c>
      <c r="G124" s="1404"/>
      <c r="H124" s="1405">
        <v>9.0180100903657134</v>
      </c>
      <c r="I124" s="1399"/>
      <c r="J124" s="1399"/>
      <c r="K124" s="1399"/>
      <c r="L124" s="1404"/>
      <c r="M124" s="1397"/>
      <c r="N124" s="1404"/>
      <c r="O124" s="1404"/>
      <c r="P124" s="547"/>
      <c r="Q124" s="547"/>
      <c r="R124" s="547"/>
      <c r="S124" s="547"/>
      <c r="T124" s="547"/>
      <c r="U124" s="547"/>
      <c r="V124" s="547"/>
      <c r="W124" s="547"/>
      <c r="X124" s="547"/>
      <c r="Y124" s="547"/>
      <c r="Z124" s="396"/>
      <c r="AA124" s="396"/>
      <c r="AB124" s="396"/>
      <c r="AC124" s="396"/>
      <c r="AD124" s="396"/>
      <c r="AE124" s="396"/>
      <c r="AF124" s="396"/>
      <c r="AG124" s="396"/>
      <c r="AH124" s="396"/>
      <c r="AI124" s="376"/>
      <c r="AJ124" s="376"/>
      <c r="AK124" s="376"/>
      <c r="AL124" s="376"/>
    </row>
    <row r="125" spans="1:38" x14ac:dyDescent="0.25">
      <c r="A125" s="547"/>
      <c r="B125" s="1398"/>
      <c r="C125" s="1401"/>
      <c r="D125" s="1401"/>
      <c r="E125" s="1401"/>
      <c r="F125" s="1401"/>
      <c r="G125" s="1401"/>
      <c r="H125" s="1401"/>
      <c r="I125" s="1399"/>
      <c r="J125" s="1399"/>
      <c r="K125" s="1399"/>
      <c r="L125" s="1404"/>
      <c r="M125" s="1404"/>
      <c r="N125" s="1404"/>
      <c r="O125" s="1413"/>
      <c r="P125" s="547"/>
      <c r="Q125" s="547"/>
      <c r="R125" s="547"/>
      <c r="S125" s="547"/>
      <c r="T125" s="547"/>
      <c r="U125" s="547"/>
      <c r="V125" s="547"/>
      <c r="W125" s="547"/>
      <c r="X125" s="547"/>
      <c r="Y125" s="547"/>
      <c r="Z125" s="396"/>
      <c r="AA125" s="396"/>
      <c r="AB125" s="396"/>
      <c r="AC125" s="396"/>
      <c r="AD125" s="396"/>
      <c r="AE125" s="396"/>
      <c r="AF125" s="396"/>
      <c r="AG125" s="396"/>
      <c r="AH125" s="396"/>
      <c r="AI125" s="376"/>
      <c r="AJ125" s="376"/>
      <c r="AK125" s="376"/>
      <c r="AL125" s="376"/>
    </row>
    <row r="126" spans="1:38" x14ac:dyDescent="0.25">
      <c r="A126" s="547"/>
      <c r="B126" s="1414"/>
      <c r="C126" s="1413"/>
      <c r="D126" s="1413"/>
      <c r="E126" s="1413"/>
      <c r="F126" s="1580"/>
      <c r="G126" s="1415"/>
      <c r="H126" s="1415"/>
      <c r="I126" s="1409"/>
      <c r="J126" s="1409"/>
      <c r="K126" s="1409"/>
      <c r="L126" s="1413"/>
      <c r="M126" s="1413"/>
      <c r="N126" s="1413"/>
      <c r="O126" s="1413"/>
      <c r="P126" s="1316"/>
      <c r="Q126" s="1316"/>
      <c r="R126" s="1316"/>
      <c r="S126" s="1316"/>
      <c r="T126" s="1316"/>
      <c r="U126" s="1316"/>
      <c r="V126" s="1316"/>
      <c r="W126" s="1316"/>
      <c r="X126" s="1316"/>
      <c r="Y126" s="1316"/>
      <c r="Z126" s="1381"/>
      <c r="AA126" s="1381"/>
      <c r="AB126" s="1381"/>
      <c r="AC126" s="396"/>
      <c r="AD126" s="396"/>
      <c r="AE126" s="396"/>
      <c r="AF126" s="396"/>
      <c r="AG126" s="396"/>
      <c r="AH126" s="396"/>
      <c r="AI126" s="376"/>
      <c r="AJ126" s="376"/>
      <c r="AK126" s="376"/>
      <c r="AL126" s="376"/>
    </row>
    <row r="127" spans="1:38" x14ac:dyDescent="0.25">
      <c r="A127" s="547"/>
      <c r="B127" s="1414"/>
      <c r="C127" s="1409"/>
      <c r="D127" s="1409"/>
      <c r="E127" s="1409"/>
      <c r="F127" s="1409"/>
      <c r="G127" s="1580"/>
      <c r="H127" s="1580"/>
      <c r="I127" s="1409"/>
      <c r="J127" s="1409"/>
      <c r="K127" s="1316"/>
      <c r="L127" s="1413"/>
      <c r="M127" s="1413"/>
      <c r="N127" s="1413"/>
      <c r="O127" s="1413"/>
      <c r="P127" s="1316"/>
      <c r="Q127" s="1316"/>
      <c r="R127" s="1316"/>
      <c r="S127" s="1316"/>
      <c r="T127" s="1316"/>
      <c r="U127" s="1316"/>
      <c r="V127" s="1316"/>
      <c r="W127" s="1316"/>
      <c r="X127" s="1316"/>
      <c r="Y127" s="1316"/>
      <c r="Z127" s="1381"/>
      <c r="AA127" s="1381"/>
      <c r="AB127" s="1381"/>
      <c r="AC127" s="396"/>
      <c r="AD127" s="396"/>
      <c r="AE127" s="396"/>
      <c r="AF127" s="396"/>
      <c r="AG127" s="396"/>
      <c r="AH127" s="396"/>
      <c r="AI127" s="376"/>
      <c r="AJ127" s="376"/>
      <c r="AK127" s="376"/>
      <c r="AL127" s="376"/>
    </row>
    <row r="128" spans="1:38" x14ac:dyDescent="0.25">
      <c r="A128" s="547"/>
      <c r="B128" s="1316"/>
      <c r="C128" s="1316"/>
      <c r="D128" s="1316"/>
      <c r="E128" s="1316"/>
      <c r="F128" s="1316"/>
      <c r="G128" s="1316"/>
      <c r="H128" s="1316"/>
      <c r="I128" s="1316"/>
      <c r="J128" s="1316"/>
      <c r="K128" s="1316"/>
      <c r="L128" s="1413"/>
      <c r="M128" s="1413"/>
      <c r="N128" s="1413"/>
      <c r="O128" s="1415"/>
      <c r="P128" s="1316"/>
      <c r="Q128" s="1316"/>
      <c r="R128" s="1316"/>
      <c r="S128" s="1316"/>
      <c r="T128" s="1316"/>
      <c r="U128" s="1316"/>
      <c r="V128" s="1316"/>
      <c r="W128" s="1316"/>
      <c r="X128" s="1316"/>
      <c r="Y128" s="1316"/>
      <c r="Z128" s="1381"/>
      <c r="AA128" s="1381"/>
      <c r="AB128" s="1381"/>
      <c r="AC128" s="396"/>
      <c r="AD128" s="396"/>
      <c r="AE128" s="396"/>
      <c r="AF128" s="396"/>
      <c r="AG128" s="396"/>
      <c r="AH128" s="396"/>
      <c r="AI128" s="376"/>
      <c r="AJ128" s="376"/>
      <c r="AK128" s="376"/>
      <c r="AL128" s="376"/>
    </row>
    <row r="129" spans="1:38" x14ac:dyDescent="0.25">
      <c r="A129" s="547"/>
      <c r="B129" s="1316"/>
      <c r="C129" s="1410"/>
      <c r="D129" s="1410"/>
      <c r="E129" s="1410"/>
      <c r="F129" s="1410"/>
      <c r="G129" s="1410"/>
      <c r="H129" s="1410"/>
      <c r="I129" s="1410"/>
      <c r="J129" s="1410"/>
      <c r="K129" s="1410"/>
      <c r="L129" s="1410"/>
      <c r="M129" s="1410"/>
      <c r="N129" s="1410"/>
      <c r="O129" s="1410"/>
      <c r="P129" s="1410"/>
      <c r="Q129" s="1410"/>
      <c r="R129" s="1316"/>
      <c r="S129" s="1316"/>
      <c r="T129" s="1316"/>
      <c r="U129" s="1316"/>
      <c r="V129" s="1316"/>
      <c r="W129" s="1316"/>
      <c r="X129" s="1316"/>
      <c r="Y129" s="1316"/>
      <c r="Z129" s="1381"/>
      <c r="AA129" s="1381"/>
      <c r="AB129" s="1381"/>
      <c r="AC129" s="396"/>
      <c r="AD129" s="396"/>
      <c r="AE129" s="396"/>
      <c r="AF129" s="396"/>
      <c r="AG129" s="396"/>
      <c r="AH129" s="396"/>
      <c r="AI129" s="376"/>
      <c r="AJ129" s="376"/>
      <c r="AK129" s="376"/>
      <c r="AL129" s="376"/>
    </row>
    <row r="130" spans="1:38" x14ac:dyDescent="0.25">
      <c r="A130" s="547"/>
      <c r="B130" s="1416"/>
      <c r="C130" s="1417"/>
      <c r="D130" s="1417"/>
      <c r="E130" s="1417"/>
      <c r="F130" s="1417"/>
      <c r="G130" s="1417"/>
      <c r="H130" s="1417"/>
      <c r="I130" s="1417"/>
      <c r="J130" s="1417"/>
      <c r="K130" s="1417"/>
      <c r="L130" s="1404"/>
      <c r="M130" s="1404"/>
      <c r="N130" s="1397"/>
      <c r="O130" s="1404"/>
      <c r="P130" s="1316"/>
      <c r="Q130" s="1316"/>
      <c r="R130" s="1316"/>
      <c r="S130" s="1316"/>
      <c r="T130" s="1316"/>
      <c r="U130" s="1316"/>
      <c r="V130" s="1316"/>
      <c r="W130" s="1316"/>
      <c r="X130" s="1316"/>
      <c r="Y130" s="1316"/>
      <c r="Z130" s="1381"/>
      <c r="AA130" s="1381"/>
      <c r="AB130" s="1381"/>
      <c r="AC130" s="396"/>
      <c r="AD130" s="396"/>
      <c r="AE130" s="396"/>
      <c r="AF130" s="396"/>
      <c r="AG130" s="396"/>
      <c r="AH130" s="396"/>
      <c r="AI130" s="376"/>
      <c r="AJ130" s="376"/>
      <c r="AK130" s="376"/>
      <c r="AL130" s="376"/>
    </row>
    <row r="131" spans="1:38" x14ac:dyDescent="0.25">
      <c r="A131" s="547"/>
      <c r="B131" s="1416"/>
      <c r="C131" s="1417"/>
      <c r="D131" s="1417"/>
      <c r="E131" s="1417"/>
      <c r="F131" s="1417"/>
      <c r="G131" s="1417"/>
      <c r="H131" s="1417"/>
      <c r="I131" s="1417"/>
      <c r="J131" s="1417"/>
      <c r="K131" s="1413"/>
      <c r="L131" s="1404"/>
      <c r="M131" s="1404"/>
      <c r="N131" s="1404"/>
      <c r="O131" s="1404"/>
      <c r="P131" s="1316"/>
      <c r="Q131" s="1316"/>
      <c r="R131" s="1316"/>
      <c r="S131" s="1316"/>
      <c r="T131" s="1316"/>
      <c r="U131" s="1316"/>
      <c r="V131" s="1316"/>
      <c r="W131" s="1316"/>
      <c r="X131" s="1316"/>
      <c r="Y131" s="1316"/>
      <c r="Z131" s="1381"/>
      <c r="AA131" s="1381"/>
      <c r="AB131" s="1381"/>
      <c r="AC131" s="396"/>
      <c r="AD131" s="396"/>
      <c r="AE131" s="396"/>
      <c r="AF131" s="396"/>
      <c r="AG131" s="396"/>
      <c r="AH131" s="396"/>
      <c r="AI131" s="376"/>
      <c r="AJ131" s="376"/>
      <c r="AK131" s="376"/>
      <c r="AL131" s="376"/>
    </row>
    <row r="132" spans="1:38" x14ac:dyDescent="0.25">
      <c r="A132" s="547"/>
      <c r="B132" s="1416"/>
      <c r="C132" s="1413"/>
      <c r="D132" s="1413"/>
      <c r="E132" s="1417"/>
      <c r="F132" s="1413"/>
      <c r="G132" s="1413"/>
      <c r="H132" s="1417"/>
      <c r="I132" s="1413"/>
      <c r="J132" s="1417"/>
      <c r="K132" s="1413"/>
      <c r="L132" s="1413"/>
      <c r="M132" s="1413"/>
      <c r="N132" s="1413"/>
      <c r="O132" s="1413"/>
      <c r="P132" s="1316"/>
      <c r="Q132" s="1316"/>
      <c r="R132" s="1316"/>
      <c r="S132" s="1316"/>
      <c r="T132" s="1316"/>
      <c r="U132" s="1316"/>
      <c r="V132" s="1316"/>
      <c r="W132" s="1316"/>
      <c r="X132" s="1316"/>
      <c r="Y132" s="1316"/>
      <c r="Z132" s="1381"/>
      <c r="AA132" s="1381"/>
      <c r="AB132" s="1381"/>
      <c r="AC132" s="396"/>
      <c r="AD132" s="396"/>
      <c r="AE132" s="396"/>
      <c r="AF132" s="396"/>
      <c r="AG132" s="396"/>
      <c r="AH132" s="396"/>
      <c r="AI132" s="376"/>
      <c r="AJ132" s="376"/>
      <c r="AK132" s="376"/>
      <c r="AL132" s="376"/>
    </row>
    <row r="133" spans="1:38" x14ac:dyDescent="0.25">
      <c r="A133" s="669"/>
      <c r="B133" s="1416"/>
      <c r="C133" s="1413"/>
      <c r="D133" s="1413"/>
      <c r="E133" s="1413"/>
      <c r="F133" s="1413"/>
      <c r="G133" s="1413"/>
      <c r="H133" s="1417"/>
      <c r="I133" s="1417"/>
      <c r="J133" s="1417"/>
      <c r="K133" s="1413"/>
      <c r="L133" s="1413"/>
      <c r="M133" s="1413"/>
      <c r="N133" s="1413"/>
      <c r="O133" s="1413"/>
      <c r="P133" s="1316"/>
      <c r="Q133" s="1316"/>
      <c r="R133" s="1316"/>
      <c r="S133" s="1316"/>
      <c r="T133" s="1316"/>
      <c r="U133" s="1316"/>
      <c r="V133" s="1316"/>
      <c r="W133" s="1316"/>
      <c r="X133" s="1316"/>
      <c r="Y133" s="1316"/>
      <c r="Z133" s="1381"/>
      <c r="AA133" s="1381"/>
      <c r="AB133" s="1381"/>
      <c r="AC133" s="396"/>
      <c r="AD133" s="396"/>
      <c r="AE133" s="396"/>
      <c r="AF133" s="396"/>
      <c r="AG133" s="396"/>
      <c r="AH133" s="396"/>
      <c r="AI133" s="376"/>
      <c r="AJ133" s="376"/>
      <c r="AK133" s="376"/>
      <c r="AL133" s="376"/>
    </row>
    <row r="134" spans="1:38" x14ac:dyDescent="0.25">
      <c r="A134" s="669"/>
      <c r="B134" s="1284"/>
      <c r="C134" s="547"/>
      <c r="D134" s="547"/>
      <c r="E134" s="1404"/>
      <c r="F134" s="1404"/>
      <c r="G134" s="1404"/>
      <c r="H134" s="1397"/>
      <c r="I134" s="1397"/>
      <c r="J134" s="1397"/>
      <c r="K134" s="1397"/>
      <c r="L134" s="1404"/>
      <c r="M134" s="1404"/>
      <c r="N134" s="1397"/>
      <c r="O134" s="1404"/>
      <c r="P134" s="547"/>
      <c r="Q134" s="547"/>
      <c r="R134" s="547"/>
      <c r="S134" s="547"/>
      <c r="T134" s="547"/>
      <c r="U134" s="547"/>
      <c r="V134" s="547"/>
      <c r="W134" s="547"/>
      <c r="X134" s="547"/>
      <c r="Y134" s="547"/>
      <c r="Z134" s="396"/>
      <c r="AA134" s="396"/>
      <c r="AB134" s="396"/>
      <c r="AC134" s="396"/>
      <c r="AD134" s="396"/>
      <c r="AE134" s="396"/>
      <c r="AF134" s="396"/>
      <c r="AG134" s="396"/>
      <c r="AH134" s="396"/>
      <c r="AI134" s="376"/>
      <c r="AJ134" s="376"/>
      <c r="AK134" s="376"/>
      <c r="AL134" s="376"/>
    </row>
    <row r="135" spans="1:38" x14ac:dyDescent="0.25">
      <c r="A135" s="669"/>
      <c r="B135" s="1284"/>
      <c r="C135" s="1404"/>
      <c r="D135" s="1404"/>
      <c r="E135" s="1404"/>
      <c r="F135" s="1404"/>
      <c r="G135" s="1404"/>
      <c r="H135" s="1397"/>
      <c r="I135" s="1397"/>
      <c r="J135" s="1397"/>
      <c r="K135" s="1397"/>
      <c r="L135" s="1404"/>
      <c r="M135" s="1397"/>
      <c r="N135" s="1404"/>
      <c r="O135" s="1404"/>
      <c r="P135" s="547"/>
      <c r="Q135" s="547"/>
      <c r="R135" s="547"/>
      <c r="S135" s="547"/>
      <c r="T135" s="547"/>
      <c r="U135" s="547"/>
      <c r="V135" s="547"/>
      <c r="W135" s="547"/>
      <c r="X135" s="547"/>
      <c r="Y135" s="547"/>
      <c r="Z135" s="396"/>
      <c r="AA135" s="396"/>
      <c r="AB135" s="396"/>
      <c r="AC135" s="396"/>
      <c r="AD135" s="396"/>
      <c r="AE135" s="396"/>
      <c r="AF135" s="396"/>
      <c r="AG135" s="396"/>
      <c r="AH135" s="396"/>
      <c r="AI135" s="376"/>
      <c r="AJ135" s="376"/>
      <c r="AK135" s="376"/>
      <c r="AL135" s="376"/>
    </row>
    <row r="136" spans="1:38" x14ac:dyDescent="0.25">
      <c r="A136" s="669"/>
      <c r="B136" s="1284"/>
      <c r="C136" s="1404"/>
      <c r="D136" s="1404"/>
      <c r="E136" s="1404"/>
      <c r="F136" s="1404"/>
      <c r="G136" s="1404"/>
      <c r="H136" s="1404"/>
      <c r="I136" s="1404"/>
      <c r="J136" s="1404"/>
      <c r="K136" s="1404"/>
      <c r="L136" s="1404"/>
      <c r="M136" s="1404"/>
      <c r="N136" s="1404"/>
      <c r="O136" s="1413"/>
      <c r="P136" s="547"/>
      <c r="Q136" s="547"/>
      <c r="R136" s="547"/>
      <c r="S136" s="547"/>
      <c r="T136" s="547"/>
      <c r="U136" s="547"/>
      <c r="V136" s="547"/>
      <c r="W136" s="547"/>
      <c r="X136" s="547"/>
      <c r="Y136" s="547"/>
      <c r="Z136" s="396"/>
      <c r="AA136" s="396"/>
      <c r="AB136" s="396"/>
      <c r="AC136" s="396"/>
      <c r="AD136" s="396"/>
      <c r="AE136" s="396"/>
      <c r="AF136" s="396"/>
      <c r="AG136" s="396"/>
      <c r="AH136" s="396"/>
      <c r="AI136" s="376"/>
      <c r="AJ136" s="376"/>
      <c r="AK136" s="376"/>
      <c r="AL136" s="376"/>
    </row>
    <row r="137" spans="1:38" x14ac:dyDescent="0.25">
      <c r="A137" s="669"/>
      <c r="B137" s="1284"/>
      <c r="C137" s="547"/>
      <c r="D137" s="1404"/>
      <c r="E137" s="547"/>
      <c r="F137" s="547"/>
      <c r="G137" s="547"/>
      <c r="H137" s="1404"/>
      <c r="I137" s="1404"/>
      <c r="J137" s="1404"/>
      <c r="K137" s="1404"/>
      <c r="L137" s="1404"/>
      <c r="M137" s="1404"/>
      <c r="N137" s="1404"/>
      <c r="O137" s="1404"/>
      <c r="P137" s="547"/>
      <c r="Q137" s="547"/>
      <c r="R137" s="547"/>
      <c r="S137" s="547"/>
      <c r="T137" s="547"/>
      <c r="U137" s="547"/>
      <c r="V137" s="547"/>
      <c r="W137" s="547"/>
      <c r="X137" s="547"/>
      <c r="Y137" s="547"/>
      <c r="Z137" s="396"/>
      <c r="AA137" s="396"/>
      <c r="AB137" s="396"/>
      <c r="AC137" s="396"/>
      <c r="AD137" s="396"/>
      <c r="AE137" s="396"/>
      <c r="AF137" s="396"/>
      <c r="AG137" s="396"/>
      <c r="AH137" s="396"/>
      <c r="AI137" s="376"/>
      <c r="AJ137" s="376"/>
      <c r="AK137" s="376"/>
      <c r="AL137" s="376"/>
    </row>
    <row r="138" spans="1:38" x14ac:dyDescent="0.25">
      <c r="A138" s="547"/>
      <c r="B138" s="1284"/>
      <c r="C138" s="1404"/>
      <c r="D138" s="1404"/>
      <c r="E138" s="1404"/>
      <c r="F138" s="1406"/>
      <c r="G138" s="1406"/>
      <c r="H138" s="1397"/>
      <c r="I138" s="1397"/>
      <c r="J138" s="1397"/>
      <c r="K138" s="1404"/>
      <c r="L138" s="1404"/>
      <c r="M138" s="1404"/>
      <c r="N138" s="1404"/>
      <c r="O138" s="1404"/>
      <c r="P138" s="547"/>
      <c r="Q138" s="547"/>
      <c r="R138" s="547"/>
      <c r="S138" s="547"/>
      <c r="T138" s="547"/>
      <c r="U138" s="547"/>
      <c r="V138" s="547"/>
      <c r="W138" s="547"/>
      <c r="X138" s="547"/>
      <c r="Y138" s="547"/>
      <c r="Z138" s="396"/>
      <c r="AA138" s="396"/>
      <c r="AB138" s="396"/>
      <c r="AC138" s="396"/>
      <c r="AD138" s="396"/>
      <c r="AE138" s="396"/>
      <c r="AF138" s="396"/>
      <c r="AG138" s="396"/>
      <c r="AH138" s="396"/>
      <c r="AI138" s="376"/>
      <c r="AJ138" s="376"/>
      <c r="AK138" s="376"/>
      <c r="AL138" s="376"/>
    </row>
    <row r="139" spans="1:38" x14ac:dyDescent="0.25">
      <c r="A139" s="547"/>
      <c r="B139" s="1416"/>
      <c r="C139" s="1397"/>
      <c r="D139" s="1397"/>
      <c r="E139" s="1397"/>
      <c r="F139" s="1397"/>
      <c r="G139" s="1397"/>
      <c r="H139" s="1404"/>
      <c r="I139" s="1404"/>
      <c r="J139" s="1404"/>
      <c r="K139" s="1408"/>
      <c r="L139" s="1404"/>
      <c r="M139" s="1404"/>
      <c r="N139" s="1404"/>
      <c r="O139" s="1411"/>
      <c r="P139" s="547"/>
      <c r="Q139" s="547"/>
      <c r="R139" s="547"/>
      <c r="S139" s="547"/>
      <c r="T139" s="547"/>
      <c r="U139" s="547"/>
      <c r="V139" s="547"/>
      <c r="W139" s="547"/>
      <c r="X139" s="547"/>
      <c r="Y139" s="547"/>
      <c r="Z139" s="396"/>
      <c r="AA139" s="396"/>
      <c r="AB139" s="396"/>
      <c r="AC139" s="396"/>
      <c r="AD139" s="396"/>
      <c r="AE139" s="396"/>
      <c r="AF139" s="396"/>
      <c r="AG139" s="396"/>
      <c r="AH139" s="396"/>
      <c r="AI139" s="376"/>
      <c r="AJ139" s="376"/>
      <c r="AK139" s="376"/>
      <c r="AL139" s="376"/>
    </row>
    <row r="140" spans="1:38" x14ac:dyDescent="0.25">
      <c r="A140" s="547"/>
      <c r="B140" s="547"/>
      <c r="C140" s="547"/>
      <c r="D140" s="547"/>
      <c r="E140" s="547"/>
      <c r="F140" s="547"/>
      <c r="G140" s="547"/>
      <c r="H140" s="547"/>
      <c r="I140" s="547"/>
      <c r="J140" s="547"/>
      <c r="K140" s="547"/>
      <c r="L140" s="547"/>
      <c r="M140" s="547"/>
      <c r="N140" s="547"/>
      <c r="O140" s="547"/>
      <c r="P140" s="547"/>
      <c r="Q140" s="547"/>
      <c r="R140" s="547"/>
      <c r="S140" s="547"/>
      <c r="T140" s="547"/>
      <c r="U140" s="547"/>
      <c r="V140" s="547"/>
      <c r="W140" s="547"/>
      <c r="X140" s="547"/>
      <c r="Y140" s="547"/>
      <c r="Z140" s="396"/>
      <c r="AA140" s="396"/>
      <c r="AB140" s="396"/>
      <c r="AC140" s="396"/>
      <c r="AD140" s="396"/>
      <c r="AE140" s="396"/>
      <c r="AF140" s="396"/>
      <c r="AG140" s="396"/>
      <c r="AH140" s="396"/>
      <c r="AI140" s="376"/>
      <c r="AJ140" s="376"/>
      <c r="AK140" s="376"/>
      <c r="AL140" s="376"/>
    </row>
    <row r="141" spans="1:38" x14ac:dyDescent="0.25">
      <c r="A141" s="547"/>
      <c r="B141" s="547"/>
      <c r="C141" s="547"/>
      <c r="D141" s="547"/>
      <c r="E141" s="547"/>
      <c r="F141" s="547"/>
      <c r="G141" s="547"/>
      <c r="H141" s="547"/>
      <c r="I141" s="547"/>
      <c r="J141" s="547"/>
      <c r="K141" s="547"/>
      <c r="L141" s="547"/>
      <c r="M141" s="547"/>
      <c r="N141" s="547"/>
      <c r="O141" s="547"/>
      <c r="P141" s="547"/>
      <c r="Q141" s="547"/>
      <c r="R141" s="547"/>
      <c r="S141" s="547"/>
      <c r="T141" s="547"/>
      <c r="U141" s="547"/>
      <c r="V141" s="547"/>
      <c r="W141" s="547"/>
      <c r="X141" s="547"/>
      <c r="Y141" s="547"/>
      <c r="Z141" s="396"/>
      <c r="AA141" s="396"/>
      <c r="AB141" s="396"/>
      <c r="AC141" s="396"/>
      <c r="AD141" s="396"/>
      <c r="AE141" s="396"/>
      <c r="AF141" s="396"/>
      <c r="AG141" s="396"/>
      <c r="AH141" s="396"/>
      <c r="AI141" s="376"/>
      <c r="AJ141" s="376"/>
      <c r="AK141" s="376"/>
      <c r="AL141" s="376"/>
    </row>
    <row r="142" spans="1:38" x14ac:dyDescent="0.25">
      <c r="A142" s="1284"/>
      <c r="B142" s="1285"/>
      <c r="C142" s="1286"/>
      <c r="D142" s="1286"/>
      <c r="E142" s="1286"/>
      <c r="F142" s="1286"/>
      <c r="G142" s="1286"/>
      <c r="H142" s="1286"/>
      <c r="I142" s="1286"/>
      <c r="J142" s="1286"/>
      <c r="K142" s="1286"/>
      <c r="L142" s="1286"/>
      <c r="M142" s="1286"/>
      <c r="N142" s="1286"/>
      <c r="O142" s="1286"/>
      <c r="P142" s="1286"/>
      <c r="Q142" s="547"/>
      <c r="R142" s="547"/>
      <c r="S142" s="547"/>
      <c r="T142" s="547"/>
      <c r="U142" s="547"/>
      <c r="V142" s="547"/>
      <c r="W142" s="547"/>
      <c r="X142" s="547"/>
      <c r="Y142" s="547"/>
      <c r="Z142" s="396"/>
      <c r="AA142" s="396"/>
      <c r="AB142" s="396"/>
      <c r="AC142" s="396"/>
      <c r="AD142" s="396"/>
      <c r="AE142" s="396"/>
      <c r="AF142" s="396"/>
      <c r="AG142" s="396"/>
      <c r="AH142" s="396"/>
      <c r="AI142" s="376"/>
      <c r="AJ142" s="376"/>
      <c r="AK142" s="376"/>
      <c r="AL142" s="376"/>
    </row>
    <row r="143" spans="1:38" x14ac:dyDescent="0.25">
      <c r="A143" s="1284"/>
      <c r="B143" s="1285"/>
      <c r="C143" s="1286"/>
      <c r="D143" s="1286"/>
      <c r="E143" s="1286"/>
      <c r="F143" s="1286"/>
      <c r="G143" s="1286"/>
      <c r="H143" s="1286"/>
      <c r="I143" s="1286"/>
      <c r="J143" s="1286"/>
      <c r="K143" s="1286"/>
      <c r="L143" s="1286"/>
      <c r="M143" s="1286"/>
      <c r="N143" s="1286"/>
      <c r="O143" s="1286"/>
      <c r="P143" s="1286"/>
      <c r="Q143" s="547"/>
      <c r="R143" s="547"/>
      <c r="S143" s="547"/>
      <c r="T143" s="547"/>
      <c r="U143" s="547"/>
      <c r="V143" s="547"/>
      <c r="W143" s="547"/>
      <c r="X143" s="547"/>
      <c r="Y143" s="547"/>
      <c r="Z143" s="396"/>
      <c r="AA143" s="396"/>
      <c r="AB143" s="396"/>
      <c r="AC143" s="396"/>
      <c r="AD143" s="396"/>
      <c r="AE143" s="396"/>
      <c r="AF143" s="396"/>
      <c r="AG143" s="396"/>
      <c r="AH143" s="396"/>
      <c r="AI143" s="376"/>
      <c r="AJ143" s="376"/>
      <c r="AK143" s="376"/>
      <c r="AL143" s="376"/>
    </row>
    <row r="144" spans="1:38" x14ac:dyDescent="0.25">
      <c r="A144" s="1284"/>
      <c r="B144" s="1285"/>
      <c r="C144" s="1286"/>
      <c r="D144" s="1286"/>
      <c r="E144" s="1286"/>
      <c r="F144" s="1286"/>
      <c r="G144" s="1286"/>
      <c r="H144" s="1286"/>
      <c r="I144" s="1286"/>
      <c r="J144" s="1286"/>
      <c r="K144" s="1286"/>
      <c r="L144" s="1286"/>
      <c r="M144" s="1286"/>
      <c r="N144" s="1286"/>
      <c r="O144" s="1286"/>
      <c r="P144" s="1286"/>
      <c r="Q144" s="547"/>
      <c r="R144" s="547"/>
      <c r="S144" s="547"/>
      <c r="T144" s="547"/>
      <c r="U144" s="547"/>
      <c r="V144" s="547"/>
      <c r="W144" s="547"/>
      <c r="X144" s="547"/>
      <c r="Y144" s="547"/>
      <c r="Z144" s="396"/>
      <c r="AA144" s="396"/>
      <c r="AB144" s="396"/>
      <c r="AC144" s="396"/>
      <c r="AD144" s="396"/>
      <c r="AE144" s="396"/>
      <c r="AF144" s="396"/>
      <c r="AG144" s="396"/>
      <c r="AH144" s="396"/>
      <c r="AI144" s="376"/>
      <c r="AJ144" s="376"/>
      <c r="AK144" s="376"/>
      <c r="AL144" s="376"/>
    </row>
    <row r="145" spans="1:38" x14ac:dyDescent="0.25">
      <c r="A145" s="1284"/>
      <c r="B145" s="1285"/>
      <c r="C145" s="1286"/>
      <c r="D145" s="1286"/>
      <c r="E145" s="1286"/>
      <c r="F145" s="1286"/>
      <c r="G145" s="1286"/>
      <c r="H145" s="1286"/>
      <c r="I145" s="1286"/>
      <c r="J145" s="1286"/>
      <c r="K145" s="1286"/>
      <c r="L145" s="1286"/>
      <c r="M145" s="1286"/>
      <c r="N145" s="1286"/>
      <c r="O145" s="1286"/>
      <c r="P145" s="1286"/>
      <c r="Q145" s="547"/>
      <c r="R145" s="547"/>
      <c r="S145" s="547"/>
      <c r="T145" s="547"/>
      <c r="U145" s="547"/>
      <c r="V145" s="547"/>
      <c r="W145" s="547"/>
      <c r="X145" s="547"/>
      <c r="Y145" s="547"/>
      <c r="Z145" s="396"/>
      <c r="AA145" s="396"/>
      <c r="AB145" s="396"/>
      <c r="AC145" s="396"/>
      <c r="AD145" s="396"/>
      <c r="AE145" s="396"/>
      <c r="AF145" s="396"/>
      <c r="AG145" s="396"/>
      <c r="AH145" s="396"/>
      <c r="AI145" s="376"/>
      <c r="AJ145" s="376"/>
      <c r="AK145" s="376"/>
      <c r="AL145" s="376"/>
    </row>
    <row r="146" spans="1:38" x14ac:dyDescent="0.25">
      <c r="A146" s="1284"/>
      <c r="B146" s="1285"/>
      <c r="C146" s="1286"/>
      <c r="D146" s="1286"/>
      <c r="E146" s="1286"/>
      <c r="F146" s="1286"/>
      <c r="G146" s="1286"/>
      <c r="H146" s="1286"/>
      <c r="I146" s="1286"/>
      <c r="J146" s="1286"/>
      <c r="K146" s="1286"/>
      <c r="L146" s="1286"/>
      <c r="M146" s="1286"/>
      <c r="N146" s="1286"/>
      <c r="O146" s="1286"/>
      <c r="P146" s="1286"/>
      <c r="Q146" s="547"/>
      <c r="R146" s="547"/>
      <c r="S146" s="547"/>
      <c r="T146" s="547"/>
      <c r="U146" s="547"/>
      <c r="V146" s="547"/>
      <c r="W146" s="547"/>
      <c r="X146" s="547"/>
      <c r="Y146" s="547"/>
      <c r="Z146" s="396"/>
      <c r="AA146" s="396"/>
      <c r="AB146" s="396"/>
      <c r="AC146" s="396"/>
      <c r="AD146" s="396"/>
      <c r="AE146" s="396"/>
      <c r="AF146" s="396"/>
      <c r="AG146" s="396"/>
      <c r="AH146" s="396"/>
      <c r="AI146" s="376"/>
      <c r="AJ146" s="376"/>
      <c r="AK146" s="376"/>
      <c r="AL146" s="376"/>
    </row>
    <row r="147" spans="1:38" x14ac:dyDescent="0.25">
      <c r="A147" s="1284"/>
      <c r="B147" s="1285"/>
      <c r="C147" s="1286"/>
      <c r="D147" s="1286"/>
      <c r="E147" s="1286"/>
      <c r="F147" s="1286"/>
      <c r="G147" s="1286"/>
      <c r="H147" s="1286"/>
      <c r="I147" s="1286"/>
      <c r="J147" s="1286"/>
      <c r="K147" s="1286"/>
      <c r="L147" s="1286"/>
      <c r="M147" s="1286"/>
      <c r="N147" s="1286"/>
      <c r="O147" s="1286"/>
      <c r="P147" s="1286"/>
      <c r="Q147" s="547"/>
      <c r="R147" s="547"/>
      <c r="S147" s="547"/>
      <c r="T147" s="547"/>
      <c r="U147" s="547"/>
      <c r="V147" s="547"/>
      <c r="W147" s="547"/>
      <c r="X147" s="547"/>
      <c r="Y147" s="547"/>
      <c r="Z147" s="396"/>
      <c r="AA147" s="396"/>
      <c r="AB147" s="396"/>
      <c r="AC147" s="396"/>
      <c r="AD147" s="396"/>
      <c r="AE147" s="396"/>
      <c r="AF147" s="396"/>
      <c r="AG147" s="396"/>
      <c r="AH147" s="396"/>
      <c r="AI147" s="376"/>
      <c r="AJ147" s="376"/>
      <c r="AK147" s="376"/>
      <c r="AL147" s="376"/>
    </row>
    <row r="148" spans="1:38" x14ac:dyDescent="0.25">
      <c r="A148" s="1284"/>
      <c r="B148" s="1285"/>
      <c r="C148" s="1286"/>
      <c r="D148" s="1286"/>
      <c r="E148" s="1286"/>
      <c r="F148" s="1286"/>
      <c r="G148" s="1286"/>
      <c r="H148" s="1286"/>
      <c r="I148" s="1286"/>
      <c r="J148" s="1286"/>
      <c r="K148" s="1286"/>
      <c r="L148" s="1286"/>
      <c r="M148" s="1286"/>
      <c r="N148" s="1286"/>
      <c r="O148" s="1286"/>
      <c r="P148" s="1286"/>
      <c r="Q148" s="547"/>
      <c r="R148" s="547"/>
      <c r="S148" s="547"/>
      <c r="T148" s="547"/>
      <c r="U148" s="547"/>
      <c r="V148" s="547"/>
      <c r="W148" s="547"/>
      <c r="X148" s="547"/>
      <c r="Y148" s="547"/>
      <c r="Z148" s="396"/>
      <c r="AA148" s="396"/>
      <c r="AB148" s="396"/>
      <c r="AC148" s="396"/>
      <c r="AD148" s="396"/>
      <c r="AE148" s="396"/>
      <c r="AF148" s="396"/>
      <c r="AG148" s="396"/>
      <c r="AH148" s="396"/>
      <c r="AI148" s="376"/>
      <c r="AJ148" s="376"/>
      <c r="AK148" s="376"/>
      <c r="AL148" s="376"/>
    </row>
    <row r="149" spans="1:38" x14ac:dyDescent="0.25">
      <c r="A149" s="1284"/>
      <c r="B149" s="1285"/>
      <c r="C149" s="1286"/>
      <c r="D149" s="1286"/>
      <c r="E149" s="1286"/>
      <c r="F149" s="1286"/>
      <c r="G149" s="1286"/>
      <c r="H149" s="1286"/>
      <c r="I149" s="1286"/>
      <c r="J149" s="1286"/>
      <c r="K149" s="1286"/>
      <c r="L149" s="1286"/>
      <c r="M149" s="1286"/>
      <c r="N149" s="1286"/>
      <c r="O149" s="1286"/>
      <c r="P149" s="1286"/>
      <c r="Q149" s="547"/>
      <c r="R149" s="547"/>
      <c r="S149" s="547"/>
      <c r="T149" s="547"/>
      <c r="U149" s="547"/>
      <c r="V149" s="547"/>
      <c r="W149" s="547"/>
      <c r="X149" s="547"/>
      <c r="Y149" s="547"/>
      <c r="Z149" s="396"/>
      <c r="AA149" s="396"/>
      <c r="AB149" s="396"/>
      <c r="AC149" s="396"/>
      <c r="AD149" s="396"/>
      <c r="AE149" s="396"/>
      <c r="AF149" s="396"/>
      <c r="AG149" s="396"/>
      <c r="AH149" s="396"/>
      <c r="AI149" s="376"/>
      <c r="AJ149" s="376"/>
      <c r="AK149" s="376"/>
      <c r="AL149" s="376"/>
    </row>
    <row r="150" spans="1:38" x14ac:dyDescent="0.25">
      <c r="A150" s="1284"/>
      <c r="B150" s="1285"/>
      <c r="C150" s="1286"/>
      <c r="D150" s="1286"/>
      <c r="E150" s="1286"/>
      <c r="F150" s="1286"/>
      <c r="G150" s="1286"/>
      <c r="H150" s="1286"/>
      <c r="I150" s="1286"/>
      <c r="J150" s="1286"/>
      <c r="K150" s="1286"/>
      <c r="L150" s="1286"/>
      <c r="M150" s="1286"/>
      <c r="N150" s="1286"/>
      <c r="O150" s="1286"/>
      <c r="P150" s="1286"/>
      <c r="Q150" s="547"/>
      <c r="R150" s="547"/>
      <c r="S150" s="547"/>
      <c r="T150" s="547"/>
      <c r="U150" s="547"/>
      <c r="V150" s="547"/>
      <c r="W150" s="547"/>
      <c r="X150" s="547"/>
      <c r="Y150" s="547"/>
      <c r="Z150" s="396"/>
      <c r="AA150" s="396"/>
      <c r="AB150" s="396"/>
      <c r="AC150" s="396"/>
      <c r="AD150" s="396"/>
      <c r="AE150" s="396"/>
      <c r="AF150" s="396"/>
      <c r="AG150" s="396"/>
      <c r="AH150" s="396"/>
      <c r="AI150" s="376"/>
      <c r="AJ150" s="376"/>
      <c r="AK150" s="376"/>
      <c r="AL150" s="376"/>
    </row>
    <row r="151" spans="1:38" x14ac:dyDescent="0.25">
      <c r="A151" s="1284"/>
      <c r="B151" s="1285"/>
      <c r="C151" s="1286"/>
      <c r="D151" s="1286"/>
      <c r="E151" s="1286"/>
      <c r="F151" s="1286"/>
      <c r="G151" s="1286"/>
      <c r="H151" s="1286"/>
      <c r="I151" s="1286"/>
      <c r="J151" s="1286"/>
      <c r="K151" s="1286"/>
      <c r="L151" s="1286"/>
      <c r="M151" s="1286"/>
      <c r="N151" s="1286"/>
      <c r="O151" s="1286"/>
      <c r="P151" s="1286"/>
      <c r="Q151" s="547"/>
      <c r="R151" s="547"/>
      <c r="S151" s="547"/>
      <c r="T151" s="547"/>
      <c r="U151" s="547"/>
      <c r="V151" s="547"/>
      <c r="W151" s="547"/>
      <c r="X151" s="547"/>
      <c r="Y151" s="547"/>
      <c r="Z151" s="396"/>
      <c r="AA151" s="396"/>
      <c r="AB151" s="396"/>
      <c r="AC151" s="396"/>
      <c r="AD151" s="396"/>
      <c r="AE151" s="396"/>
      <c r="AF151" s="396"/>
      <c r="AG151" s="396"/>
      <c r="AH151" s="396"/>
      <c r="AI151" s="376"/>
      <c r="AJ151" s="376"/>
      <c r="AK151" s="376"/>
      <c r="AL151" s="376"/>
    </row>
    <row r="152" spans="1:38" x14ac:dyDescent="0.25">
      <c r="A152" s="547"/>
      <c r="B152" s="1285"/>
      <c r="C152" s="1286"/>
      <c r="D152" s="1286"/>
      <c r="E152" s="1286"/>
      <c r="F152" s="1286"/>
      <c r="G152" s="1286"/>
      <c r="H152" s="1286"/>
      <c r="I152" s="1286"/>
      <c r="J152" s="1286"/>
      <c r="K152" s="1286"/>
      <c r="L152" s="1286"/>
      <c r="M152" s="1286"/>
      <c r="N152" s="1286"/>
      <c r="O152" s="1286"/>
      <c r="P152" s="1286"/>
      <c r="Q152" s="547"/>
      <c r="R152" s="547"/>
      <c r="S152" s="547"/>
      <c r="T152" s="547"/>
      <c r="U152" s="547"/>
      <c r="V152" s="547"/>
      <c r="W152" s="547"/>
      <c r="X152" s="547"/>
      <c r="Y152" s="547"/>
      <c r="Z152" s="396"/>
      <c r="AA152" s="396"/>
      <c r="AB152" s="396"/>
      <c r="AC152" s="396"/>
      <c r="AD152" s="396"/>
      <c r="AE152" s="396"/>
      <c r="AF152" s="396"/>
      <c r="AG152" s="396"/>
      <c r="AH152" s="396"/>
      <c r="AI152" s="376"/>
      <c r="AJ152" s="376"/>
      <c r="AK152" s="376"/>
      <c r="AL152" s="376"/>
    </row>
    <row r="153" spans="1:38" x14ac:dyDescent="0.25">
      <c r="A153" s="547"/>
      <c r="B153" s="1285"/>
      <c r="C153" s="1286"/>
      <c r="D153" s="1286"/>
      <c r="E153" s="1286"/>
      <c r="F153" s="1286"/>
      <c r="G153" s="1286"/>
      <c r="H153" s="1286"/>
      <c r="I153" s="1286"/>
      <c r="J153" s="1286"/>
      <c r="K153" s="1286"/>
      <c r="L153" s="1286"/>
      <c r="M153" s="1286"/>
      <c r="N153" s="1286"/>
      <c r="O153" s="1286"/>
      <c r="P153" s="1286"/>
      <c r="Q153" s="547"/>
      <c r="R153" s="547"/>
      <c r="S153" s="547"/>
      <c r="T153" s="547"/>
      <c r="U153" s="547"/>
      <c r="V153" s="547"/>
      <c r="W153" s="547"/>
      <c r="X153" s="547"/>
      <c r="Y153" s="547"/>
      <c r="Z153" s="396"/>
      <c r="AA153" s="396"/>
      <c r="AB153" s="396"/>
      <c r="AC153" s="396"/>
      <c r="AD153" s="396"/>
      <c r="AE153" s="396"/>
      <c r="AF153" s="396"/>
      <c r="AG153" s="396"/>
      <c r="AH153" s="396"/>
      <c r="AI153" s="376"/>
      <c r="AJ153" s="376"/>
      <c r="AK153" s="376"/>
      <c r="AL153" s="376"/>
    </row>
    <row r="154" spans="1:38" x14ac:dyDescent="0.25">
      <c r="A154" s="547"/>
      <c r="B154" s="547"/>
      <c r="C154" s="1286"/>
      <c r="D154" s="1286"/>
      <c r="E154" s="1286"/>
      <c r="F154" s="1286"/>
      <c r="G154" s="1286"/>
      <c r="H154" s="1286"/>
      <c r="I154" s="1286"/>
      <c r="J154" s="1286"/>
      <c r="K154" s="1286"/>
      <c r="L154" s="1286"/>
      <c r="M154" s="1286"/>
      <c r="N154" s="1286"/>
      <c r="O154" s="1286"/>
      <c r="P154" s="1286"/>
      <c r="Q154" s="547"/>
      <c r="R154" s="547"/>
      <c r="S154" s="547"/>
      <c r="T154" s="547"/>
      <c r="U154" s="547"/>
      <c r="V154" s="547"/>
      <c r="W154" s="547"/>
      <c r="X154" s="547"/>
      <c r="Y154" s="547"/>
      <c r="Z154" s="396"/>
      <c r="AA154" s="396"/>
      <c r="AB154" s="396"/>
      <c r="AC154" s="396"/>
      <c r="AD154" s="396"/>
      <c r="AE154" s="396"/>
      <c r="AF154" s="396"/>
      <c r="AG154" s="396"/>
      <c r="AH154" s="396"/>
      <c r="AI154" s="376"/>
      <c r="AJ154" s="376"/>
      <c r="AK154" s="376"/>
      <c r="AL154" s="376"/>
    </row>
    <row r="155" spans="1:38" x14ac:dyDescent="0.25">
      <c r="A155" s="1284"/>
      <c r="B155" s="1285"/>
      <c r="C155" s="1286"/>
      <c r="D155" s="1286"/>
      <c r="E155" s="1286"/>
      <c r="F155" s="1286"/>
      <c r="G155" s="1286"/>
      <c r="H155" s="1286"/>
      <c r="I155" s="1286"/>
      <c r="J155" s="1286"/>
      <c r="K155" s="1286"/>
      <c r="L155" s="1286"/>
      <c r="M155" s="1286"/>
      <c r="N155" s="1286"/>
      <c r="O155" s="1286"/>
      <c r="P155" s="1286"/>
      <c r="Q155" s="547"/>
      <c r="R155" s="547"/>
      <c r="S155" s="547"/>
      <c r="T155" s="547"/>
      <c r="U155" s="547"/>
      <c r="V155" s="547"/>
      <c r="W155" s="547"/>
      <c r="X155" s="547"/>
      <c r="Y155" s="547"/>
      <c r="Z155" s="396"/>
      <c r="AA155" s="396"/>
      <c r="AB155" s="396"/>
      <c r="AC155" s="396"/>
      <c r="AD155" s="396"/>
      <c r="AE155" s="396"/>
      <c r="AF155" s="396"/>
      <c r="AG155" s="396"/>
      <c r="AH155" s="396"/>
      <c r="AI155" s="376"/>
      <c r="AJ155" s="376"/>
      <c r="AK155" s="376"/>
      <c r="AL155" s="376"/>
    </row>
    <row r="156" spans="1:38" x14ac:dyDescent="0.25">
      <c r="A156" s="1284"/>
      <c r="B156" s="1285"/>
      <c r="C156" s="1286"/>
      <c r="D156" s="1286"/>
      <c r="E156" s="1286"/>
      <c r="F156" s="1286"/>
      <c r="G156" s="1286"/>
      <c r="H156" s="1286"/>
      <c r="I156" s="1286"/>
      <c r="J156" s="1286"/>
      <c r="K156" s="1286"/>
      <c r="L156" s="1286"/>
      <c r="M156" s="1286"/>
      <c r="N156" s="1286"/>
      <c r="O156" s="1286"/>
      <c r="P156" s="1286"/>
      <c r="Q156" s="547"/>
      <c r="R156" s="547"/>
      <c r="S156" s="547"/>
      <c r="T156" s="547"/>
      <c r="U156" s="547"/>
      <c r="V156" s="547"/>
      <c r="W156" s="547"/>
      <c r="X156" s="547"/>
      <c r="Y156" s="547"/>
      <c r="Z156" s="396"/>
      <c r="AA156" s="396"/>
      <c r="AB156" s="396"/>
      <c r="AC156" s="396"/>
      <c r="AD156" s="396"/>
      <c r="AE156" s="396"/>
      <c r="AF156" s="396"/>
      <c r="AG156" s="396"/>
      <c r="AH156" s="396"/>
      <c r="AI156" s="376"/>
      <c r="AJ156" s="376"/>
      <c r="AK156" s="376"/>
      <c r="AL156" s="376"/>
    </row>
    <row r="157" spans="1:38" x14ac:dyDescent="0.25">
      <c r="A157" s="1284"/>
      <c r="B157" s="1285"/>
      <c r="C157" s="1286"/>
      <c r="D157" s="1286"/>
      <c r="E157" s="1286"/>
      <c r="F157" s="1286"/>
      <c r="G157" s="1286"/>
      <c r="H157" s="1286"/>
      <c r="I157" s="1286"/>
      <c r="J157" s="1286"/>
      <c r="K157" s="1286"/>
      <c r="L157" s="1286"/>
      <c r="M157" s="1286"/>
      <c r="N157" s="1286"/>
      <c r="O157" s="1286"/>
      <c r="P157" s="1286"/>
      <c r="Q157" s="547"/>
      <c r="R157" s="547"/>
      <c r="S157" s="547"/>
      <c r="T157" s="547"/>
      <c r="U157" s="547"/>
      <c r="V157" s="547"/>
      <c r="W157" s="547"/>
      <c r="X157" s="547"/>
      <c r="Y157" s="547"/>
      <c r="Z157" s="396"/>
      <c r="AA157" s="396"/>
      <c r="AB157" s="396"/>
      <c r="AC157" s="396"/>
      <c r="AD157" s="396"/>
      <c r="AE157" s="396"/>
      <c r="AF157" s="396"/>
      <c r="AG157" s="396"/>
      <c r="AH157" s="396"/>
      <c r="AI157" s="376"/>
      <c r="AJ157" s="376"/>
      <c r="AK157" s="376"/>
      <c r="AL157" s="376"/>
    </row>
    <row r="158" spans="1:38" x14ac:dyDescent="0.25">
      <c r="A158" s="1284"/>
      <c r="B158" s="1285"/>
      <c r="C158" s="1286"/>
      <c r="D158" s="1286"/>
      <c r="E158" s="1286"/>
      <c r="F158" s="1286"/>
      <c r="G158" s="1286"/>
      <c r="H158" s="1286"/>
      <c r="I158" s="1286"/>
      <c r="J158" s="1286"/>
      <c r="K158" s="1286"/>
      <c r="L158" s="1286"/>
      <c r="M158" s="1286"/>
      <c r="N158" s="1286"/>
      <c r="O158" s="1286"/>
      <c r="P158" s="1286"/>
      <c r="Q158" s="547"/>
      <c r="R158" s="547"/>
      <c r="S158" s="547"/>
      <c r="T158" s="547"/>
      <c r="U158" s="547"/>
      <c r="V158" s="547"/>
      <c r="W158" s="547"/>
      <c r="X158" s="547"/>
      <c r="Y158" s="547"/>
      <c r="Z158" s="396"/>
      <c r="AA158" s="396"/>
      <c r="AB158" s="396"/>
      <c r="AC158" s="396"/>
      <c r="AD158" s="396"/>
      <c r="AE158" s="396"/>
      <c r="AF158" s="396"/>
      <c r="AG158" s="396"/>
      <c r="AH158" s="396"/>
      <c r="AI158" s="376"/>
      <c r="AJ158" s="376"/>
      <c r="AK158" s="376"/>
      <c r="AL158" s="376"/>
    </row>
    <row r="159" spans="1:38" x14ac:dyDescent="0.25">
      <c r="A159" s="1284"/>
      <c r="B159" s="1285"/>
      <c r="C159" s="1286"/>
      <c r="D159" s="1286"/>
      <c r="E159" s="1286"/>
      <c r="F159" s="1286"/>
      <c r="G159" s="1286"/>
      <c r="H159" s="1286"/>
      <c r="I159" s="1286"/>
      <c r="J159" s="1286"/>
      <c r="K159" s="1286"/>
      <c r="L159" s="1286"/>
      <c r="M159" s="1286"/>
      <c r="N159" s="1286"/>
      <c r="O159" s="1286"/>
      <c r="P159" s="1286"/>
      <c r="Q159" s="547"/>
      <c r="R159" s="547"/>
      <c r="S159" s="547"/>
      <c r="T159" s="547"/>
      <c r="U159" s="547"/>
      <c r="V159" s="547"/>
      <c r="W159" s="547"/>
      <c r="X159" s="547"/>
      <c r="Y159" s="547"/>
      <c r="Z159" s="396"/>
      <c r="AA159" s="396"/>
      <c r="AB159" s="396"/>
      <c r="AC159" s="396"/>
      <c r="AD159" s="396"/>
      <c r="AE159" s="396"/>
      <c r="AF159" s="396"/>
      <c r="AG159" s="396"/>
      <c r="AH159" s="396"/>
      <c r="AI159" s="376"/>
      <c r="AJ159" s="376"/>
      <c r="AK159" s="376"/>
      <c r="AL159" s="376"/>
    </row>
    <row r="160" spans="1:38" x14ac:dyDescent="0.25">
      <c r="A160" s="1284"/>
      <c r="B160" s="1285"/>
      <c r="C160" s="1286"/>
      <c r="D160" s="1286"/>
      <c r="E160" s="1286"/>
      <c r="F160" s="1286"/>
      <c r="G160" s="1286"/>
      <c r="H160" s="1286"/>
      <c r="I160" s="1286"/>
      <c r="J160" s="1286"/>
      <c r="K160" s="1286"/>
      <c r="L160" s="1286"/>
      <c r="M160" s="1286"/>
      <c r="N160" s="1286"/>
      <c r="O160" s="1286"/>
      <c r="P160" s="1286"/>
      <c r="Q160" s="547"/>
      <c r="R160" s="547"/>
      <c r="S160" s="547"/>
      <c r="T160" s="547"/>
      <c r="U160" s="547"/>
      <c r="V160" s="547"/>
      <c r="W160" s="547"/>
      <c r="X160" s="547"/>
      <c r="Y160" s="547"/>
      <c r="Z160" s="396"/>
      <c r="AA160" s="396"/>
      <c r="AB160" s="396"/>
      <c r="AC160" s="396"/>
      <c r="AD160" s="396"/>
      <c r="AE160" s="396"/>
      <c r="AF160" s="396"/>
      <c r="AG160" s="396"/>
      <c r="AH160" s="396"/>
      <c r="AI160" s="376"/>
      <c r="AJ160" s="376"/>
      <c r="AK160" s="376"/>
      <c r="AL160" s="376"/>
    </row>
    <row r="161" spans="1:38" x14ac:dyDescent="0.25">
      <c r="A161" s="1284"/>
      <c r="B161" s="1285"/>
      <c r="C161" s="1286"/>
      <c r="D161" s="1286"/>
      <c r="E161" s="1286"/>
      <c r="F161" s="1286"/>
      <c r="G161" s="1286"/>
      <c r="H161" s="1286"/>
      <c r="I161" s="1286"/>
      <c r="J161" s="1286"/>
      <c r="K161" s="1286"/>
      <c r="L161" s="1286"/>
      <c r="M161" s="1286"/>
      <c r="N161" s="1286"/>
      <c r="O161" s="1286"/>
      <c r="P161" s="1286"/>
      <c r="Q161" s="547"/>
      <c r="R161" s="547"/>
      <c r="S161" s="547"/>
      <c r="T161" s="547"/>
      <c r="U161" s="547"/>
      <c r="V161" s="547"/>
      <c r="W161" s="547"/>
      <c r="X161" s="547"/>
      <c r="Y161" s="547"/>
      <c r="Z161" s="396"/>
      <c r="AA161" s="396"/>
      <c r="AB161" s="396"/>
      <c r="AC161" s="396"/>
      <c r="AD161" s="396"/>
      <c r="AE161" s="396"/>
      <c r="AF161" s="396"/>
      <c r="AG161" s="396"/>
      <c r="AH161" s="396"/>
      <c r="AI161" s="376"/>
      <c r="AJ161" s="376"/>
      <c r="AK161" s="376"/>
      <c r="AL161" s="376"/>
    </row>
    <row r="162" spans="1:38" x14ac:dyDescent="0.25">
      <c r="A162" s="1284"/>
      <c r="B162" s="1285"/>
      <c r="C162" s="1286"/>
      <c r="D162" s="1286"/>
      <c r="E162" s="1286"/>
      <c r="F162" s="1286"/>
      <c r="G162" s="1286"/>
      <c r="H162" s="1286"/>
      <c r="I162" s="1286"/>
      <c r="J162" s="1286"/>
      <c r="K162" s="1286"/>
      <c r="L162" s="1286"/>
      <c r="M162" s="1286"/>
      <c r="N162" s="1286"/>
      <c r="O162" s="1286"/>
      <c r="P162" s="1286"/>
      <c r="Q162" s="547"/>
      <c r="R162" s="547"/>
      <c r="S162" s="547"/>
      <c r="T162" s="547"/>
      <c r="U162" s="547"/>
      <c r="V162" s="547"/>
      <c r="W162" s="547"/>
      <c r="X162" s="547"/>
      <c r="Y162" s="547"/>
      <c r="Z162" s="396"/>
      <c r="AA162" s="396"/>
      <c r="AB162" s="396"/>
      <c r="AC162" s="396"/>
      <c r="AD162" s="396"/>
      <c r="AE162" s="396"/>
      <c r="AF162" s="396"/>
      <c r="AG162" s="396"/>
      <c r="AH162" s="396"/>
      <c r="AI162" s="376"/>
      <c r="AJ162" s="376"/>
      <c r="AK162" s="376"/>
      <c r="AL162" s="376"/>
    </row>
    <row r="163" spans="1:38" x14ac:dyDescent="0.25">
      <c r="A163" s="1284"/>
      <c r="B163" s="1287"/>
      <c r="C163" s="1288"/>
      <c r="D163" s="1288"/>
      <c r="E163" s="1288"/>
      <c r="F163" s="1288"/>
      <c r="G163" s="1288"/>
      <c r="H163" s="1288"/>
      <c r="I163" s="1288"/>
      <c r="J163" s="1288"/>
      <c r="K163" s="1288"/>
      <c r="L163" s="1288"/>
      <c r="M163" s="1288"/>
      <c r="N163" s="1288"/>
      <c r="O163" s="1288"/>
      <c r="P163" s="1288"/>
      <c r="Q163" s="396"/>
      <c r="R163" s="396"/>
      <c r="S163" s="396"/>
      <c r="T163" s="396"/>
      <c r="U163" s="396"/>
      <c r="V163" s="396"/>
      <c r="W163" s="396"/>
      <c r="X163" s="396"/>
      <c r="Y163" s="396"/>
      <c r="Z163" s="396"/>
      <c r="AA163" s="396"/>
      <c r="AB163" s="396"/>
      <c r="AC163" s="396"/>
      <c r="AD163" s="396"/>
      <c r="AE163" s="396"/>
      <c r="AF163" s="396"/>
      <c r="AG163" s="396"/>
      <c r="AH163" s="396"/>
      <c r="AI163" s="376"/>
      <c r="AJ163" s="376"/>
      <c r="AK163" s="376"/>
      <c r="AL163" s="376"/>
    </row>
    <row r="164" spans="1:38" x14ac:dyDescent="0.25">
      <c r="A164" s="396"/>
      <c r="B164" s="1287"/>
      <c r="C164" s="1288"/>
      <c r="D164" s="1288"/>
      <c r="E164" s="1288"/>
      <c r="F164" s="1288"/>
      <c r="G164" s="1288"/>
      <c r="H164" s="1288"/>
      <c r="I164" s="1288"/>
      <c r="J164" s="1288"/>
      <c r="K164" s="1288"/>
      <c r="L164" s="1288"/>
      <c r="M164" s="1288"/>
      <c r="N164" s="1288"/>
      <c r="O164" s="1288"/>
      <c r="P164" s="1288"/>
      <c r="Q164" s="396"/>
      <c r="R164" s="396"/>
      <c r="S164" s="396"/>
      <c r="T164" s="396"/>
      <c r="U164" s="396"/>
      <c r="V164" s="396"/>
      <c r="W164" s="396"/>
      <c r="X164" s="396"/>
      <c r="Y164" s="396"/>
      <c r="Z164" s="396"/>
      <c r="AA164" s="396"/>
      <c r="AB164" s="396"/>
      <c r="AC164" s="396"/>
      <c r="AD164" s="396"/>
      <c r="AE164" s="396"/>
      <c r="AF164" s="396"/>
      <c r="AG164" s="396"/>
      <c r="AH164" s="396"/>
      <c r="AI164" s="376"/>
      <c r="AJ164" s="376"/>
      <c r="AK164" s="376"/>
      <c r="AL164" s="376"/>
    </row>
    <row r="165" spans="1:38" x14ac:dyDescent="0.25">
      <c r="A165" s="396"/>
      <c r="B165" s="1287"/>
      <c r="C165" s="1288"/>
      <c r="D165" s="1288"/>
      <c r="E165" s="1288"/>
      <c r="F165" s="1288"/>
      <c r="G165" s="1288"/>
      <c r="H165" s="1286"/>
      <c r="I165" s="1286"/>
      <c r="J165" s="1286"/>
      <c r="K165" s="1288"/>
      <c r="L165" s="1288"/>
      <c r="M165" s="1288"/>
      <c r="N165" s="1288"/>
      <c r="O165" s="1288"/>
      <c r="P165" s="1288"/>
      <c r="Q165" s="396"/>
      <c r="R165" s="396"/>
      <c r="S165" s="396"/>
      <c r="T165" s="396"/>
      <c r="U165" s="396"/>
      <c r="V165" s="396"/>
      <c r="W165" s="396"/>
      <c r="X165" s="396"/>
      <c r="Y165" s="396"/>
      <c r="Z165" s="396"/>
      <c r="AA165" s="396"/>
      <c r="AB165" s="396"/>
      <c r="AC165" s="396"/>
      <c r="AD165" s="396"/>
      <c r="AE165" s="396"/>
      <c r="AF165" s="396"/>
      <c r="AG165" s="396"/>
      <c r="AH165" s="396"/>
      <c r="AI165" s="376"/>
      <c r="AJ165" s="376"/>
      <c r="AK165" s="376"/>
      <c r="AL165" s="376"/>
    </row>
    <row r="166" spans="1:38" x14ac:dyDescent="0.25">
      <c r="A166" s="396"/>
      <c r="B166" s="396"/>
      <c r="C166" s="1288"/>
      <c r="D166" s="1288"/>
      <c r="E166" s="1288"/>
      <c r="F166" s="1288"/>
      <c r="G166" s="1288"/>
      <c r="H166" s="1286"/>
      <c r="I166" s="1286"/>
      <c r="J166" s="1286"/>
      <c r="K166" s="1288"/>
      <c r="L166" s="396"/>
      <c r="M166" s="396"/>
      <c r="N166" s="396"/>
      <c r="O166" s="396"/>
      <c r="P166" s="396"/>
      <c r="Q166" s="396"/>
      <c r="R166" s="396"/>
      <c r="S166" s="396"/>
      <c r="T166" s="396"/>
      <c r="U166" s="396"/>
      <c r="V166" s="396"/>
      <c r="W166" s="396"/>
      <c r="X166" s="396"/>
      <c r="Y166" s="396"/>
      <c r="Z166" s="396"/>
      <c r="AA166" s="396"/>
      <c r="AB166" s="396"/>
      <c r="AC166" s="396"/>
      <c r="AD166" s="396"/>
      <c r="AE166" s="396"/>
      <c r="AF166" s="396"/>
      <c r="AG166" s="396"/>
      <c r="AH166" s="396"/>
      <c r="AI166" s="376"/>
      <c r="AJ166" s="376"/>
      <c r="AK166" s="376"/>
      <c r="AL166" s="376"/>
    </row>
    <row r="167" spans="1:38" x14ac:dyDescent="0.25">
      <c r="A167" s="396"/>
      <c r="B167" s="396"/>
      <c r="C167" s="396"/>
      <c r="D167" s="396"/>
      <c r="E167" s="396"/>
      <c r="F167" s="396"/>
      <c r="G167" s="396"/>
      <c r="H167" s="547"/>
      <c r="I167" s="1507"/>
      <c r="J167" s="547"/>
      <c r="K167" s="396"/>
      <c r="L167" s="396"/>
      <c r="M167" s="396"/>
      <c r="N167" s="396"/>
      <c r="O167" s="396"/>
      <c r="P167" s="396"/>
      <c r="Q167" s="396"/>
      <c r="R167" s="396"/>
      <c r="S167" s="396"/>
      <c r="T167" s="396"/>
      <c r="U167" s="396"/>
      <c r="V167" s="396"/>
      <c r="W167" s="396"/>
      <c r="X167" s="396"/>
      <c r="Y167" s="396"/>
      <c r="Z167" s="396"/>
      <c r="AA167" s="396"/>
      <c r="AB167" s="396"/>
      <c r="AC167" s="396"/>
      <c r="AD167" s="396"/>
      <c r="AE167" s="396"/>
      <c r="AF167" s="396"/>
      <c r="AG167" s="396"/>
      <c r="AH167" s="396"/>
      <c r="AI167" s="376"/>
      <c r="AJ167" s="376"/>
      <c r="AK167" s="376"/>
      <c r="AL167" s="376"/>
    </row>
    <row r="168" spans="1:38" x14ac:dyDescent="0.25">
      <c r="A168" s="1284"/>
      <c r="B168" s="396"/>
      <c r="C168" s="396"/>
      <c r="D168" s="396"/>
      <c r="E168" s="396"/>
      <c r="F168" s="396"/>
      <c r="G168" s="396"/>
      <c r="H168" s="547"/>
      <c r="I168" s="547"/>
      <c r="J168" s="547"/>
      <c r="K168" s="396"/>
      <c r="L168" s="396"/>
      <c r="M168" s="396"/>
      <c r="N168" s="396"/>
      <c r="O168" s="396"/>
      <c r="P168" s="396"/>
      <c r="Q168" s="396"/>
      <c r="R168" s="396"/>
      <c r="S168" s="396"/>
      <c r="T168" s="396"/>
      <c r="U168" s="396"/>
      <c r="V168" s="396"/>
      <c r="W168" s="396"/>
      <c r="X168" s="396"/>
      <c r="Y168" s="396"/>
      <c r="Z168" s="396"/>
      <c r="AA168" s="396"/>
      <c r="AB168" s="396"/>
      <c r="AC168" s="396"/>
      <c r="AD168" s="396"/>
      <c r="AE168" s="396"/>
      <c r="AF168" s="396"/>
      <c r="AG168" s="396"/>
      <c r="AH168" s="396"/>
      <c r="AI168" s="376"/>
      <c r="AJ168" s="376"/>
      <c r="AK168" s="376"/>
      <c r="AL168" s="376"/>
    </row>
    <row r="169" spans="1:38" x14ac:dyDescent="0.25">
      <c r="A169" s="1284"/>
      <c r="B169" s="396"/>
      <c r="C169" s="396"/>
      <c r="D169" s="396"/>
      <c r="E169" s="396"/>
      <c r="F169" s="396"/>
      <c r="G169" s="396"/>
      <c r="H169" s="396"/>
      <c r="I169" s="396"/>
      <c r="J169" s="396"/>
      <c r="K169" s="396"/>
      <c r="L169" s="396"/>
      <c r="M169" s="396"/>
      <c r="N169" s="396"/>
      <c r="O169" s="396"/>
      <c r="P169" s="396"/>
      <c r="Q169" s="396"/>
      <c r="R169" s="396"/>
      <c r="S169" s="396"/>
      <c r="T169" s="396"/>
      <c r="U169" s="396"/>
      <c r="V169" s="396"/>
      <c r="W169" s="396"/>
      <c r="X169" s="396"/>
      <c r="Y169" s="396"/>
      <c r="Z169" s="396"/>
      <c r="AA169" s="396"/>
      <c r="AB169" s="396"/>
      <c r="AC169" s="396"/>
      <c r="AD169" s="396"/>
      <c r="AE169" s="396"/>
      <c r="AF169" s="396"/>
      <c r="AG169" s="396"/>
      <c r="AH169" s="396"/>
      <c r="AI169" s="376"/>
      <c r="AJ169" s="376"/>
      <c r="AK169" s="376"/>
      <c r="AL169" s="376"/>
    </row>
    <row r="170" spans="1:38" x14ac:dyDescent="0.25">
      <c r="A170" s="1284"/>
      <c r="B170" s="396"/>
      <c r="C170" s="396"/>
      <c r="D170" s="396"/>
      <c r="E170" s="396"/>
      <c r="F170" s="396"/>
      <c r="G170" s="396"/>
      <c r="H170" s="396"/>
      <c r="I170" s="396"/>
      <c r="J170" s="396"/>
      <c r="K170" s="396"/>
      <c r="L170" s="396"/>
      <c r="M170" s="396"/>
      <c r="N170" s="396"/>
      <c r="O170" s="396"/>
      <c r="P170" s="396"/>
      <c r="Q170" s="396"/>
      <c r="R170" s="396"/>
      <c r="S170" s="396"/>
      <c r="T170" s="396"/>
      <c r="U170" s="396"/>
      <c r="V170" s="396"/>
      <c r="W170" s="396"/>
      <c r="X170" s="396"/>
      <c r="Y170" s="396"/>
      <c r="Z170" s="396"/>
      <c r="AA170" s="396"/>
      <c r="AB170" s="396"/>
      <c r="AC170" s="396"/>
      <c r="AD170" s="396"/>
      <c r="AE170" s="396"/>
      <c r="AF170" s="396"/>
      <c r="AG170" s="396"/>
      <c r="AH170" s="396"/>
      <c r="AI170" s="376"/>
      <c r="AJ170" s="376"/>
      <c r="AK170" s="376"/>
      <c r="AL170" s="376"/>
    </row>
    <row r="171" spans="1:38" x14ac:dyDescent="0.25">
      <c r="A171" s="1284"/>
      <c r="B171" s="396"/>
      <c r="C171" s="396"/>
      <c r="D171" s="396"/>
      <c r="E171" s="396"/>
      <c r="F171" s="396"/>
      <c r="G171" s="396"/>
      <c r="H171" s="396"/>
      <c r="I171" s="396"/>
      <c r="J171" s="396"/>
      <c r="K171" s="396"/>
      <c r="L171" s="396"/>
      <c r="M171" s="396"/>
      <c r="N171" s="396"/>
      <c r="O171" s="396"/>
      <c r="P171" s="396"/>
      <c r="Q171" s="396"/>
      <c r="R171" s="396"/>
      <c r="S171" s="396"/>
      <c r="T171" s="396"/>
      <c r="U171" s="396"/>
      <c r="V171" s="396"/>
      <c r="W171" s="396"/>
      <c r="X171" s="396"/>
      <c r="Y171" s="396"/>
      <c r="Z171" s="396"/>
      <c r="AA171" s="396"/>
      <c r="AB171" s="396"/>
      <c r="AC171" s="396"/>
      <c r="AD171" s="396"/>
      <c r="AE171" s="396"/>
      <c r="AF171" s="396"/>
      <c r="AG171" s="396"/>
      <c r="AH171" s="396"/>
      <c r="AI171" s="376"/>
      <c r="AJ171" s="376"/>
      <c r="AK171" s="376"/>
      <c r="AL171" s="376"/>
    </row>
    <row r="172" spans="1:38" x14ac:dyDescent="0.25">
      <c r="A172" s="1284"/>
      <c r="B172" s="396"/>
      <c r="C172" s="396"/>
      <c r="D172" s="396"/>
      <c r="E172" s="396"/>
      <c r="F172" s="396"/>
      <c r="G172" s="396"/>
      <c r="H172" s="396"/>
      <c r="I172" s="396"/>
      <c r="J172" s="396"/>
      <c r="K172" s="396"/>
      <c r="L172" s="396"/>
      <c r="M172" s="396"/>
      <c r="N172" s="396"/>
      <c r="O172" s="396"/>
      <c r="P172" s="396"/>
      <c r="Q172" s="396"/>
      <c r="R172" s="396"/>
      <c r="S172" s="396"/>
      <c r="T172" s="396"/>
      <c r="U172" s="396"/>
      <c r="V172" s="396"/>
      <c r="W172" s="396"/>
      <c r="X172" s="396"/>
      <c r="Y172" s="396"/>
      <c r="Z172" s="396"/>
      <c r="AA172" s="396"/>
      <c r="AB172" s="396"/>
      <c r="AC172" s="396"/>
      <c r="AD172" s="396"/>
      <c r="AE172" s="396"/>
      <c r="AF172" s="396"/>
      <c r="AG172" s="396"/>
      <c r="AH172" s="396"/>
      <c r="AI172" s="376"/>
      <c r="AJ172" s="376"/>
      <c r="AK172" s="376"/>
      <c r="AL172" s="376"/>
    </row>
    <row r="173" spans="1:38" x14ac:dyDescent="0.25">
      <c r="A173" s="1284"/>
      <c r="B173" s="396"/>
      <c r="C173" s="396"/>
      <c r="D173" s="396"/>
      <c r="E173" s="396"/>
      <c r="F173" s="396"/>
      <c r="G173" s="396"/>
      <c r="H173" s="396"/>
      <c r="I173" s="396"/>
      <c r="J173" s="396"/>
      <c r="K173" s="396"/>
      <c r="L173" s="396"/>
      <c r="M173" s="396"/>
      <c r="N173" s="396"/>
      <c r="O173" s="396"/>
      <c r="P173" s="396"/>
      <c r="Q173" s="396"/>
      <c r="R173" s="396"/>
      <c r="S173" s="396"/>
      <c r="T173" s="396"/>
      <c r="U173" s="396"/>
      <c r="V173" s="396"/>
      <c r="W173" s="396"/>
      <c r="X173" s="396"/>
      <c r="Y173" s="396"/>
      <c r="Z173" s="396"/>
      <c r="AA173" s="396"/>
      <c r="AB173" s="396"/>
      <c r="AC173" s="396"/>
      <c r="AD173" s="396"/>
      <c r="AE173" s="396"/>
      <c r="AF173" s="396"/>
      <c r="AG173" s="396"/>
      <c r="AH173" s="396"/>
      <c r="AI173" s="376"/>
      <c r="AJ173" s="376"/>
      <c r="AK173" s="376"/>
      <c r="AL173" s="376"/>
    </row>
    <row r="174" spans="1:38" x14ac:dyDescent="0.25">
      <c r="A174" s="1284"/>
      <c r="B174" s="396"/>
      <c r="C174" s="396"/>
      <c r="D174" s="396"/>
      <c r="E174" s="396"/>
      <c r="F174" s="396"/>
      <c r="G174" s="396"/>
      <c r="H174" s="396"/>
      <c r="I174" s="396"/>
      <c r="J174" s="396"/>
      <c r="K174" s="396"/>
      <c r="L174" s="396"/>
      <c r="M174" s="396"/>
      <c r="N174" s="396"/>
      <c r="O174" s="396"/>
      <c r="P174" s="396"/>
      <c r="Q174" s="396"/>
      <c r="R174" s="396"/>
      <c r="S174" s="396"/>
      <c r="T174" s="396"/>
      <c r="U174" s="396"/>
      <c r="V174" s="396"/>
      <c r="W174" s="396"/>
      <c r="X174" s="396"/>
      <c r="Y174" s="396"/>
      <c r="Z174" s="396"/>
      <c r="AA174" s="396"/>
      <c r="AB174" s="396"/>
      <c r="AC174" s="396"/>
      <c r="AD174" s="396"/>
      <c r="AE174" s="396"/>
      <c r="AF174" s="396"/>
      <c r="AG174" s="396"/>
      <c r="AH174" s="396"/>
      <c r="AI174" s="376"/>
      <c r="AJ174" s="376"/>
      <c r="AK174" s="376"/>
      <c r="AL174" s="376"/>
    </row>
    <row r="175" spans="1:38" x14ac:dyDescent="0.25">
      <c r="A175" s="1284"/>
      <c r="B175" s="396"/>
      <c r="C175" s="396"/>
      <c r="D175" s="396"/>
      <c r="E175" s="396"/>
      <c r="F175" s="396"/>
      <c r="G175" s="396"/>
      <c r="H175" s="396"/>
      <c r="I175" s="396"/>
      <c r="J175" s="396"/>
      <c r="K175" s="396"/>
      <c r="L175" s="396"/>
      <c r="M175" s="396"/>
      <c r="N175" s="396"/>
      <c r="O175" s="396"/>
      <c r="P175" s="396"/>
      <c r="Q175" s="396"/>
      <c r="R175" s="396"/>
      <c r="S175" s="396"/>
      <c r="T175" s="396"/>
      <c r="U175" s="396"/>
      <c r="V175" s="396"/>
      <c r="W175" s="396"/>
      <c r="X175" s="396"/>
      <c r="Y175" s="396"/>
      <c r="Z175" s="396"/>
      <c r="AA175" s="396"/>
      <c r="AB175" s="396"/>
      <c r="AC175" s="396"/>
      <c r="AD175" s="396"/>
      <c r="AE175" s="396"/>
      <c r="AF175" s="396"/>
      <c r="AG175" s="396"/>
      <c r="AH175" s="396"/>
      <c r="AI175" s="376"/>
      <c r="AJ175" s="376"/>
      <c r="AK175" s="376"/>
      <c r="AL175" s="376"/>
    </row>
    <row r="176" spans="1:38" x14ac:dyDescent="0.25">
      <c r="A176" s="1284"/>
      <c r="B176" s="396"/>
      <c r="C176" s="396"/>
      <c r="D176" s="396"/>
      <c r="E176" s="396"/>
      <c r="F176" s="396"/>
      <c r="G176" s="396"/>
      <c r="H176" s="396"/>
      <c r="I176" s="396"/>
      <c r="J176" s="396"/>
      <c r="K176" s="396"/>
      <c r="L176" s="396"/>
      <c r="M176" s="396"/>
      <c r="N176" s="396"/>
      <c r="O176" s="396"/>
      <c r="P176" s="396"/>
      <c r="Q176" s="396"/>
      <c r="R176" s="396"/>
      <c r="S176" s="396"/>
      <c r="T176" s="396"/>
      <c r="U176" s="396"/>
      <c r="V176" s="396"/>
      <c r="W176" s="396"/>
      <c r="X176" s="396"/>
      <c r="Y176" s="396"/>
      <c r="Z176" s="396"/>
      <c r="AA176" s="396"/>
      <c r="AB176" s="396"/>
      <c r="AC176" s="396"/>
      <c r="AD176" s="396"/>
      <c r="AE176" s="396"/>
      <c r="AF176" s="396"/>
      <c r="AG176" s="396"/>
      <c r="AH176" s="396"/>
      <c r="AI176" s="376"/>
      <c r="AJ176" s="376"/>
      <c r="AK176" s="376"/>
      <c r="AL176" s="376"/>
    </row>
    <row r="177" spans="1:38" x14ac:dyDescent="0.25">
      <c r="A177" s="1284"/>
      <c r="B177" s="396"/>
      <c r="C177" s="396"/>
      <c r="D177" s="396"/>
      <c r="E177" s="396"/>
      <c r="F177" s="396"/>
      <c r="G177" s="396"/>
      <c r="H177" s="396"/>
      <c r="I177" s="396"/>
      <c r="J177" s="396"/>
      <c r="K177" s="396"/>
      <c r="L177" s="396"/>
      <c r="M177" s="396"/>
      <c r="N177" s="396"/>
      <c r="O177" s="396"/>
      <c r="P177" s="396"/>
      <c r="Q177" s="396"/>
      <c r="R177" s="396"/>
      <c r="S177" s="396"/>
      <c r="T177" s="396"/>
      <c r="U177" s="396"/>
      <c r="V177" s="396"/>
      <c r="W177" s="396"/>
      <c r="X177" s="396"/>
      <c r="Y177" s="396"/>
      <c r="Z177" s="396"/>
      <c r="AA177" s="396"/>
      <c r="AB177" s="396"/>
      <c r="AC177" s="396"/>
      <c r="AD177" s="396"/>
      <c r="AE177" s="396"/>
      <c r="AF177" s="396"/>
      <c r="AG177" s="396"/>
      <c r="AH177" s="396"/>
      <c r="AI177" s="376"/>
      <c r="AJ177" s="376"/>
      <c r="AK177" s="376"/>
      <c r="AL177" s="376"/>
    </row>
    <row r="178" spans="1:38" x14ac:dyDescent="0.25">
      <c r="A178" s="396"/>
      <c r="B178" s="396"/>
      <c r="C178" s="396"/>
      <c r="D178" s="396"/>
      <c r="E178" s="396"/>
      <c r="F178" s="396"/>
      <c r="G178" s="396"/>
      <c r="H178" s="396"/>
      <c r="I178" s="396"/>
      <c r="J178" s="396"/>
      <c r="K178" s="396"/>
      <c r="L178" s="396"/>
      <c r="M178" s="396"/>
      <c r="N178" s="396"/>
      <c r="O178" s="396"/>
      <c r="P178" s="396"/>
      <c r="Q178" s="396"/>
      <c r="R178" s="396"/>
      <c r="S178" s="396"/>
      <c r="T178" s="396"/>
      <c r="U178" s="396"/>
      <c r="V178" s="396"/>
      <c r="W178" s="396"/>
      <c r="X178" s="396"/>
      <c r="Y178" s="396"/>
      <c r="Z178" s="396"/>
      <c r="AA178" s="396"/>
      <c r="AB178" s="396"/>
      <c r="AC178" s="396"/>
      <c r="AD178" s="396"/>
      <c r="AE178" s="396"/>
      <c r="AF178" s="396"/>
      <c r="AG178" s="396"/>
      <c r="AH178" s="396"/>
      <c r="AI178" s="376"/>
      <c r="AJ178" s="376"/>
      <c r="AK178" s="376"/>
      <c r="AL178" s="376"/>
    </row>
    <row r="179" spans="1:38" x14ac:dyDescent="0.25">
      <c r="A179" s="396"/>
      <c r="B179" s="396"/>
      <c r="C179" s="396"/>
      <c r="D179" s="396"/>
      <c r="E179" s="396"/>
      <c r="F179" s="396"/>
      <c r="G179" s="396"/>
      <c r="H179" s="396"/>
      <c r="I179" s="396"/>
      <c r="J179" s="396"/>
      <c r="K179" s="396"/>
      <c r="L179" s="396"/>
      <c r="M179" s="396"/>
      <c r="N179" s="396"/>
      <c r="O179" s="396"/>
      <c r="P179" s="396"/>
      <c r="Q179" s="396"/>
      <c r="R179" s="396"/>
      <c r="S179" s="396"/>
      <c r="T179" s="396"/>
      <c r="U179" s="396"/>
      <c r="V179" s="396"/>
      <c r="W179" s="396"/>
      <c r="X179" s="396"/>
      <c r="Y179" s="396"/>
      <c r="Z179" s="396"/>
      <c r="AA179" s="396"/>
      <c r="AB179" s="396"/>
      <c r="AC179" s="396"/>
      <c r="AD179" s="396"/>
      <c r="AE179" s="396"/>
      <c r="AF179" s="396"/>
      <c r="AG179" s="396"/>
      <c r="AH179" s="396"/>
      <c r="AI179" s="376"/>
      <c r="AJ179" s="376"/>
      <c r="AK179" s="376"/>
      <c r="AL179" s="376"/>
    </row>
    <row r="180" spans="1:38" x14ac:dyDescent="0.25">
      <c r="A180" s="396"/>
      <c r="B180" s="396"/>
      <c r="C180" s="396"/>
      <c r="D180" s="396"/>
      <c r="E180" s="396"/>
      <c r="F180" s="396"/>
      <c r="G180" s="396"/>
      <c r="H180" s="396"/>
      <c r="I180" s="396"/>
      <c r="J180" s="396"/>
      <c r="K180" s="396"/>
      <c r="L180" s="396"/>
      <c r="M180" s="396"/>
      <c r="N180" s="396"/>
      <c r="O180" s="396"/>
      <c r="P180" s="396"/>
      <c r="Q180" s="396"/>
      <c r="R180" s="396"/>
      <c r="S180" s="396"/>
      <c r="T180" s="396"/>
      <c r="U180" s="396"/>
      <c r="V180" s="396"/>
      <c r="W180" s="396"/>
      <c r="X180" s="396"/>
      <c r="Y180" s="396"/>
      <c r="Z180" s="396"/>
      <c r="AA180" s="396"/>
      <c r="AB180" s="396"/>
      <c r="AC180" s="396"/>
      <c r="AD180" s="396"/>
      <c r="AE180" s="396"/>
      <c r="AF180" s="396"/>
      <c r="AG180" s="396"/>
      <c r="AH180" s="396"/>
      <c r="AI180" s="376"/>
      <c r="AJ180" s="376"/>
      <c r="AK180" s="376"/>
      <c r="AL180" s="376"/>
    </row>
    <row r="181" spans="1:38" x14ac:dyDescent="0.25">
      <c r="A181" s="396"/>
      <c r="B181" s="396"/>
      <c r="C181" s="396"/>
      <c r="D181" s="396"/>
      <c r="E181" s="396"/>
      <c r="F181" s="396"/>
      <c r="G181" s="396"/>
      <c r="H181" s="396"/>
      <c r="I181" s="396"/>
      <c r="J181" s="396"/>
      <c r="K181" s="396"/>
      <c r="L181" s="396"/>
      <c r="M181" s="396"/>
      <c r="N181" s="396"/>
      <c r="O181" s="396"/>
      <c r="P181" s="396"/>
      <c r="Q181" s="396"/>
      <c r="R181" s="396"/>
      <c r="S181" s="396"/>
      <c r="T181" s="396"/>
      <c r="U181" s="396"/>
      <c r="V181" s="396"/>
      <c r="W181" s="396"/>
      <c r="X181" s="396"/>
      <c r="Y181" s="396"/>
      <c r="Z181" s="396"/>
      <c r="AA181" s="396"/>
      <c r="AB181" s="396"/>
      <c r="AC181" s="396"/>
      <c r="AD181" s="396"/>
      <c r="AE181" s="396"/>
      <c r="AF181" s="396"/>
      <c r="AG181" s="396"/>
      <c r="AH181" s="396"/>
      <c r="AI181" s="376"/>
      <c r="AJ181" s="376"/>
      <c r="AK181" s="376"/>
      <c r="AL181" s="376"/>
    </row>
    <row r="182" spans="1:38" x14ac:dyDescent="0.25">
      <c r="A182" s="396"/>
      <c r="B182" s="396"/>
      <c r="C182" s="396"/>
      <c r="D182" s="396"/>
      <c r="E182" s="396"/>
      <c r="F182" s="396"/>
      <c r="G182" s="396"/>
      <c r="H182" s="396"/>
      <c r="I182" s="396"/>
      <c r="J182" s="396"/>
      <c r="K182" s="396"/>
      <c r="L182" s="396"/>
      <c r="M182" s="396"/>
      <c r="N182" s="396"/>
      <c r="O182" s="396"/>
      <c r="P182" s="396"/>
      <c r="Q182" s="396"/>
      <c r="R182" s="396"/>
      <c r="S182" s="396"/>
      <c r="T182" s="396"/>
      <c r="U182" s="396"/>
      <c r="V182" s="396"/>
      <c r="W182" s="396"/>
      <c r="X182" s="396"/>
      <c r="Y182" s="396"/>
      <c r="Z182" s="396"/>
      <c r="AA182" s="396"/>
      <c r="AB182" s="396"/>
      <c r="AC182" s="396"/>
      <c r="AD182" s="396"/>
      <c r="AE182" s="396"/>
      <c r="AF182" s="396"/>
      <c r="AG182" s="396"/>
      <c r="AH182" s="396"/>
      <c r="AI182" s="376"/>
      <c r="AJ182" s="376"/>
      <c r="AK182" s="376"/>
      <c r="AL182" s="376"/>
    </row>
    <row r="183" spans="1:38" x14ac:dyDescent="0.25">
      <c r="A183" s="396"/>
      <c r="B183" s="396"/>
      <c r="C183" s="396"/>
      <c r="D183" s="396"/>
      <c r="E183" s="396"/>
      <c r="F183" s="396"/>
      <c r="G183" s="396"/>
      <c r="H183" s="396"/>
      <c r="I183" s="396"/>
      <c r="J183" s="396"/>
      <c r="K183" s="396"/>
      <c r="L183" s="396"/>
      <c r="M183" s="396"/>
      <c r="N183" s="396"/>
      <c r="O183" s="396"/>
      <c r="P183" s="396"/>
      <c r="Q183" s="396"/>
      <c r="R183" s="396"/>
      <c r="S183" s="396"/>
      <c r="T183" s="396"/>
      <c r="U183" s="396"/>
      <c r="V183" s="396"/>
      <c r="W183" s="396"/>
      <c r="X183" s="396"/>
      <c r="Y183" s="396"/>
      <c r="Z183" s="396"/>
      <c r="AA183" s="396"/>
      <c r="AB183" s="396"/>
      <c r="AC183" s="396"/>
      <c r="AD183" s="396"/>
      <c r="AE183" s="396"/>
      <c r="AF183" s="396"/>
      <c r="AG183" s="396"/>
      <c r="AH183" s="396"/>
    </row>
    <row r="184" spans="1:38" x14ac:dyDescent="0.25">
      <c r="A184" s="396"/>
      <c r="B184" s="396"/>
      <c r="C184" s="396"/>
      <c r="D184" s="396"/>
      <c r="E184" s="396"/>
      <c r="F184" s="396"/>
      <c r="G184" s="396"/>
      <c r="H184" s="396"/>
      <c r="I184" s="396"/>
      <c r="J184" s="396"/>
      <c r="K184" s="396"/>
      <c r="L184" s="396"/>
      <c r="M184" s="396"/>
      <c r="N184" s="396"/>
      <c r="O184" s="396"/>
      <c r="P184" s="396"/>
      <c r="Q184" s="396"/>
      <c r="R184" s="396"/>
      <c r="S184" s="396"/>
      <c r="T184" s="396"/>
      <c r="U184" s="396"/>
      <c r="V184" s="396"/>
      <c r="W184" s="396"/>
      <c r="X184" s="396"/>
      <c r="Y184" s="396"/>
      <c r="Z184" s="396"/>
      <c r="AA184" s="396"/>
      <c r="AB184" s="396"/>
      <c r="AC184" s="396"/>
      <c r="AD184" s="396"/>
      <c r="AE184" s="396"/>
      <c r="AF184" s="396"/>
      <c r="AG184" s="396"/>
      <c r="AH184" s="396"/>
    </row>
    <row r="185" spans="1:38" x14ac:dyDescent="0.25">
      <c r="A185" s="396"/>
      <c r="B185" s="396"/>
      <c r="C185" s="396"/>
      <c r="D185" s="396"/>
      <c r="E185" s="396"/>
      <c r="F185" s="396"/>
      <c r="G185" s="396"/>
      <c r="H185" s="396"/>
      <c r="I185" s="396"/>
      <c r="J185" s="396"/>
      <c r="K185" s="396"/>
      <c r="L185" s="396"/>
      <c r="M185" s="396"/>
      <c r="N185" s="396"/>
      <c r="O185" s="396"/>
      <c r="P185" s="396"/>
      <c r="Q185" s="396"/>
      <c r="R185" s="396"/>
      <c r="S185" s="396"/>
      <c r="T185" s="396"/>
      <c r="U185" s="396"/>
      <c r="V185" s="396"/>
      <c r="W185" s="396"/>
      <c r="X185" s="396"/>
      <c r="Y185" s="396"/>
      <c r="Z185" s="396"/>
      <c r="AA185" s="396"/>
      <c r="AB185" s="396"/>
      <c r="AC185" s="396"/>
      <c r="AD185" s="396"/>
      <c r="AE185" s="396"/>
      <c r="AF185" s="396"/>
      <c r="AG185" s="396"/>
      <c r="AH185" s="396"/>
    </row>
    <row r="186" spans="1:38" x14ac:dyDescent="0.25">
      <c r="A186" s="396"/>
      <c r="B186" s="396"/>
      <c r="C186" s="396"/>
      <c r="D186" s="396"/>
      <c r="E186" s="396"/>
      <c r="F186" s="396"/>
      <c r="G186" s="396"/>
      <c r="H186" s="396"/>
      <c r="I186" s="396"/>
      <c r="J186" s="396"/>
      <c r="K186" s="396"/>
      <c r="L186" s="396"/>
      <c r="M186" s="396"/>
      <c r="N186" s="396"/>
      <c r="O186" s="396"/>
      <c r="P186" s="396"/>
      <c r="Q186" s="396"/>
      <c r="R186" s="396"/>
      <c r="S186" s="396"/>
      <c r="T186" s="396"/>
      <c r="U186" s="396"/>
      <c r="V186" s="396"/>
      <c r="W186" s="396"/>
      <c r="X186" s="396"/>
      <c r="Y186" s="396"/>
      <c r="Z186" s="396"/>
      <c r="AA186" s="396"/>
      <c r="AB186" s="396"/>
      <c r="AC186" s="396"/>
      <c r="AD186" s="396"/>
      <c r="AE186" s="396"/>
      <c r="AF186" s="396"/>
      <c r="AG186" s="396"/>
      <c r="AH186" s="396"/>
    </row>
    <row r="187" spans="1:38" x14ac:dyDescent="0.25">
      <c r="A187" s="396"/>
      <c r="B187" s="396"/>
      <c r="C187" s="396"/>
      <c r="D187" s="396"/>
      <c r="E187" s="396"/>
      <c r="F187" s="396"/>
      <c r="G187" s="396"/>
      <c r="H187" s="396"/>
      <c r="I187" s="396"/>
      <c r="J187" s="396"/>
      <c r="K187" s="396"/>
      <c r="L187" s="396"/>
      <c r="M187" s="396"/>
      <c r="N187" s="396"/>
      <c r="O187" s="396"/>
      <c r="P187" s="396"/>
      <c r="Q187" s="396"/>
      <c r="R187" s="396"/>
      <c r="S187" s="396"/>
      <c r="T187" s="396"/>
      <c r="U187" s="396"/>
      <c r="V187" s="396"/>
      <c r="W187" s="396"/>
      <c r="X187" s="396"/>
      <c r="Y187" s="396"/>
      <c r="Z187" s="396"/>
      <c r="AA187" s="396"/>
      <c r="AB187" s="396"/>
      <c r="AC187" s="396"/>
      <c r="AD187" s="396"/>
      <c r="AE187" s="396"/>
      <c r="AF187" s="396"/>
      <c r="AG187" s="396"/>
      <c r="AH187" s="396"/>
    </row>
    <row r="188" spans="1:38" x14ac:dyDescent="0.25">
      <c r="A188" s="396"/>
      <c r="B188" s="396"/>
      <c r="C188" s="396"/>
      <c r="D188" s="396"/>
      <c r="E188" s="396"/>
      <c r="F188" s="396"/>
      <c r="G188" s="396"/>
      <c r="H188" s="396"/>
      <c r="I188" s="396"/>
      <c r="J188" s="396"/>
      <c r="K188" s="396"/>
      <c r="L188" s="396"/>
      <c r="M188" s="396"/>
      <c r="N188" s="396"/>
      <c r="O188" s="396"/>
      <c r="P188" s="396"/>
      <c r="Q188" s="396"/>
      <c r="R188" s="396"/>
      <c r="S188" s="396"/>
      <c r="T188" s="396"/>
      <c r="U188" s="396"/>
      <c r="V188" s="396"/>
      <c r="W188" s="396"/>
      <c r="X188" s="396"/>
      <c r="Y188" s="396"/>
      <c r="Z188" s="396"/>
      <c r="AA188" s="396"/>
      <c r="AB188" s="396"/>
      <c r="AC188" s="396"/>
      <c r="AD188" s="396"/>
      <c r="AE188" s="396"/>
      <c r="AF188" s="396"/>
      <c r="AG188" s="396"/>
      <c r="AH188" s="396"/>
    </row>
    <row r="189" spans="1:38" x14ac:dyDescent="0.25">
      <c r="A189" s="396"/>
      <c r="B189" s="396"/>
      <c r="C189" s="396"/>
      <c r="D189" s="396"/>
      <c r="E189" s="396"/>
      <c r="F189" s="396"/>
      <c r="G189" s="396"/>
      <c r="H189" s="396"/>
      <c r="I189" s="396"/>
      <c r="J189" s="396"/>
      <c r="K189" s="396"/>
      <c r="L189" s="396"/>
      <c r="M189" s="396"/>
      <c r="N189" s="396"/>
      <c r="O189" s="396"/>
      <c r="P189" s="396"/>
      <c r="Q189" s="396"/>
      <c r="R189" s="396"/>
      <c r="S189" s="396"/>
      <c r="T189" s="396"/>
      <c r="U189" s="396"/>
      <c r="V189" s="396"/>
      <c r="W189" s="396"/>
      <c r="X189" s="396"/>
      <c r="Y189" s="396"/>
      <c r="Z189" s="396"/>
      <c r="AA189" s="396"/>
      <c r="AB189" s="396"/>
      <c r="AC189" s="396"/>
      <c r="AD189" s="396"/>
      <c r="AE189" s="396"/>
      <c r="AF189" s="396"/>
      <c r="AG189" s="396"/>
      <c r="AH189" s="396"/>
    </row>
    <row r="190" spans="1:38" x14ac:dyDescent="0.25">
      <c r="A190" s="396"/>
      <c r="B190" s="396"/>
      <c r="C190" s="396"/>
      <c r="D190" s="396"/>
      <c r="E190" s="396"/>
      <c r="F190" s="396"/>
      <c r="G190" s="396"/>
      <c r="H190" s="396"/>
      <c r="I190" s="396"/>
      <c r="J190" s="396"/>
      <c r="K190" s="396"/>
      <c r="L190" s="396"/>
      <c r="M190" s="396"/>
      <c r="N190" s="396"/>
      <c r="O190" s="396"/>
      <c r="P190" s="396"/>
      <c r="Q190" s="396"/>
      <c r="R190" s="396"/>
      <c r="S190" s="396"/>
      <c r="T190" s="396"/>
      <c r="U190" s="396"/>
      <c r="V190" s="396"/>
      <c r="W190" s="396"/>
      <c r="X190" s="396"/>
      <c r="Y190" s="396"/>
      <c r="Z190" s="396"/>
      <c r="AA190" s="396"/>
      <c r="AB190" s="396"/>
      <c r="AC190" s="396"/>
      <c r="AD190" s="396"/>
      <c r="AE190" s="396"/>
      <c r="AF190" s="396"/>
      <c r="AG190" s="396"/>
      <c r="AH190" s="396"/>
    </row>
    <row r="191" spans="1:38" x14ac:dyDescent="0.25">
      <c r="A191" s="396"/>
      <c r="B191" s="396"/>
      <c r="C191" s="396"/>
      <c r="D191" s="396"/>
      <c r="E191" s="396"/>
      <c r="F191" s="396"/>
      <c r="G191" s="396"/>
      <c r="H191" s="396"/>
      <c r="I191" s="396"/>
      <c r="J191" s="396"/>
      <c r="K191" s="396"/>
      <c r="L191" s="396"/>
      <c r="M191" s="396"/>
      <c r="N191" s="396"/>
      <c r="O191" s="396"/>
      <c r="P191" s="396"/>
      <c r="Q191" s="396"/>
      <c r="R191" s="396"/>
      <c r="S191" s="396"/>
      <c r="T191" s="396"/>
      <c r="U191" s="396"/>
      <c r="V191" s="396"/>
      <c r="W191" s="396"/>
      <c r="X191" s="396"/>
      <c r="Y191" s="396"/>
      <c r="Z191" s="396"/>
      <c r="AA191" s="396"/>
      <c r="AB191" s="396"/>
      <c r="AC191" s="396"/>
      <c r="AD191" s="396"/>
      <c r="AE191" s="396"/>
      <c r="AF191" s="396"/>
      <c r="AG191" s="396"/>
      <c r="AH191" s="396"/>
    </row>
    <row r="192" spans="1:38" x14ac:dyDescent="0.25">
      <c r="A192" s="396"/>
      <c r="B192" s="396"/>
      <c r="C192" s="396"/>
      <c r="D192" s="396"/>
      <c r="E192" s="396"/>
      <c r="F192" s="396"/>
      <c r="G192" s="396"/>
      <c r="H192" s="396"/>
      <c r="I192" s="396"/>
      <c r="J192" s="396"/>
      <c r="K192" s="396"/>
      <c r="L192" s="396"/>
      <c r="M192" s="396"/>
      <c r="N192" s="396"/>
      <c r="O192" s="396"/>
      <c r="P192" s="396"/>
      <c r="Q192" s="396"/>
      <c r="R192" s="396"/>
      <c r="S192" s="396"/>
      <c r="T192" s="396"/>
      <c r="U192" s="396"/>
      <c r="V192" s="396"/>
      <c r="W192" s="396"/>
      <c r="X192" s="396"/>
      <c r="Y192" s="396"/>
      <c r="Z192" s="396"/>
      <c r="AA192" s="396"/>
      <c r="AB192" s="396"/>
      <c r="AC192" s="396"/>
      <c r="AD192" s="396"/>
      <c r="AE192" s="396"/>
      <c r="AF192" s="396"/>
      <c r="AG192" s="396"/>
      <c r="AH192" s="396"/>
    </row>
    <row r="193" spans="1:34" x14ac:dyDescent="0.25">
      <c r="A193" s="396"/>
      <c r="B193" s="396"/>
      <c r="C193" s="396"/>
      <c r="D193" s="396"/>
      <c r="E193" s="396"/>
      <c r="F193" s="396"/>
      <c r="G193" s="396"/>
      <c r="H193" s="396"/>
      <c r="I193" s="396"/>
      <c r="J193" s="396"/>
      <c r="K193" s="396"/>
      <c r="L193" s="396"/>
      <c r="M193" s="396"/>
      <c r="N193" s="396"/>
      <c r="O193" s="396"/>
      <c r="P193" s="396"/>
      <c r="Q193" s="396"/>
      <c r="R193" s="396"/>
      <c r="S193" s="396"/>
      <c r="T193" s="396"/>
      <c r="U193" s="396"/>
      <c r="V193" s="396"/>
      <c r="W193" s="396"/>
      <c r="X193" s="396"/>
      <c r="Y193" s="396"/>
      <c r="Z193" s="396"/>
      <c r="AA193" s="396"/>
      <c r="AB193" s="396"/>
      <c r="AC193" s="396"/>
      <c r="AD193" s="396"/>
      <c r="AE193" s="396"/>
      <c r="AF193" s="396"/>
      <c r="AG193" s="396"/>
      <c r="AH193" s="396"/>
    </row>
    <row r="194" spans="1:34" x14ac:dyDescent="0.25">
      <c r="A194" s="396"/>
      <c r="B194" s="396"/>
      <c r="C194" s="396"/>
      <c r="D194" s="396"/>
      <c r="E194" s="396"/>
      <c r="F194" s="396"/>
      <c r="G194" s="396"/>
      <c r="H194" s="396"/>
      <c r="I194" s="396"/>
      <c r="J194" s="396"/>
      <c r="K194" s="396"/>
      <c r="L194" s="396"/>
      <c r="M194" s="396"/>
      <c r="N194" s="396"/>
      <c r="O194" s="396"/>
      <c r="P194" s="396"/>
      <c r="Q194" s="396"/>
      <c r="R194" s="396"/>
      <c r="S194" s="396"/>
      <c r="T194" s="396"/>
      <c r="U194" s="396"/>
      <c r="V194" s="396"/>
      <c r="W194" s="396"/>
      <c r="X194" s="396"/>
      <c r="Y194" s="396"/>
      <c r="Z194" s="396"/>
      <c r="AA194" s="396"/>
      <c r="AB194" s="396"/>
      <c r="AC194" s="396"/>
      <c r="AD194" s="396"/>
      <c r="AE194" s="396"/>
      <c r="AF194" s="396"/>
      <c r="AG194" s="396"/>
      <c r="AH194" s="396"/>
    </row>
    <row r="195" spans="1:34" x14ac:dyDescent="0.25">
      <c r="A195" s="396"/>
      <c r="B195" s="396"/>
      <c r="C195" s="396"/>
      <c r="D195" s="396"/>
      <c r="E195" s="396"/>
      <c r="F195" s="396"/>
      <c r="G195" s="396"/>
      <c r="H195" s="396"/>
      <c r="I195" s="396"/>
      <c r="J195" s="396"/>
      <c r="K195" s="396"/>
      <c r="L195" s="396"/>
      <c r="M195" s="396"/>
      <c r="N195" s="396"/>
      <c r="O195" s="396"/>
      <c r="P195" s="396"/>
      <c r="Q195" s="396"/>
      <c r="R195" s="396"/>
      <c r="S195" s="396"/>
      <c r="T195" s="396"/>
      <c r="U195" s="396"/>
      <c r="V195" s="396"/>
      <c r="W195" s="396"/>
      <c r="X195" s="396"/>
      <c r="Y195" s="396"/>
      <c r="Z195" s="396"/>
      <c r="AA195" s="396"/>
      <c r="AB195" s="396"/>
      <c r="AC195" s="396"/>
      <c r="AD195" s="396"/>
      <c r="AE195" s="396"/>
      <c r="AF195" s="396"/>
      <c r="AG195" s="396"/>
      <c r="AH195" s="396"/>
    </row>
    <row r="196" spans="1:34" x14ac:dyDescent="0.25">
      <c r="A196" s="396"/>
      <c r="B196" s="396"/>
      <c r="C196" s="396"/>
      <c r="D196" s="396"/>
      <c r="E196" s="396"/>
      <c r="F196" s="396"/>
      <c r="G196" s="396"/>
      <c r="H196" s="396"/>
      <c r="I196" s="396"/>
      <c r="J196" s="396"/>
      <c r="K196" s="396"/>
      <c r="L196" s="396"/>
      <c r="M196" s="396"/>
      <c r="N196" s="396"/>
      <c r="O196" s="396"/>
      <c r="P196" s="396"/>
      <c r="Q196" s="396"/>
      <c r="R196" s="396"/>
      <c r="S196" s="396"/>
      <c r="T196" s="396"/>
      <c r="U196" s="396"/>
      <c r="V196" s="396"/>
      <c r="W196" s="396"/>
      <c r="X196" s="396"/>
      <c r="Y196" s="396"/>
      <c r="Z196" s="396"/>
      <c r="AA196" s="396"/>
      <c r="AB196" s="396"/>
      <c r="AC196" s="396"/>
      <c r="AD196" s="396"/>
      <c r="AE196" s="396"/>
      <c r="AF196" s="396"/>
      <c r="AG196" s="396"/>
      <c r="AH196" s="396"/>
    </row>
    <row r="197" spans="1:34" x14ac:dyDescent="0.25">
      <c r="A197" s="396"/>
      <c r="B197" s="396"/>
      <c r="C197" s="396"/>
      <c r="D197" s="396"/>
      <c r="E197" s="396"/>
      <c r="F197" s="396"/>
      <c r="G197" s="396"/>
      <c r="H197" s="396"/>
      <c r="I197" s="396"/>
      <c r="J197" s="396"/>
      <c r="K197" s="396"/>
      <c r="L197" s="396"/>
      <c r="M197" s="396"/>
      <c r="N197" s="396"/>
      <c r="O197" s="396"/>
      <c r="P197" s="396"/>
      <c r="Q197" s="396"/>
      <c r="R197" s="396"/>
      <c r="S197" s="396"/>
      <c r="T197" s="396"/>
      <c r="U197" s="396"/>
      <c r="V197" s="396"/>
      <c r="W197" s="396"/>
      <c r="X197" s="396"/>
      <c r="Y197" s="396"/>
      <c r="Z197" s="396"/>
      <c r="AA197" s="396"/>
      <c r="AB197" s="396"/>
      <c r="AC197" s="396"/>
      <c r="AD197" s="396"/>
      <c r="AE197" s="396"/>
      <c r="AF197" s="396"/>
      <c r="AG197" s="396"/>
      <c r="AH197" s="396"/>
    </row>
    <row r="198" spans="1:34" x14ac:dyDescent="0.25">
      <c r="A198" s="396"/>
      <c r="B198" s="396"/>
      <c r="C198" s="396"/>
      <c r="D198" s="396"/>
      <c r="E198" s="396"/>
      <c r="F198" s="396"/>
      <c r="G198" s="396"/>
      <c r="H198" s="396"/>
      <c r="I198" s="396"/>
      <c r="J198" s="396"/>
      <c r="K198" s="396"/>
      <c r="L198" s="396"/>
      <c r="M198" s="396"/>
      <c r="N198" s="396"/>
      <c r="O198" s="396"/>
      <c r="P198" s="396"/>
      <c r="Q198" s="396"/>
      <c r="R198" s="396"/>
      <c r="S198" s="396"/>
      <c r="T198" s="396"/>
      <c r="U198" s="396"/>
      <c r="V198" s="396"/>
      <c r="W198" s="396"/>
      <c r="X198" s="396"/>
      <c r="Y198" s="396"/>
      <c r="Z198" s="396"/>
      <c r="AA198" s="396"/>
      <c r="AB198" s="396"/>
      <c r="AC198" s="396"/>
      <c r="AD198" s="396"/>
      <c r="AE198" s="396"/>
      <c r="AF198" s="396"/>
      <c r="AG198" s="396"/>
      <c r="AH198" s="396"/>
    </row>
    <row r="199" spans="1:34" x14ac:dyDescent="0.25">
      <c r="A199" s="396"/>
      <c r="B199" s="396"/>
      <c r="C199" s="396"/>
      <c r="D199" s="396"/>
      <c r="E199" s="396"/>
      <c r="F199" s="396"/>
      <c r="G199" s="396"/>
      <c r="H199" s="396"/>
      <c r="I199" s="396"/>
      <c r="J199" s="396"/>
      <c r="K199" s="396"/>
      <c r="L199" s="396"/>
      <c r="M199" s="396"/>
      <c r="N199" s="396"/>
      <c r="O199" s="396"/>
      <c r="P199" s="396"/>
      <c r="Q199" s="396"/>
      <c r="R199" s="396"/>
      <c r="S199" s="396"/>
      <c r="T199" s="396"/>
      <c r="U199" s="396"/>
      <c r="V199" s="396"/>
      <c r="W199" s="396"/>
      <c r="X199" s="396"/>
      <c r="Y199" s="396"/>
      <c r="Z199" s="396"/>
      <c r="AA199" s="396"/>
      <c r="AB199" s="396"/>
      <c r="AC199" s="396"/>
      <c r="AD199" s="396"/>
      <c r="AE199" s="396"/>
      <c r="AF199" s="396"/>
      <c r="AG199" s="396"/>
      <c r="AH199" s="396"/>
    </row>
    <row r="200" spans="1:34" x14ac:dyDescent="0.25">
      <c r="A200" s="396"/>
      <c r="B200" s="396"/>
      <c r="C200" s="396"/>
      <c r="D200" s="396"/>
      <c r="E200" s="396"/>
      <c r="F200" s="396"/>
      <c r="G200" s="396"/>
      <c r="H200" s="396"/>
      <c r="I200" s="396"/>
      <c r="J200" s="396"/>
      <c r="K200" s="396"/>
      <c r="L200" s="396"/>
      <c r="M200" s="396"/>
      <c r="N200" s="396"/>
      <c r="O200" s="396"/>
      <c r="P200" s="396"/>
      <c r="Q200" s="396"/>
      <c r="R200" s="396"/>
      <c r="S200" s="396"/>
      <c r="T200" s="396"/>
      <c r="U200" s="396"/>
      <c r="V200" s="396"/>
      <c r="W200" s="396"/>
      <c r="X200" s="396"/>
      <c r="Y200" s="396"/>
      <c r="Z200" s="396"/>
      <c r="AA200" s="396"/>
      <c r="AB200" s="396"/>
      <c r="AC200" s="396"/>
      <c r="AD200" s="396"/>
      <c r="AE200" s="396"/>
      <c r="AF200" s="396"/>
      <c r="AG200" s="396"/>
      <c r="AH200" s="396"/>
    </row>
    <row r="201" spans="1:34" x14ac:dyDescent="0.25">
      <c r="A201" s="396"/>
      <c r="B201" s="396"/>
      <c r="C201" s="396"/>
      <c r="D201" s="396"/>
      <c r="E201" s="396"/>
      <c r="F201" s="396"/>
      <c r="G201" s="396"/>
      <c r="H201" s="396"/>
      <c r="I201" s="396"/>
      <c r="J201" s="396"/>
      <c r="K201" s="396"/>
      <c r="L201" s="396"/>
      <c r="M201" s="396"/>
      <c r="N201" s="396"/>
      <c r="O201" s="396"/>
      <c r="P201" s="396"/>
      <c r="Q201" s="396"/>
      <c r="R201" s="396"/>
      <c r="S201" s="396"/>
      <c r="T201" s="396"/>
      <c r="U201" s="396"/>
      <c r="V201" s="396"/>
      <c r="W201" s="396"/>
      <c r="X201" s="396"/>
      <c r="Y201" s="396"/>
      <c r="Z201" s="396"/>
      <c r="AA201" s="396"/>
      <c r="AB201" s="396"/>
      <c r="AC201" s="396"/>
      <c r="AD201" s="396"/>
      <c r="AE201" s="396"/>
      <c r="AF201" s="396"/>
      <c r="AG201" s="396"/>
      <c r="AH201" s="396"/>
    </row>
    <row r="202" spans="1:34" x14ac:dyDescent="0.25">
      <c r="A202" s="396"/>
      <c r="B202" s="396"/>
      <c r="C202" s="396"/>
      <c r="D202" s="396"/>
      <c r="E202" s="396"/>
      <c r="F202" s="396"/>
      <c r="G202" s="396"/>
      <c r="H202" s="396"/>
      <c r="I202" s="396"/>
      <c r="J202" s="396"/>
      <c r="K202" s="396"/>
      <c r="L202" s="396"/>
      <c r="M202" s="396"/>
      <c r="N202" s="396"/>
      <c r="O202" s="396"/>
      <c r="P202" s="396"/>
      <c r="Q202" s="396"/>
      <c r="R202" s="396"/>
      <c r="S202" s="396"/>
      <c r="T202" s="396"/>
      <c r="U202" s="396"/>
      <c r="V202" s="396"/>
      <c r="W202" s="396"/>
      <c r="X202" s="396"/>
      <c r="Y202" s="396"/>
      <c r="Z202" s="396"/>
      <c r="AA202" s="396"/>
      <c r="AB202" s="396"/>
      <c r="AC202" s="396"/>
      <c r="AD202" s="396"/>
      <c r="AE202" s="396"/>
      <c r="AF202" s="396"/>
      <c r="AG202" s="396"/>
      <c r="AH202" s="396"/>
    </row>
    <row r="203" spans="1:34" x14ac:dyDescent="0.25">
      <c r="A203" s="396"/>
      <c r="B203" s="396"/>
      <c r="C203" s="396"/>
      <c r="D203" s="396"/>
      <c r="E203" s="396"/>
      <c r="F203" s="396"/>
      <c r="G203" s="396"/>
      <c r="H203" s="396"/>
      <c r="I203" s="396"/>
      <c r="J203" s="396"/>
      <c r="K203" s="396"/>
      <c r="L203" s="396"/>
      <c r="M203" s="396"/>
      <c r="N203" s="396"/>
      <c r="O203" s="396"/>
      <c r="P203" s="396"/>
      <c r="Q203" s="396"/>
      <c r="R203" s="396"/>
      <c r="S203" s="396"/>
      <c r="T203" s="396"/>
      <c r="U203" s="396"/>
      <c r="V203" s="396"/>
      <c r="W203" s="396"/>
      <c r="X203" s="396"/>
      <c r="Y203" s="396"/>
      <c r="Z203" s="396"/>
      <c r="AA203" s="396"/>
      <c r="AB203" s="396"/>
      <c r="AC203" s="396"/>
      <c r="AD203" s="396"/>
      <c r="AE203" s="396"/>
      <c r="AF203" s="396"/>
      <c r="AG203" s="396"/>
      <c r="AH203" s="396"/>
    </row>
    <row r="204" spans="1:34" x14ac:dyDescent="0.25">
      <c r="A204" s="396"/>
      <c r="B204" s="396"/>
      <c r="C204" s="396"/>
      <c r="D204" s="396"/>
      <c r="E204" s="396"/>
      <c r="F204" s="396"/>
      <c r="G204" s="396"/>
      <c r="H204" s="396"/>
      <c r="I204" s="396"/>
      <c r="J204" s="396"/>
      <c r="K204" s="396"/>
      <c r="L204" s="396"/>
      <c r="M204" s="396"/>
      <c r="N204" s="396"/>
      <c r="O204" s="396"/>
      <c r="P204" s="396"/>
      <c r="Q204" s="396"/>
      <c r="R204" s="396"/>
      <c r="S204" s="396"/>
      <c r="T204" s="396"/>
      <c r="U204" s="396"/>
      <c r="V204" s="396"/>
      <c r="W204" s="396"/>
      <c r="X204" s="396"/>
      <c r="Y204" s="396"/>
      <c r="Z204" s="396"/>
      <c r="AA204" s="396"/>
      <c r="AB204" s="396"/>
      <c r="AC204" s="396"/>
      <c r="AD204" s="396"/>
      <c r="AE204" s="396"/>
      <c r="AF204" s="396"/>
      <c r="AG204" s="396"/>
      <c r="AH204" s="396"/>
    </row>
    <row r="205" spans="1:34" x14ac:dyDescent="0.25">
      <c r="A205" s="396"/>
      <c r="B205" s="396"/>
      <c r="C205" s="396"/>
      <c r="D205" s="396"/>
      <c r="E205" s="396"/>
      <c r="F205" s="396"/>
      <c r="G205" s="396"/>
      <c r="H205" s="396"/>
      <c r="I205" s="396"/>
      <c r="J205" s="396"/>
      <c r="K205" s="396"/>
      <c r="L205" s="396"/>
      <c r="M205" s="396"/>
      <c r="N205" s="396"/>
      <c r="O205" s="396"/>
      <c r="P205" s="396"/>
      <c r="Q205" s="396"/>
      <c r="R205" s="396"/>
      <c r="S205" s="396"/>
      <c r="T205" s="396"/>
      <c r="U205" s="396"/>
      <c r="V205" s="396"/>
      <c r="W205" s="396"/>
      <c r="X205" s="396"/>
      <c r="Y205" s="396"/>
      <c r="Z205" s="396"/>
      <c r="AA205" s="396"/>
      <c r="AB205" s="396"/>
      <c r="AC205" s="396"/>
      <c r="AD205" s="396"/>
      <c r="AE205" s="396"/>
      <c r="AF205" s="396"/>
      <c r="AG205" s="396"/>
      <c r="AH205" s="396"/>
    </row>
    <row r="206" spans="1:34" x14ac:dyDescent="0.25">
      <c r="A206" s="396"/>
      <c r="B206" s="396"/>
      <c r="C206" s="396"/>
      <c r="D206" s="396"/>
      <c r="E206" s="396"/>
      <c r="F206" s="396"/>
      <c r="G206" s="396"/>
      <c r="H206" s="396"/>
      <c r="I206" s="396"/>
      <c r="J206" s="396"/>
      <c r="K206" s="396"/>
      <c r="L206" s="396"/>
      <c r="M206" s="396"/>
      <c r="N206" s="396"/>
      <c r="O206" s="396"/>
      <c r="P206" s="396"/>
      <c r="Q206" s="396"/>
      <c r="R206" s="396"/>
      <c r="S206" s="396"/>
      <c r="T206" s="396"/>
      <c r="U206" s="396"/>
      <c r="V206" s="396"/>
      <c r="W206" s="396"/>
      <c r="X206" s="396"/>
      <c r="Y206" s="396"/>
      <c r="Z206" s="396"/>
      <c r="AA206" s="396"/>
      <c r="AB206" s="396"/>
      <c r="AC206" s="396"/>
      <c r="AD206" s="396"/>
      <c r="AE206" s="396"/>
      <c r="AF206" s="396"/>
      <c r="AG206" s="396"/>
      <c r="AH206" s="396"/>
    </row>
    <row r="207" spans="1:34" x14ac:dyDescent="0.25">
      <c r="A207" s="396"/>
      <c r="B207" s="396"/>
      <c r="C207" s="396"/>
      <c r="D207" s="396"/>
      <c r="E207" s="396"/>
      <c r="F207" s="396"/>
      <c r="G207" s="396"/>
      <c r="H207" s="396"/>
      <c r="I207" s="396"/>
      <c r="J207" s="396"/>
      <c r="K207" s="396"/>
      <c r="L207" s="396"/>
      <c r="M207" s="396"/>
      <c r="N207" s="396"/>
      <c r="O207" s="396"/>
      <c r="P207" s="396"/>
      <c r="Q207" s="396"/>
      <c r="R207" s="396"/>
      <c r="S207" s="396"/>
      <c r="T207" s="396"/>
      <c r="U207" s="396"/>
      <c r="V207" s="396"/>
      <c r="W207" s="396"/>
      <c r="X207" s="396"/>
      <c r="Y207" s="396"/>
      <c r="Z207" s="396"/>
      <c r="AA207" s="396"/>
      <c r="AB207" s="396"/>
      <c r="AC207" s="396"/>
      <c r="AD207" s="396"/>
      <c r="AE207" s="396"/>
      <c r="AF207" s="396"/>
      <c r="AG207" s="396"/>
      <c r="AH207" s="396"/>
    </row>
    <row r="208" spans="1:34" x14ac:dyDescent="0.25">
      <c r="A208" s="396"/>
      <c r="B208" s="396"/>
      <c r="C208" s="396"/>
      <c r="D208" s="396"/>
      <c r="E208" s="396"/>
      <c r="F208" s="396"/>
      <c r="G208" s="396"/>
      <c r="H208" s="396"/>
      <c r="I208" s="396"/>
      <c r="J208" s="396"/>
      <c r="K208" s="396"/>
      <c r="L208" s="396"/>
      <c r="M208" s="396"/>
      <c r="N208" s="396"/>
      <c r="O208" s="396"/>
      <c r="P208" s="396"/>
      <c r="Q208" s="396"/>
      <c r="R208" s="396"/>
      <c r="S208" s="396"/>
      <c r="T208" s="396"/>
      <c r="U208" s="396"/>
      <c r="V208" s="396"/>
      <c r="W208" s="396"/>
      <c r="X208" s="396"/>
      <c r="Y208" s="396"/>
      <c r="Z208" s="396"/>
      <c r="AA208" s="396"/>
      <c r="AB208" s="396"/>
      <c r="AC208" s="396"/>
      <c r="AD208" s="396"/>
      <c r="AE208" s="396"/>
      <c r="AF208" s="396"/>
      <c r="AG208" s="396"/>
      <c r="AH208" s="396"/>
    </row>
    <row r="209" spans="1:34" x14ac:dyDescent="0.25">
      <c r="A209" s="396"/>
      <c r="B209" s="396"/>
      <c r="C209" s="396"/>
      <c r="D209" s="396"/>
      <c r="E209" s="396"/>
      <c r="F209" s="396"/>
      <c r="G209" s="396"/>
      <c r="H209" s="396"/>
      <c r="I209" s="396"/>
      <c r="J209" s="396"/>
      <c r="K209" s="396"/>
      <c r="L209" s="396"/>
      <c r="M209" s="396"/>
      <c r="N209" s="396"/>
      <c r="O209" s="396"/>
      <c r="P209" s="396"/>
      <c r="Q209" s="396"/>
      <c r="R209" s="396"/>
      <c r="S209" s="396"/>
      <c r="T209" s="396"/>
      <c r="U209" s="396"/>
      <c r="V209" s="396"/>
      <c r="W209" s="396"/>
      <c r="X209" s="396"/>
      <c r="Y209" s="396"/>
      <c r="Z209" s="396"/>
      <c r="AA209" s="396"/>
      <c r="AB209" s="396"/>
      <c r="AC209" s="396"/>
      <c r="AD209" s="396"/>
      <c r="AE209" s="396"/>
      <c r="AF209" s="396"/>
      <c r="AG209" s="396"/>
      <c r="AH209" s="396"/>
    </row>
    <row r="210" spans="1:34" x14ac:dyDescent="0.25">
      <c r="A210" s="396"/>
      <c r="B210" s="396"/>
      <c r="C210" s="396"/>
      <c r="D210" s="396"/>
      <c r="E210" s="396"/>
      <c r="F210" s="396"/>
      <c r="G210" s="396"/>
      <c r="H210" s="396"/>
      <c r="I210" s="396"/>
      <c r="J210" s="396"/>
      <c r="K210" s="396"/>
      <c r="L210" s="396"/>
      <c r="M210" s="396"/>
      <c r="N210" s="396"/>
      <c r="O210" s="396"/>
      <c r="P210" s="396"/>
      <c r="Q210" s="396"/>
      <c r="R210" s="396"/>
      <c r="S210" s="396"/>
      <c r="T210" s="396"/>
      <c r="U210" s="396"/>
      <c r="V210" s="396"/>
      <c r="W210" s="396"/>
      <c r="X210" s="396"/>
      <c r="Y210" s="396"/>
      <c r="Z210" s="396"/>
      <c r="AA210" s="396"/>
      <c r="AB210" s="396"/>
      <c r="AC210" s="396"/>
      <c r="AD210" s="396"/>
      <c r="AE210" s="396"/>
      <c r="AF210" s="396"/>
      <c r="AG210" s="396"/>
      <c r="AH210" s="396"/>
    </row>
    <row r="211" spans="1:34" x14ac:dyDescent="0.25">
      <c r="A211" s="396"/>
      <c r="B211" s="396"/>
      <c r="C211" s="396"/>
      <c r="D211" s="396"/>
      <c r="E211" s="396"/>
      <c r="F211" s="396"/>
      <c r="G211" s="396"/>
      <c r="H211" s="396"/>
      <c r="I211" s="396"/>
      <c r="J211" s="396"/>
      <c r="K211" s="396"/>
      <c r="L211" s="396"/>
      <c r="M211" s="396"/>
      <c r="N211" s="396"/>
      <c r="O211" s="396"/>
      <c r="P211" s="396"/>
      <c r="Q211" s="396"/>
      <c r="R211" s="396"/>
      <c r="S211" s="396"/>
      <c r="T211" s="396"/>
      <c r="U211" s="396"/>
      <c r="V211" s="396"/>
      <c r="W211" s="396"/>
      <c r="X211" s="396"/>
      <c r="Y211" s="396"/>
      <c r="Z211" s="396"/>
      <c r="AA211" s="396"/>
      <c r="AB211" s="396"/>
      <c r="AC211" s="396"/>
      <c r="AD211" s="396"/>
      <c r="AE211" s="396"/>
      <c r="AF211" s="396"/>
      <c r="AG211" s="396"/>
      <c r="AH211" s="396"/>
    </row>
    <row r="212" spans="1:34" x14ac:dyDescent="0.25">
      <c r="A212" s="396"/>
      <c r="B212" s="396"/>
      <c r="C212" s="396"/>
      <c r="D212" s="396"/>
      <c r="E212" s="396"/>
      <c r="F212" s="396"/>
      <c r="G212" s="396"/>
      <c r="H212" s="396"/>
      <c r="I212" s="396"/>
      <c r="J212" s="396"/>
      <c r="K212" s="396"/>
      <c r="L212" s="396"/>
      <c r="M212" s="396"/>
      <c r="N212" s="396"/>
      <c r="O212" s="396"/>
      <c r="P212" s="396"/>
      <c r="Q212" s="396"/>
      <c r="R212" s="396"/>
      <c r="S212" s="396"/>
      <c r="T212" s="396"/>
      <c r="U212" s="396"/>
      <c r="V212" s="396"/>
      <c r="W212" s="396"/>
      <c r="X212" s="396"/>
      <c r="Y212" s="396"/>
      <c r="Z212" s="396"/>
      <c r="AA212" s="396"/>
      <c r="AB212" s="396"/>
      <c r="AC212" s="396"/>
      <c r="AD212" s="396"/>
      <c r="AE212" s="396"/>
      <c r="AF212" s="396"/>
      <c r="AG212" s="396"/>
      <c r="AH212" s="396"/>
    </row>
    <row r="213" spans="1:34" x14ac:dyDescent="0.25">
      <c r="A213" s="396"/>
      <c r="B213" s="396"/>
      <c r="C213" s="396"/>
      <c r="D213" s="396"/>
      <c r="E213" s="396"/>
      <c r="F213" s="396"/>
      <c r="G213" s="396"/>
      <c r="H213" s="396"/>
      <c r="I213" s="396"/>
      <c r="J213" s="396"/>
      <c r="K213" s="396"/>
      <c r="L213" s="396"/>
      <c r="M213" s="396"/>
      <c r="N213" s="396"/>
      <c r="O213" s="396"/>
      <c r="P213" s="396"/>
      <c r="Q213" s="396"/>
      <c r="R213" s="396"/>
      <c r="S213" s="396"/>
      <c r="T213" s="396"/>
      <c r="U213" s="396"/>
      <c r="V213" s="396"/>
      <c r="W213" s="396"/>
      <c r="X213" s="396"/>
      <c r="Y213" s="396"/>
      <c r="Z213" s="396"/>
      <c r="AA213" s="396"/>
      <c r="AB213" s="396"/>
      <c r="AC213" s="396"/>
      <c r="AD213" s="396"/>
      <c r="AE213" s="396"/>
      <c r="AF213" s="396"/>
      <c r="AG213" s="396"/>
      <c r="AH213" s="396"/>
    </row>
    <row r="214" spans="1:34" x14ac:dyDescent="0.25">
      <c r="A214" s="396"/>
      <c r="B214" s="396"/>
      <c r="C214" s="396"/>
      <c r="D214" s="396"/>
      <c r="E214" s="396"/>
      <c r="F214" s="396"/>
      <c r="G214" s="396"/>
      <c r="H214" s="396"/>
      <c r="I214" s="396"/>
      <c r="J214" s="396"/>
      <c r="K214" s="396"/>
      <c r="L214" s="396"/>
      <c r="M214" s="396"/>
      <c r="N214" s="396"/>
      <c r="O214" s="396"/>
      <c r="P214" s="396"/>
      <c r="Q214" s="396"/>
      <c r="R214" s="396"/>
      <c r="S214" s="396"/>
      <c r="T214" s="396"/>
      <c r="U214" s="396"/>
      <c r="V214" s="396"/>
      <c r="W214" s="396"/>
      <c r="X214" s="396"/>
      <c r="Y214" s="396"/>
      <c r="Z214" s="396"/>
      <c r="AA214" s="396"/>
      <c r="AB214" s="396"/>
      <c r="AC214" s="396"/>
      <c r="AD214" s="396"/>
      <c r="AE214" s="396"/>
      <c r="AF214" s="396"/>
      <c r="AG214" s="396"/>
      <c r="AH214" s="396"/>
    </row>
    <row r="215" spans="1:34" x14ac:dyDescent="0.25">
      <c r="A215" s="396"/>
      <c r="B215" s="396"/>
      <c r="C215" s="396"/>
      <c r="D215" s="396"/>
      <c r="E215" s="396"/>
      <c r="F215" s="396"/>
      <c r="G215" s="396"/>
      <c r="H215" s="396"/>
      <c r="I215" s="396"/>
      <c r="J215" s="396"/>
      <c r="K215" s="396"/>
      <c r="L215" s="396"/>
      <c r="M215" s="396"/>
      <c r="N215" s="396"/>
      <c r="O215" s="396"/>
      <c r="P215" s="396"/>
      <c r="Q215" s="396"/>
      <c r="R215" s="396"/>
      <c r="S215" s="396"/>
      <c r="T215" s="396"/>
      <c r="U215" s="396"/>
      <c r="V215" s="396"/>
      <c r="W215" s="396"/>
      <c r="X215" s="396"/>
      <c r="Y215" s="396"/>
      <c r="Z215" s="396"/>
      <c r="AA215" s="396"/>
      <c r="AB215" s="396"/>
      <c r="AC215" s="396"/>
      <c r="AD215" s="396"/>
      <c r="AE215" s="396"/>
      <c r="AF215" s="396"/>
      <c r="AG215" s="396"/>
      <c r="AH215" s="396"/>
    </row>
    <row r="216" spans="1:34" x14ac:dyDescent="0.25">
      <c r="A216" s="396"/>
      <c r="B216" s="396"/>
      <c r="C216" s="396"/>
      <c r="D216" s="396"/>
      <c r="E216" s="396"/>
      <c r="F216" s="396"/>
      <c r="G216" s="396"/>
      <c r="H216" s="396"/>
      <c r="I216" s="396"/>
      <c r="J216" s="396"/>
      <c r="K216" s="396"/>
      <c r="L216" s="396"/>
      <c r="M216" s="396"/>
      <c r="N216" s="396"/>
      <c r="O216" s="396"/>
      <c r="P216" s="396"/>
      <c r="Q216" s="396"/>
      <c r="R216" s="396"/>
      <c r="S216" s="396"/>
      <c r="T216" s="396"/>
      <c r="U216" s="396"/>
      <c r="V216" s="396"/>
      <c r="W216" s="396"/>
      <c r="X216" s="396"/>
      <c r="Y216" s="396"/>
      <c r="Z216" s="396"/>
      <c r="AA216" s="396"/>
      <c r="AB216" s="396"/>
      <c r="AC216" s="396"/>
      <c r="AD216" s="396"/>
      <c r="AE216" s="396"/>
      <c r="AF216" s="396"/>
      <c r="AG216" s="396"/>
      <c r="AH216" s="396"/>
    </row>
    <row r="217" spans="1:34" x14ac:dyDescent="0.25">
      <c r="A217" s="396"/>
      <c r="B217" s="396"/>
      <c r="C217" s="396"/>
      <c r="D217" s="396"/>
      <c r="E217" s="396"/>
      <c r="F217" s="396"/>
      <c r="G217" s="396"/>
      <c r="H217" s="396"/>
      <c r="I217" s="396"/>
      <c r="J217" s="396"/>
      <c r="K217" s="396"/>
      <c r="L217" s="396"/>
      <c r="M217" s="396"/>
      <c r="N217" s="396"/>
      <c r="O217" s="396"/>
      <c r="P217" s="396"/>
      <c r="Q217" s="396"/>
      <c r="R217" s="396"/>
      <c r="S217" s="396"/>
      <c r="T217" s="396"/>
      <c r="U217" s="396"/>
      <c r="V217" s="396"/>
      <c r="W217" s="396"/>
      <c r="X217" s="396"/>
      <c r="Y217" s="396"/>
      <c r="Z217" s="396"/>
      <c r="AA217" s="396"/>
      <c r="AB217" s="396"/>
      <c r="AC217" s="396"/>
      <c r="AD217" s="396"/>
      <c r="AE217" s="396"/>
      <c r="AF217" s="396"/>
      <c r="AG217" s="396"/>
      <c r="AH217" s="396"/>
    </row>
    <row r="218" spans="1:34" x14ac:dyDescent="0.25">
      <c r="A218" s="396"/>
      <c r="B218" s="396"/>
      <c r="C218" s="396"/>
      <c r="D218" s="396"/>
      <c r="E218" s="396"/>
      <c r="F218" s="396"/>
      <c r="G218" s="396"/>
      <c r="H218" s="396"/>
      <c r="I218" s="396"/>
      <c r="J218" s="396"/>
      <c r="K218" s="396"/>
      <c r="L218" s="396"/>
      <c r="M218" s="396"/>
      <c r="N218" s="396"/>
      <c r="O218" s="396"/>
      <c r="P218" s="396"/>
      <c r="Q218" s="396"/>
      <c r="R218" s="396"/>
      <c r="S218" s="396"/>
      <c r="T218" s="396"/>
      <c r="U218" s="396"/>
      <c r="V218" s="396"/>
      <c r="W218" s="396"/>
      <c r="X218" s="396"/>
      <c r="Y218" s="396"/>
      <c r="Z218" s="396"/>
      <c r="AA218" s="396"/>
      <c r="AB218" s="396"/>
      <c r="AC218" s="396"/>
      <c r="AD218" s="396"/>
      <c r="AE218" s="396"/>
      <c r="AF218" s="396"/>
      <c r="AG218" s="396"/>
      <c r="AH218" s="396"/>
    </row>
    <row r="219" spans="1:34" x14ac:dyDescent="0.25">
      <c r="A219" s="396"/>
      <c r="B219" s="396"/>
      <c r="C219" s="396"/>
      <c r="D219" s="396"/>
      <c r="E219" s="396"/>
      <c r="F219" s="396"/>
      <c r="G219" s="396"/>
      <c r="H219" s="396"/>
      <c r="I219" s="396"/>
      <c r="J219" s="396"/>
      <c r="K219" s="396"/>
      <c r="L219" s="396"/>
      <c r="M219" s="396"/>
      <c r="N219" s="396"/>
      <c r="O219" s="396"/>
      <c r="P219" s="396"/>
      <c r="Q219" s="396"/>
      <c r="R219" s="396"/>
      <c r="S219" s="396"/>
      <c r="T219" s="396"/>
      <c r="U219" s="396"/>
      <c r="V219" s="396"/>
      <c r="W219" s="396"/>
      <c r="X219" s="396"/>
      <c r="Y219" s="396"/>
      <c r="Z219" s="396"/>
      <c r="AA219" s="396"/>
      <c r="AB219" s="396"/>
      <c r="AC219" s="396"/>
      <c r="AD219" s="396"/>
      <c r="AE219" s="396"/>
      <c r="AF219" s="396"/>
      <c r="AG219" s="396"/>
      <c r="AH219" s="396"/>
    </row>
    <row r="220" spans="1:34" x14ac:dyDescent="0.25">
      <c r="A220" s="396"/>
      <c r="B220" s="396"/>
      <c r="C220" s="396"/>
      <c r="D220" s="396"/>
      <c r="E220" s="396"/>
      <c r="F220" s="396"/>
      <c r="G220" s="396"/>
      <c r="H220" s="396"/>
      <c r="I220" s="396"/>
      <c r="J220" s="396"/>
      <c r="K220" s="396"/>
      <c r="L220" s="396"/>
      <c r="M220" s="396"/>
      <c r="N220" s="396"/>
      <c r="O220" s="396"/>
      <c r="P220" s="396"/>
      <c r="Q220" s="396"/>
      <c r="R220" s="396"/>
      <c r="S220" s="396"/>
      <c r="T220" s="396"/>
      <c r="U220" s="396"/>
      <c r="V220" s="396"/>
      <c r="W220" s="396"/>
      <c r="X220" s="396"/>
      <c r="Y220" s="396"/>
      <c r="Z220" s="396"/>
      <c r="AA220" s="396"/>
      <c r="AB220" s="396"/>
      <c r="AC220" s="396"/>
      <c r="AD220" s="396"/>
      <c r="AE220" s="396"/>
      <c r="AF220" s="396"/>
      <c r="AG220" s="396"/>
      <c r="AH220" s="396"/>
    </row>
    <row r="221" spans="1:34" x14ac:dyDescent="0.25">
      <c r="A221" s="396"/>
      <c r="B221" s="396"/>
      <c r="C221" s="396"/>
      <c r="D221" s="396"/>
      <c r="E221" s="396"/>
      <c r="F221" s="396"/>
      <c r="G221" s="396"/>
      <c r="H221" s="396"/>
      <c r="I221" s="396"/>
      <c r="J221" s="396"/>
      <c r="K221" s="396"/>
      <c r="L221" s="396"/>
      <c r="M221" s="396"/>
      <c r="N221" s="396"/>
      <c r="O221" s="396"/>
      <c r="P221" s="396"/>
      <c r="Q221" s="396"/>
      <c r="R221" s="396"/>
      <c r="S221" s="396"/>
      <c r="T221" s="396"/>
      <c r="U221" s="396"/>
      <c r="V221" s="396"/>
      <c r="W221" s="396"/>
      <c r="X221" s="396"/>
      <c r="Y221" s="396"/>
      <c r="Z221" s="396"/>
      <c r="AA221" s="396"/>
      <c r="AB221" s="396"/>
      <c r="AC221" s="396"/>
      <c r="AD221" s="396"/>
      <c r="AE221" s="396"/>
      <c r="AF221" s="396"/>
      <c r="AG221" s="396"/>
      <c r="AH221" s="396"/>
    </row>
    <row r="222" spans="1:34" x14ac:dyDescent="0.25">
      <c r="A222" s="396"/>
      <c r="B222" s="396"/>
      <c r="C222" s="396"/>
      <c r="D222" s="396"/>
      <c r="E222" s="396"/>
      <c r="F222" s="396"/>
      <c r="G222" s="396"/>
      <c r="H222" s="396"/>
      <c r="I222" s="396"/>
      <c r="J222" s="396"/>
      <c r="K222" s="396"/>
      <c r="L222" s="396"/>
      <c r="M222" s="396"/>
      <c r="N222" s="396"/>
      <c r="O222" s="396"/>
      <c r="P222" s="396"/>
      <c r="Q222" s="396"/>
      <c r="R222" s="396"/>
      <c r="S222" s="396"/>
      <c r="T222" s="396"/>
      <c r="U222" s="396"/>
      <c r="V222" s="396"/>
      <c r="W222" s="396"/>
      <c r="X222" s="396"/>
      <c r="Y222" s="396"/>
      <c r="Z222" s="396"/>
      <c r="AA222" s="396"/>
      <c r="AB222" s="396"/>
      <c r="AC222" s="396"/>
      <c r="AD222" s="396"/>
      <c r="AE222" s="396"/>
      <c r="AF222" s="396"/>
      <c r="AG222" s="396"/>
      <c r="AH222" s="396"/>
    </row>
    <row r="223" spans="1:34" x14ac:dyDescent="0.25">
      <c r="A223" s="396"/>
      <c r="B223" s="396"/>
      <c r="C223" s="396"/>
      <c r="D223" s="396"/>
      <c r="E223" s="396"/>
      <c r="F223" s="396"/>
      <c r="G223" s="396"/>
      <c r="H223" s="396"/>
      <c r="I223" s="396"/>
      <c r="J223" s="396"/>
      <c r="K223" s="396"/>
      <c r="L223" s="396"/>
      <c r="M223" s="396"/>
      <c r="N223" s="396"/>
      <c r="O223" s="396"/>
      <c r="P223" s="396"/>
      <c r="Q223" s="396"/>
      <c r="R223" s="396"/>
      <c r="S223" s="396"/>
      <c r="T223" s="396"/>
      <c r="U223" s="396"/>
      <c r="V223" s="396"/>
      <c r="W223" s="396"/>
      <c r="X223" s="396"/>
      <c r="Y223" s="396"/>
      <c r="Z223" s="396"/>
      <c r="AA223" s="396"/>
      <c r="AB223" s="396"/>
      <c r="AC223" s="396"/>
      <c r="AD223" s="396"/>
      <c r="AE223" s="396"/>
      <c r="AF223" s="396"/>
      <c r="AG223" s="396"/>
      <c r="AH223" s="396"/>
    </row>
    <row r="224" spans="1:34" x14ac:dyDescent="0.25">
      <c r="A224" s="396"/>
      <c r="B224" s="396"/>
      <c r="C224" s="396"/>
      <c r="D224" s="396"/>
      <c r="E224" s="396"/>
      <c r="F224" s="396"/>
      <c r="G224" s="396"/>
      <c r="H224" s="396"/>
      <c r="I224" s="396"/>
      <c r="J224" s="396"/>
      <c r="K224" s="396"/>
      <c r="L224" s="396"/>
      <c r="M224" s="396"/>
      <c r="N224" s="396"/>
      <c r="O224" s="396"/>
      <c r="P224" s="396"/>
      <c r="Q224" s="396"/>
      <c r="R224" s="396"/>
      <c r="S224" s="396"/>
      <c r="T224" s="396"/>
      <c r="U224" s="396"/>
      <c r="V224" s="396"/>
      <c r="W224" s="396"/>
      <c r="X224" s="396"/>
      <c r="Y224" s="396"/>
      <c r="Z224" s="396"/>
      <c r="AA224" s="396"/>
      <c r="AB224" s="396"/>
      <c r="AC224" s="396"/>
      <c r="AD224" s="396"/>
      <c r="AE224" s="396"/>
      <c r="AF224" s="396"/>
      <c r="AG224" s="396"/>
      <c r="AH224" s="396"/>
    </row>
    <row r="225" spans="1:34" x14ac:dyDescent="0.25">
      <c r="A225" s="396"/>
      <c r="B225" s="396"/>
      <c r="C225" s="396"/>
      <c r="D225" s="396"/>
      <c r="E225" s="396"/>
      <c r="F225" s="396"/>
      <c r="G225" s="396"/>
      <c r="H225" s="396"/>
      <c r="I225" s="396"/>
      <c r="J225" s="396"/>
      <c r="K225" s="396"/>
      <c r="L225" s="396"/>
      <c r="M225" s="396"/>
      <c r="N225" s="396"/>
      <c r="O225" s="396"/>
      <c r="P225" s="396"/>
      <c r="Q225" s="396"/>
      <c r="R225" s="396"/>
      <c r="S225" s="396"/>
      <c r="T225" s="396"/>
      <c r="U225" s="396"/>
      <c r="V225" s="396"/>
      <c r="W225" s="396"/>
      <c r="X225" s="396"/>
      <c r="Y225" s="396"/>
      <c r="Z225" s="396"/>
      <c r="AA225" s="396"/>
      <c r="AB225" s="396"/>
      <c r="AC225" s="396"/>
      <c r="AD225" s="396"/>
      <c r="AE225" s="396"/>
      <c r="AF225" s="396"/>
      <c r="AG225" s="396"/>
      <c r="AH225" s="396"/>
    </row>
    <row r="226" spans="1:34" x14ac:dyDescent="0.25">
      <c r="A226" s="396"/>
      <c r="B226" s="396"/>
      <c r="C226" s="396"/>
      <c r="D226" s="396"/>
      <c r="E226" s="396"/>
      <c r="F226" s="396"/>
      <c r="G226" s="396"/>
      <c r="H226" s="396"/>
      <c r="I226" s="396"/>
      <c r="J226" s="396"/>
      <c r="K226" s="396"/>
      <c r="L226" s="396"/>
      <c r="M226" s="396"/>
      <c r="N226" s="396"/>
      <c r="O226" s="396"/>
      <c r="P226" s="396"/>
      <c r="Q226" s="396"/>
      <c r="R226" s="396"/>
      <c r="S226" s="396"/>
      <c r="T226" s="396"/>
      <c r="U226" s="396"/>
      <c r="V226" s="396"/>
      <c r="W226" s="396"/>
      <c r="X226" s="396"/>
      <c r="Y226" s="396"/>
      <c r="Z226" s="396"/>
      <c r="AA226" s="396"/>
      <c r="AB226" s="396"/>
      <c r="AC226" s="396"/>
      <c r="AD226" s="396"/>
      <c r="AE226" s="396"/>
      <c r="AF226" s="396"/>
      <c r="AG226" s="396"/>
      <c r="AH226" s="396"/>
    </row>
    <row r="227" spans="1:34" x14ac:dyDescent="0.25">
      <c r="A227" s="396"/>
      <c r="B227" s="396"/>
      <c r="C227" s="396"/>
      <c r="D227" s="396"/>
      <c r="E227" s="396"/>
      <c r="F227" s="396"/>
      <c r="G227" s="396"/>
      <c r="H227" s="396"/>
      <c r="I227" s="396"/>
      <c r="J227" s="396"/>
      <c r="K227" s="396"/>
      <c r="L227" s="396"/>
      <c r="M227" s="396"/>
      <c r="N227" s="396"/>
      <c r="O227" s="396"/>
      <c r="P227" s="396"/>
      <c r="Q227" s="396"/>
      <c r="R227" s="396"/>
      <c r="S227" s="396"/>
      <c r="T227" s="396"/>
      <c r="U227" s="396"/>
      <c r="V227" s="396"/>
      <c r="W227" s="396"/>
      <c r="X227" s="396"/>
      <c r="Y227" s="396"/>
      <c r="Z227" s="396"/>
      <c r="AA227" s="396"/>
      <c r="AB227" s="396"/>
      <c r="AC227" s="396"/>
      <c r="AD227" s="396"/>
      <c r="AE227" s="396"/>
      <c r="AF227" s="396"/>
      <c r="AG227" s="396"/>
      <c r="AH227" s="396"/>
    </row>
    <row r="228" spans="1:34" x14ac:dyDescent="0.25">
      <c r="A228" s="396"/>
      <c r="B228" s="396"/>
      <c r="C228" s="396"/>
      <c r="D228" s="396"/>
      <c r="E228" s="396"/>
      <c r="F228" s="396"/>
      <c r="G228" s="396"/>
      <c r="H228" s="396"/>
      <c r="I228" s="396"/>
      <c r="J228" s="396"/>
      <c r="K228" s="396"/>
      <c r="L228" s="396"/>
      <c r="M228" s="396"/>
      <c r="N228" s="396"/>
      <c r="O228" s="396"/>
      <c r="P228" s="396"/>
      <c r="Q228" s="396"/>
      <c r="R228" s="396"/>
      <c r="S228" s="396"/>
      <c r="T228" s="396"/>
      <c r="U228" s="396"/>
      <c r="V228" s="396"/>
      <c r="W228" s="396"/>
      <c r="X228" s="396"/>
      <c r="Y228" s="396"/>
      <c r="Z228" s="396"/>
      <c r="AA228" s="396"/>
      <c r="AB228" s="396"/>
      <c r="AC228" s="396"/>
      <c r="AD228" s="396"/>
      <c r="AE228" s="396"/>
      <c r="AF228" s="396"/>
      <c r="AG228" s="396"/>
      <c r="AH228" s="396"/>
    </row>
    <row r="229" spans="1:34" x14ac:dyDescent="0.25">
      <c r="A229" s="396"/>
      <c r="B229" s="396"/>
      <c r="C229" s="396"/>
      <c r="D229" s="396"/>
      <c r="E229" s="396"/>
      <c r="F229" s="396"/>
      <c r="G229" s="396"/>
      <c r="H229" s="396"/>
      <c r="I229" s="396"/>
      <c r="J229" s="396"/>
      <c r="K229" s="396"/>
      <c r="L229" s="396"/>
      <c r="M229" s="396"/>
      <c r="N229" s="396"/>
      <c r="O229" s="396"/>
      <c r="P229" s="396"/>
      <c r="Q229" s="396"/>
      <c r="R229" s="396"/>
      <c r="S229" s="396"/>
      <c r="T229" s="396"/>
      <c r="U229" s="396"/>
      <c r="V229" s="396"/>
      <c r="W229" s="396"/>
      <c r="X229" s="396"/>
      <c r="Y229" s="396"/>
      <c r="Z229" s="396"/>
      <c r="AA229" s="396"/>
      <c r="AB229" s="396"/>
      <c r="AC229" s="396"/>
      <c r="AD229" s="396"/>
      <c r="AE229" s="396"/>
      <c r="AF229" s="396"/>
      <c r="AG229" s="396"/>
      <c r="AH229" s="396"/>
    </row>
    <row r="230" spans="1:34" x14ac:dyDescent="0.25">
      <c r="A230" s="396"/>
      <c r="B230" s="396"/>
      <c r="C230" s="396"/>
      <c r="D230" s="396"/>
      <c r="E230" s="396"/>
      <c r="F230" s="396"/>
      <c r="G230" s="396"/>
      <c r="H230" s="396"/>
      <c r="I230" s="396"/>
      <c r="J230" s="396"/>
      <c r="K230" s="396"/>
      <c r="L230" s="396"/>
      <c r="M230" s="396"/>
      <c r="N230" s="396"/>
      <c r="O230" s="396"/>
      <c r="P230" s="396"/>
      <c r="Q230" s="396"/>
      <c r="R230" s="396"/>
      <c r="S230" s="396"/>
      <c r="T230" s="396"/>
      <c r="U230" s="396"/>
      <c r="V230" s="396"/>
      <c r="W230" s="396"/>
      <c r="X230" s="396"/>
      <c r="Y230" s="396"/>
      <c r="Z230" s="396"/>
      <c r="AA230" s="396"/>
      <c r="AB230" s="396"/>
      <c r="AC230" s="396"/>
      <c r="AD230" s="396"/>
      <c r="AE230" s="396"/>
      <c r="AF230" s="396"/>
      <c r="AG230" s="396"/>
      <c r="AH230" s="396"/>
    </row>
    <row r="231" spans="1:34" x14ac:dyDescent="0.25">
      <c r="A231" s="396"/>
      <c r="B231" s="396"/>
      <c r="C231" s="396"/>
      <c r="D231" s="396"/>
      <c r="E231" s="396"/>
      <c r="F231" s="396"/>
      <c r="G231" s="396"/>
      <c r="H231" s="396"/>
      <c r="I231" s="396"/>
      <c r="J231" s="396"/>
      <c r="K231" s="396"/>
      <c r="L231" s="396"/>
      <c r="M231" s="396"/>
      <c r="N231" s="396"/>
      <c r="O231" s="396"/>
      <c r="P231" s="396"/>
      <c r="Q231" s="396"/>
      <c r="R231" s="396"/>
      <c r="S231" s="396"/>
      <c r="T231" s="396"/>
      <c r="U231" s="396"/>
      <c r="V231" s="396"/>
      <c r="W231" s="396"/>
      <c r="X231" s="396"/>
      <c r="Y231" s="396"/>
      <c r="Z231" s="396"/>
      <c r="AA231" s="396"/>
      <c r="AB231" s="396"/>
      <c r="AC231" s="396"/>
      <c r="AD231" s="396"/>
      <c r="AE231" s="396"/>
      <c r="AF231" s="396"/>
      <c r="AG231" s="396"/>
      <c r="AH231" s="396"/>
    </row>
    <row r="232" spans="1:34" x14ac:dyDescent="0.25">
      <c r="A232" s="396"/>
      <c r="B232" s="396"/>
      <c r="C232" s="396"/>
      <c r="D232" s="396"/>
      <c r="E232" s="396"/>
      <c r="F232" s="396"/>
      <c r="G232" s="396"/>
      <c r="H232" s="396"/>
      <c r="I232" s="396"/>
      <c r="J232" s="396"/>
      <c r="K232" s="396"/>
      <c r="L232" s="396"/>
      <c r="M232" s="396"/>
      <c r="N232" s="396"/>
      <c r="O232" s="396"/>
      <c r="P232" s="396"/>
      <c r="Q232" s="396"/>
      <c r="R232" s="396"/>
      <c r="S232" s="396"/>
      <c r="T232" s="396"/>
      <c r="U232" s="396"/>
      <c r="V232" s="396"/>
      <c r="W232" s="396"/>
      <c r="X232" s="396"/>
      <c r="Y232" s="396"/>
      <c r="Z232" s="396"/>
      <c r="AA232" s="396"/>
      <c r="AB232" s="396"/>
      <c r="AC232" s="396"/>
      <c r="AD232" s="396"/>
      <c r="AE232" s="396"/>
      <c r="AF232" s="396"/>
      <c r="AG232" s="396"/>
      <c r="AH232" s="396"/>
    </row>
    <row r="233" spans="1:34" x14ac:dyDescent="0.25">
      <c r="A233" s="396"/>
      <c r="B233" s="396"/>
      <c r="C233" s="396"/>
      <c r="D233" s="396"/>
      <c r="E233" s="396"/>
      <c r="F233" s="396"/>
      <c r="G233" s="396"/>
      <c r="H233" s="396"/>
      <c r="I233" s="396"/>
      <c r="J233" s="396"/>
      <c r="K233" s="396"/>
      <c r="L233" s="396"/>
      <c r="M233" s="396"/>
      <c r="N233" s="396"/>
      <c r="O233" s="396"/>
      <c r="P233" s="396"/>
      <c r="Q233" s="396"/>
      <c r="R233" s="396"/>
      <c r="S233" s="396"/>
      <c r="T233" s="396"/>
      <c r="U233" s="396"/>
      <c r="V233" s="396"/>
      <c r="W233" s="396"/>
      <c r="X233" s="396"/>
      <c r="Y233" s="396"/>
      <c r="Z233" s="396"/>
      <c r="AA233" s="396"/>
      <c r="AB233" s="396"/>
      <c r="AC233" s="396"/>
      <c r="AD233" s="396"/>
      <c r="AE233" s="396"/>
      <c r="AF233" s="396"/>
      <c r="AG233" s="396"/>
      <c r="AH233" s="396"/>
    </row>
    <row r="234" spans="1:34" x14ac:dyDescent="0.25">
      <c r="A234" s="396"/>
      <c r="B234" s="396"/>
      <c r="C234" s="396"/>
      <c r="D234" s="396"/>
      <c r="E234" s="396"/>
      <c r="F234" s="396"/>
      <c r="G234" s="396"/>
      <c r="H234" s="396"/>
      <c r="I234" s="396"/>
      <c r="J234" s="396"/>
      <c r="K234" s="396"/>
      <c r="L234" s="396"/>
      <c r="M234" s="396"/>
      <c r="N234" s="396"/>
      <c r="O234" s="396"/>
      <c r="P234" s="396"/>
      <c r="Q234" s="396"/>
      <c r="R234" s="396"/>
      <c r="S234" s="396"/>
      <c r="T234" s="396"/>
      <c r="U234" s="396"/>
      <c r="V234" s="396"/>
      <c r="W234" s="396"/>
      <c r="X234" s="396"/>
      <c r="Y234" s="396"/>
      <c r="Z234" s="396"/>
      <c r="AA234" s="396"/>
      <c r="AB234" s="396"/>
      <c r="AC234" s="396"/>
      <c r="AD234" s="396"/>
      <c r="AE234" s="396"/>
      <c r="AF234" s="396"/>
      <c r="AG234" s="396"/>
      <c r="AH234" s="396"/>
    </row>
    <row r="235" spans="1:34" x14ac:dyDescent="0.25">
      <c r="A235" s="396"/>
      <c r="B235" s="396"/>
      <c r="C235" s="396"/>
      <c r="D235" s="396"/>
      <c r="E235" s="396"/>
      <c r="F235" s="396"/>
      <c r="G235" s="396"/>
      <c r="H235" s="396"/>
      <c r="I235" s="396"/>
      <c r="J235" s="396"/>
      <c r="K235" s="396"/>
      <c r="L235" s="396"/>
      <c r="M235" s="396"/>
      <c r="N235" s="396"/>
      <c r="O235" s="396"/>
      <c r="P235" s="396"/>
      <c r="Q235" s="396"/>
      <c r="R235" s="396"/>
      <c r="S235" s="396"/>
      <c r="T235" s="396"/>
      <c r="U235" s="396"/>
      <c r="V235" s="396"/>
      <c r="W235" s="396"/>
      <c r="X235" s="396"/>
      <c r="Y235" s="396"/>
      <c r="Z235" s="396"/>
      <c r="AA235" s="396"/>
      <c r="AB235" s="396"/>
      <c r="AC235" s="396"/>
      <c r="AD235" s="396"/>
      <c r="AE235" s="396"/>
      <c r="AF235" s="396"/>
      <c r="AG235" s="396"/>
      <c r="AH235" s="396"/>
    </row>
    <row r="236" spans="1:34" x14ac:dyDescent="0.25">
      <c r="A236" s="396"/>
      <c r="B236" s="396"/>
      <c r="C236" s="396"/>
      <c r="D236" s="396"/>
      <c r="E236" s="396"/>
      <c r="F236" s="396"/>
      <c r="G236" s="396"/>
      <c r="H236" s="396"/>
      <c r="I236" s="396"/>
      <c r="J236" s="396"/>
      <c r="K236" s="396"/>
      <c r="L236" s="396"/>
      <c r="M236" s="396"/>
      <c r="N236" s="396"/>
      <c r="O236" s="396"/>
      <c r="P236" s="396"/>
      <c r="Q236" s="396"/>
      <c r="R236" s="396"/>
      <c r="S236" s="396"/>
      <c r="T236" s="396"/>
      <c r="U236" s="396"/>
      <c r="V236" s="396"/>
      <c r="W236" s="396"/>
      <c r="X236" s="396"/>
      <c r="Y236" s="396"/>
      <c r="Z236" s="396"/>
      <c r="AA236" s="396"/>
      <c r="AB236" s="396"/>
      <c r="AC236" s="396"/>
      <c r="AD236" s="396"/>
      <c r="AE236" s="396"/>
      <c r="AF236" s="396"/>
      <c r="AG236" s="396"/>
      <c r="AH236" s="396"/>
    </row>
    <row r="237" spans="1:34" x14ac:dyDescent="0.25">
      <c r="A237" s="396"/>
      <c r="B237" s="396"/>
      <c r="C237" s="396"/>
      <c r="D237" s="396"/>
      <c r="E237" s="396"/>
      <c r="F237" s="396"/>
      <c r="G237" s="396"/>
      <c r="H237" s="396"/>
      <c r="I237" s="396"/>
      <c r="J237" s="396"/>
      <c r="K237" s="396"/>
      <c r="L237" s="396"/>
      <c r="M237" s="396"/>
      <c r="N237" s="396"/>
      <c r="O237" s="396"/>
      <c r="P237" s="396"/>
      <c r="Q237" s="396"/>
      <c r="R237" s="396"/>
      <c r="S237" s="396"/>
      <c r="T237" s="396"/>
      <c r="U237" s="396"/>
      <c r="V237" s="396"/>
      <c r="W237" s="396"/>
      <c r="X237" s="396"/>
      <c r="Y237" s="396"/>
      <c r="Z237" s="396"/>
      <c r="AA237" s="396"/>
      <c r="AB237" s="396"/>
      <c r="AC237" s="396"/>
      <c r="AD237" s="396"/>
      <c r="AE237" s="396"/>
      <c r="AF237" s="396"/>
      <c r="AG237" s="396"/>
      <c r="AH237" s="396"/>
    </row>
    <row r="238" spans="1:34" x14ac:dyDescent="0.25">
      <c r="A238" s="396"/>
      <c r="B238" s="396"/>
      <c r="C238" s="396"/>
      <c r="D238" s="396"/>
      <c r="E238" s="396"/>
      <c r="F238" s="396"/>
      <c r="G238" s="396"/>
      <c r="H238" s="396"/>
      <c r="I238" s="396"/>
      <c r="J238" s="396"/>
      <c r="K238" s="396"/>
      <c r="L238" s="396"/>
      <c r="M238" s="396"/>
      <c r="N238" s="396"/>
      <c r="O238" s="396"/>
      <c r="P238" s="396"/>
      <c r="Q238" s="396"/>
      <c r="R238" s="396"/>
      <c r="S238" s="396"/>
      <c r="T238" s="396"/>
      <c r="U238" s="396"/>
      <c r="V238" s="396"/>
      <c r="W238" s="396"/>
      <c r="X238" s="396"/>
      <c r="Y238" s="396"/>
      <c r="Z238" s="396"/>
      <c r="AA238" s="396"/>
      <c r="AB238" s="396"/>
      <c r="AC238" s="396"/>
      <c r="AD238" s="396"/>
      <c r="AE238" s="396"/>
      <c r="AF238" s="396"/>
      <c r="AG238" s="396"/>
      <c r="AH238" s="396"/>
    </row>
    <row r="239" spans="1:34" x14ac:dyDescent="0.25">
      <c r="A239" s="396"/>
      <c r="B239" s="396"/>
      <c r="C239" s="396"/>
      <c r="D239" s="396"/>
      <c r="E239" s="396"/>
      <c r="F239" s="396"/>
      <c r="G239" s="396"/>
      <c r="H239" s="396"/>
      <c r="I239" s="396"/>
      <c r="J239" s="396"/>
      <c r="K239" s="396"/>
      <c r="L239" s="396"/>
      <c r="M239" s="396"/>
      <c r="N239" s="396"/>
      <c r="O239" s="396"/>
      <c r="P239" s="396"/>
      <c r="Q239" s="396"/>
      <c r="R239" s="396"/>
      <c r="S239" s="396"/>
      <c r="T239" s="396"/>
      <c r="U239" s="396"/>
      <c r="V239" s="396"/>
      <c r="W239" s="396"/>
      <c r="X239" s="396"/>
      <c r="Y239" s="396"/>
      <c r="Z239" s="396"/>
      <c r="AA239" s="396"/>
      <c r="AB239" s="396"/>
      <c r="AC239" s="396"/>
      <c r="AD239" s="396"/>
      <c r="AE239" s="396"/>
      <c r="AF239" s="396"/>
      <c r="AG239" s="396"/>
      <c r="AH239" s="396"/>
    </row>
    <row r="240" spans="1:34" x14ac:dyDescent="0.25">
      <c r="A240" s="396"/>
      <c r="B240" s="396"/>
      <c r="C240" s="396"/>
      <c r="D240" s="396"/>
      <c r="E240" s="396"/>
      <c r="F240" s="396"/>
      <c r="G240" s="396"/>
      <c r="H240" s="396"/>
      <c r="I240" s="396"/>
      <c r="J240" s="396"/>
      <c r="K240" s="396"/>
      <c r="L240" s="396"/>
      <c r="M240" s="396"/>
      <c r="N240" s="396"/>
      <c r="O240" s="396"/>
      <c r="P240" s="396"/>
      <c r="Q240" s="396"/>
      <c r="R240" s="396"/>
      <c r="S240" s="396"/>
      <c r="T240" s="396"/>
      <c r="U240" s="396"/>
      <c r="V240" s="396"/>
      <c r="W240" s="396"/>
      <c r="X240" s="396"/>
      <c r="Y240" s="396"/>
      <c r="Z240" s="396"/>
      <c r="AA240" s="396"/>
      <c r="AB240" s="396"/>
      <c r="AC240" s="396"/>
      <c r="AD240" s="396"/>
      <c r="AE240" s="396"/>
      <c r="AF240" s="396"/>
      <c r="AG240" s="396"/>
      <c r="AH240" s="396"/>
    </row>
    <row r="241" spans="1:34" x14ac:dyDescent="0.25">
      <c r="A241" s="396"/>
      <c r="B241" s="396"/>
      <c r="C241" s="396"/>
      <c r="D241" s="396"/>
      <c r="E241" s="396"/>
      <c r="F241" s="396"/>
      <c r="G241" s="396"/>
      <c r="H241" s="396"/>
      <c r="I241" s="396"/>
      <c r="J241" s="396"/>
      <c r="K241" s="396"/>
      <c r="L241" s="396"/>
      <c r="M241" s="396"/>
      <c r="N241" s="396"/>
      <c r="O241" s="396"/>
      <c r="P241" s="396"/>
      <c r="Q241" s="396"/>
      <c r="R241" s="396"/>
      <c r="S241" s="396"/>
      <c r="T241" s="396"/>
      <c r="U241" s="396"/>
      <c r="V241" s="396"/>
      <c r="W241" s="396"/>
      <c r="X241" s="396"/>
      <c r="Y241" s="396"/>
      <c r="Z241" s="396"/>
      <c r="AA241" s="396"/>
      <c r="AB241" s="396"/>
      <c r="AC241" s="396"/>
      <c r="AD241" s="396"/>
      <c r="AE241" s="396"/>
      <c r="AF241" s="396"/>
      <c r="AG241" s="396"/>
      <c r="AH241" s="396"/>
    </row>
    <row r="242" spans="1:34" x14ac:dyDescent="0.25">
      <c r="A242" s="396"/>
      <c r="B242" s="396"/>
      <c r="C242" s="396"/>
      <c r="D242" s="396"/>
      <c r="E242" s="396"/>
      <c r="F242" s="396"/>
      <c r="G242" s="396"/>
      <c r="H242" s="396"/>
      <c r="I242" s="396"/>
      <c r="J242" s="396"/>
      <c r="K242" s="396"/>
      <c r="L242" s="396"/>
      <c r="M242" s="396"/>
      <c r="N242" s="396"/>
      <c r="O242" s="396"/>
      <c r="P242" s="396"/>
      <c r="Q242" s="396"/>
      <c r="R242" s="396"/>
      <c r="S242" s="396"/>
      <c r="T242" s="396"/>
      <c r="U242" s="396"/>
      <c r="V242" s="396"/>
      <c r="W242" s="396"/>
      <c r="X242" s="396"/>
      <c r="Y242" s="396"/>
      <c r="Z242" s="396"/>
      <c r="AA242" s="396"/>
      <c r="AB242" s="396"/>
      <c r="AC242" s="396"/>
      <c r="AD242" s="396"/>
      <c r="AE242" s="396"/>
      <c r="AF242" s="396"/>
      <c r="AG242" s="396"/>
      <c r="AH242" s="396"/>
    </row>
    <row r="243" spans="1:34" x14ac:dyDescent="0.25">
      <c r="A243" s="396"/>
      <c r="B243" s="396"/>
      <c r="C243" s="396"/>
      <c r="D243" s="396"/>
      <c r="E243" s="396"/>
      <c r="F243" s="396"/>
      <c r="G243" s="396"/>
      <c r="H243" s="396"/>
      <c r="I243" s="396"/>
      <c r="J243" s="396"/>
      <c r="K243" s="396"/>
      <c r="L243" s="396"/>
      <c r="M243" s="396"/>
      <c r="N243" s="396"/>
      <c r="O243" s="396"/>
      <c r="P243" s="396"/>
      <c r="Q243" s="396"/>
      <c r="R243" s="396"/>
      <c r="S243" s="396"/>
      <c r="T243" s="396"/>
      <c r="U243" s="396"/>
      <c r="V243" s="396"/>
      <c r="W243" s="396"/>
      <c r="X243" s="396"/>
      <c r="Y243" s="396"/>
      <c r="Z243" s="396"/>
      <c r="AA243" s="396"/>
      <c r="AB243" s="396"/>
      <c r="AC243" s="396"/>
      <c r="AD243" s="396"/>
      <c r="AE243" s="396"/>
      <c r="AF243" s="396"/>
      <c r="AG243" s="396"/>
      <c r="AH243" s="396"/>
    </row>
    <row r="244" spans="1:34" x14ac:dyDescent="0.25">
      <c r="A244" s="396"/>
      <c r="B244" s="396"/>
      <c r="C244" s="396"/>
      <c r="D244" s="396"/>
      <c r="E244" s="396"/>
      <c r="F244" s="396"/>
      <c r="G244" s="396"/>
      <c r="H244" s="396"/>
      <c r="I244" s="396"/>
      <c r="J244" s="396"/>
      <c r="K244" s="396"/>
      <c r="L244" s="396"/>
      <c r="M244" s="396"/>
      <c r="N244" s="396"/>
      <c r="O244" s="396"/>
      <c r="P244" s="396"/>
      <c r="Q244" s="396"/>
      <c r="R244" s="396"/>
      <c r="S244" s="396"/>
      <c r="T244" s="396"/>
      <c r="U244" s="396"/>
      <c r="V244" s="396"/>
      <c r="W244" s="396"/>
      <c r="X244" s="396"/>
      <c r="Y244" s="396"/>
      <c r="Z244" s="396"/>
      <c r="AA244" s="396"/>
      <c r="AB244" s="396"/>
      <c r="AC244" s="396"/>
      <c r="AD244" s="396"/>
      <c r="AE244" s="396"/>
      <c r="AF244" s="396"/>
      <c r="AG244" s="396"/>
      <c r="AH244" s="396"/>
    </row>
    <row r="245" spans="1:34" x14ac:dyDescent="0.25">
      <c r="A245" s="396"/>
      <c r="B245" s="396"/>
      <c r="C245" s="396"/>
      <c r="D245" s="396"/>
      <c r="E245" s="396"/>
      <c r="F245" s="396"/>
      <c r="G245" s="396"/>
      <c r="H245" s="396"/>
      <c r="I245" s="396"/>
      <c r="J245" s="396"/>
      <c r="K245" s="396"/>
      <c r="L245" s="396"/>
      <c r="M245" s="396"/>
      <c r="N245" s="396"/>
      <c r="O245" s="396"/>
      <c r="P245" s="396"/>
      <c r="Q245" s="396"/>
      <c r="R245" s="396"/>
      <c r="S245" s="396"/>
      <c r="T245" s="396"/>
      <c r="U245" s="396"/>
      <c r="V245" s="396"/>
      <c r="W245" s="396"/>
      <c r="X245" s="396"/>
      <c r="Y245" s="396"/>
      <c r="Z245" s="396"/>
      <c r="AA245" s="396"/>
      <c r="AB245" s="396"/>
      <c r="AC245" s="396"/>
      <c r="AD245" s="396"/>
      <c r="AE245" s="396"/>
      <c r="AF245" s="396"/>
      <c r="AG245" s="396"/>
      <c r="AH245" s="396"/>
    </row>
    <row r="246" spans="1:34" x14ac:dyDescent="0.25">
      <c r="A246" s="396"/>
      <c r="B246" s="396"/>
      <c r="C246" s="396"/>
      <c r="D246" s="396"/>
      <c r="E246" s="396"/>
      <c r="F246" s="396"/>
      <c r="G246" s="396"/>
      <c r="H246" s="396"/>
      <c r="I246" s="396"/>
      <c r="J246" s="396"/>
      <c r="K246" s="396"/>
      <c r="L246" s="396"/>
      <c r="M246" s="396"/>
      <c r="N246" s="396"/>
      <c r="O246" s="396"/>
      <c r="P246" s="396"/>
      <c r="Q246" s="396"/>
      <c r="R246" s="396"/>
      <c r="S246" s="396"/>
      <c r="T246" s="396"/>
      <c r="U246" s="396"/>
      <c r="V246" s="396"/>
      <c r="W246" s="396"/>
      <c r="X246" s="396"/>
      <c r="Y246" s="396"/>
      <c r="Z246" s="396"/>
      <c r="AA246" s="396"/>
      <c r="AB246" s="396"/>
      <c r="AC246" s="396"/>
      <c r="AD246" s="396"/>
      <c r="AE246" s="396"/>
      <c r="AF246" s="396"/>
      <c r="AG246" s="396"/>
      <c r="AH246" s="396"/>
    </row>
    <row r="247" spans="1:34" x14ac:dyDescent="0.25">
      <c r="A247" s="396"/>
      <c r="B247" s="396"/>
      <c r="C247" s="396"/>
      <c r="D247" s="396"/>
      <c r="E247" s="396"/>
      <c r="F247" s="396"/>
      <c r="G247" s="396"/>
      <c r="H247" s="396"/>
      <c r="I247" s="396"/>
      <c r="J247" s="396"/>
      <c r="K247" s="396"/>
      <c r="L247" s="396"/>
      <c r="M247" s="396"/>
      <c r="N247" s="396"/>
      <c r="O247" s="396"/>
      <c r="P247" s="396"/>
      <c r="Q247" s="396"/>
      <c r="R247" s="396"/>
      <c r="S247" s="396"/>
      <c r="T247" s="396"/>
      <c r="U247" s="396"/>
      <c r="V247" s="396"/>
      <c r="W247" s="396"/>
      <c r="X247" s="396"/>
      <c r="Y247" s="396"/>
      <c r="Z247" s="396"/>
      <c r="AA247" s="396"/>
      <c r="AB247" s="396"/>
      <c r="AC247" s="396"/>
      <c r="AD247" s="396"/>
      <c r="AE247" s="396"/>
      <c r="AF247" s="396"/>
      <c r="AG247" s="396"/>
      <c r="AH247" s="396"/>
    </row>
    <row r="248" spans="1:34" x14ac:dyDescent="0.25">
      <c r="A248" s="396"/>
      <c r="B248" s="396"/>
      <c r="C248" s="396"/>
      <c r="D248" s="396"/>
      <c r="E248" s="396"/>
      <c r="F248" s="396"/>
      <c r="G248" s="396"/>
      <c r="H248" s="396"/>
      <c r="I248" s="396"/>
      <c r="J248" s="396"/>
      <c r="K248" s="396"/>
      <c r="L248" s="396"/>
      <c r="M248" s="396"/>
      <c r="N248" s="396"/>
      <c r="O248" s="396"/>
      <c r="P248" s="396"/>
      <c r="Q248" s="396"/>
      <c r="R248" s="396"/>
      <c r="S248" s="396"/>
      <c r="T248" s="396"/>
      <c r="U248" s="396"/>
      <c r="V248" s="396"/>
      <c r="W248" s="396"/>
      <c r="X248" s="396"/>
      <c r="Y248" s="396"/>
      <c r="Z248" s="396"/>
      <c r="AA248" s="396"/>
      <c r="AB248" s="396"/>
      <c r="AC248" s="396"/>
      <c r="AD248" s="396"/>
      <c r="AE248" s="396"/>
      <c r="AF248" s="396"/>
      <c r="AG248" s="396"/>
      <c r="AH248" s="396"/>
    </row>
    <row r="249" spans="1:34" x14ac:dyDescent="0.25">
      <c r="A249" s="396"/>
      <c r="B249" s="396"/>
      <c r="C249" s="396"/>
      <c r="D249" s="396"/>
      <c r="E249" s="396"/>
      <c r="F249" s="396"/>
      <c r="G249" s="396"/>
      <c r="H249" s="396"/>
      <c r="I249" s="396"/>
      <c r="J249" s="396"/>
      <c r="K249" s="396"/>
      <c r="L249" s="396"/>
      <c r="M249" s="396"/>
      <c r="N249" s="396"/>
      <c r="O249" s="396"/>
      <c r="P249" s="396"/>
      <c r="Q249" s="396"/>
      <c r="R249" s="396"/>
      <c r="S249" s="396"/>
      <c r="T249" s="396"/>
      <c r="U249" s="396"/>
      <c r="V249" s="396"/>
      <c r="W249" s="396"/>
      <c r="X249" s="396"/>
      <c r="Y249" s="396"/>
      <c r="Z249" s="396"/>
      <c r="AA249" s="396"/>
      <c r="AB249" s="396"/>
      <c r="AC249" s="396"/>
      <c r="AD249" s="396"/>
      <c r="AE249" s="396"/>
      <c r="AF249" s="396"/>
      <c r="AG249" s="396"/>
      <c r="AH249" s="396"/>
    </row>
    <row r="250" spans="1:34" x14ac:dyDescent="0.25">
      <c r="A250" s="396"/>
      <c r="B250" s="396"/>
      <c r="C250" s="396"/>
      <c r="D250" s="396"/>
      <c r="E250" s="396"/>
      <c r="F250" s="396"/>
      <c r="G250" s="396"/>
      <c r="H250" s="396"/>
      <c r="I250" s="396"/>
      <c r="J250" s="396"/>
      <c r="K250" s="396"/>
      <c r="L250" s="396"/>
      <c r="M250" s="396"/>
      <c r="N250" s="396"/>
      <c r="O250" s="396"/>
      <c r="P250" s="396"/>
      <c r="Q250" s="396"/>
      <c r="R250" s="396"/>
      <c r="S250" s="396"/>
      <c r="T250" s="396"/>
      <c r="U250" s="396"/>
      <c r="V250" s="396"/>
      <c r="W250" s="396"/>
      <c r="X250" s="396"/>
      <c r="Y250" s="396"/>
      <c r="Z250" s="396"/>
      <c r="AA250" s="396"/>
      <c r="AB250" s="396"/>
      <c r="AC250" s="396"/>
      <c r="AD250" s="396"/>
      <c r="AE250" s="396"/>
      <c r="AF250" s="396"/>
      <c r="AG250" s="396"/>
      <c r="AH250" s="396"/>
    </row>
    <row r="251" spans="1:34" x14ac:dyDescent="0.25">
      <c r="A251" s="396"/>
      <c r="B251" s="396"/>
      <c r="C251" s="396"/>
      <c r="D251" s="396"/>
      <c r="E251" s="396"/>
      <c r="F251" s="396"/>
      <c r="G251" s="396"/>
      <c r="H251" s="396"/>
      <c r="I251" s="396"/>
      <c r="J251" s="396"/>
      <c r="K251" s="396"/>
      <c r="L251" s="396"/>
      <c r="M251" s="396"/>
      <c r="N251" s="396"/>
      <c r="O251" s="396"/>
      <c r="P251" s="396"/>
      <c r="Q251" s="396"/>
      <c r="R251" s="396"/>
      <c r="S251" s="396"/>
      <c r="T251" s="396"/>
      <c r="U251" s="396"/>
      <c r="V251" s="396"/>
      <c r="W251" s="396"/>
      <c r="X251" s="396"/>
      <c r="Y251" s="396"/>
      <c r="Z251" s="396"/>
      <c r="AA251" s="396"/>
      <c r="AB251" s="396"/>
      <c r="AC251" s="396"/>
      <c r="AD251" s="396"/>
      <c r="AE251" s="396"/>
      <c r="AF251" s="396"/>
      <c r="AG251" s="396"/>
      <c r="AH251" s="396"/>
    </row>
    <row r="252" spans="1:34" x14ac:dyDescent="0.25">
      <c r="A252" s="396"/>
      <c r="B252" s="396"/>
      <c r="C252" s="396"/>
      <c r="D252" s="396"/>
      <c r="E252" s="396"/>
      <c r="F252" s="396"/>
      <c r="G252" s="396"/>
      <c r="H252" s="396"/>
      <c r="I252" s="396"/>
      <c r="J252" s="396"/>
      <c r="K252" s="396"/>
      <c r="L252" s="396"/>
      <c r="M252" s="396"/>
      <c r="N252" s="396"/>
      <c r="O252" s="396"/>
      <c r="P252" s="396"/>
      <c r="Q252" s="396"/>
      <c r="R252" s="396"/>
      <c r="S252" s="396"/>
      <c r="T252" s="396"/>
      <c r="U252" s="396"/>
      <c r="V252" s="396"/>
      <c r="W252" s="396"/>
      <c r="X252" s="396"/>
      <c r="Y252" s="396"/>
      <c r="Z252" s="396"/>
      <c r="AA252" s="396"/>
      <c r="AB252" s="396"/>
      <c r="AC252" s="396"/>
      <c r="AD252" s="396"/>
      <c r="AE252" s="396"/>
      <c r="AF252" s="396"/>
      <c r="AG252" s="396"/>
      <c r="AH252" s="396"/>
    </row>
    <row r="253" spans="1:34" x14ac:dyDescent="0.25">
      <c r="A253" s="396"/>
      <c r="B253" s="396"/>
      <c r="C253" s="396"/>
      <c r="D253" s="396"/>
      <c r="E253" s="396"/>
      <c r="F253" s="396"/>
      <c r="G253" s="396"/>
      <c r="H253" s="396"/>
      <c r="I253" s="396"/>
      <c r="J253" s="396"/>
      <c r="K253" s="396"/>
      <c r="L253" s="396"/>
      <c r="M253" s="396"/>
      <c r="N253" s="396"/>
      <c r="O253" s="396"/>
      <c r="P253" s="396"/>
      <c r="Q253" s="396"/>
      <c r="R253" s="396"/>
      <c r="S253" s="396"/>
      <c r="T253" s="396"/>
      <c r="U253" s="396"/>
      <c r="V253" s="396"/>
      <c r="W253" s="396"/>
      <c r="X253" s="396"/>
      <c r="Y253" s="396"/>
      <c r="Z253" s="396"/>
      <c r="AA253" s="396"/>
      <c r="AB253" s="396"/>
      <c r="AC253" s="396"/>
      <c r="AD253" s="396"/>
      <c r="AE253" s="396"/>
      <c r="AF253" s="396"/>
      <c r="AG253" s="396"/>
      <c r="AH253" s="396"/>
    </row>
    <row r="254" spans="1:34" x14ac:dyDescent="0.25">
      <c r="A254" s="396"/>
      <c r="B254" s="396"/>
      <c r="C254" s="396"/>
      <c r="D254" s="396"/>
      <c r="E254" s="396"/>
      <c r="F254" s="396"/>
      <c r="G254" s="396"/>
      <c r="H254" s="396"/>
      <c r="I254" s="396"/>
      <c r="J254" s="396"/>
      <c r="K254" s="396"/>
      <c r="L254" s="396"/>
      <c r="M254" s="396"/>
      <c r="N254" s="396"/>
      <c r="O254" s="396"/>
      <c r="P254" s="396"/>
      <c r="Q254" s="396"/>
      <c r="R254" s="396"/>
      <c r="S254" s="396"/>
      <c r="T254" s="396"/>
      <c r="U254" s="396"/>
      <c r="V254" s="396"/>
      <c r="W254" s="396"/>
      <c r="X254" s="396"/>
      <c r="Y254" s="396"/>
      <c r="Z254" s="396"/>
      <c r="AA254" s="396"/>
      <c r="AB254" s="396"/>
      <c r="AC254" s="396"/>
      <c r="AD254" s="396"/>
      <c r="AE254" s="396"/>
      <c r="AF254" s="396"/>
      <c r="AG254" s="396"/>
      <c r="AH254" s="396"/>
    </row>
    <row r="255" spans="1:34" x14ac:dyDescent="0.25">
      <c r="A255" s="396"/>
      <c r="B255" s="396"/>
      <c r="C255" s="396"/>
      <c r="D255" s="396"/>
      <c r="E255" s="396"/>
      <c r="F255" s="396"/>
      <c r="G255" s="396"/>
      <c r="H255" s="396"/>
      <c r="I255" s="396"/>
      <c r="J255" s="396"/>
      <c r="K255" s="396"/>
      <c r="L255" s="396"/>
      <c r="M255" s="396"/>
      <c r="N255" s="396"/>
      <c r="O255" s="396"/>
      <c r="P255" s="396"/>
      <c r="Q255" s="396"/>
      <c r="R255" s="396"/>
      <c r="S255" s="396"/>
      <c r="T255" s="396"/>
      <c r="U255" s="396"/>
      <c r="V255" s="396"/>
      <c r="W255" s="396"/>
      <c r="X255" s="396"/>
      <c r="Y255" s="396"/>
      <c r="Z255" s="396"/>
      <c r="AA255" s="396"/>
      <c r="AB255" s="396"/>
      <c r="AC255" s="396"/>
      <c r="AD255" s="396"/>
      <c r="AE255" s="396"/>
      <c r="AF255" s="396"/>
      <c r="AG255" s="396"/>
      <c r="AH255" s="396"/>
    </row>
    <row r="256" spans="1:34" x14ac:dyDescent="0.25">
      <c r="A256" s="396"/>
      <c r="B256" s="396"/>
      <c r="C256" s="396"/>
      <c r="D256" s="396"/>
      <c r="E256" s="396"/>
      <c r="F256" s="396"/>
      <c r="G256" s="396"/>
      <c r="H256" s="396"/>
      <c r="I256" s="396"/>
      <c r="J256" s="396"/>
      <c r="K256" s="396"/>
      <c r="L256" s="396"/>
      <c r="M256" s="396"/>
      <c r="N256" s="396"/>
      <c r="O256" s="396"/>
      <c r="P256" s="396"/>
      <c r="Q256" s="396"/>
      <c r="R256" s="396"/>
      <c r="S256" s="396"/>
      <c r="T256" s="396"/>
      <c r="U256" s="396"/>
      <c r="V256" s="396"/>
      <c r="W256" s="396"/>
      <c r="X256" s="396"/>
      <c r="Y256" s="396"/>
      <c r="Z256" s="396"/>
      <c r="AA256" s="396"/>
      <c r="AB256" s="396"/>
      <c r="AC256" s="396"/>
      <c r="AD256" s="396"/>
      <c r="AE256" s="396"/>
      <c r="AF256" s="396"/>
      <c r="AG256" s="396"/>
      <c r="AH256" s="396"/>
    </row>
    <row r="257" spans="1:34" x14ac:dyDescent="0.25">
      <c r="A257" s="396"/>
      <c r="B257" s="396"/>
      <c r="C257" s="396"/>
      <c r="D257" s="396"/>
      <c r="E257" s="396"/>
      <c r="F257" s="396"/>
      <c r="G257" s="396"/>
      <c r="H257" s="396"/>
      <c r="I257" s="396"/>
      <c r="J257" s="396"/>
      <c r="K257" s="396"/>
      <c r="L257" s="396"/>
      <c r="M257" s="396"/>
      <c r="N257" s="396"/>
      <c r="O257" s="396"/>
      <c r="P257" s="396"/>
      <c r="Q257" s="396"/>
      <c r="R257" s="396"/>
      <c r="S257" s="396"/>
      <c r="T257" s="396"/>
      <c r="U257" s="396"/>
      <c r="V257" s="396"/>
      <c r="W257" s="396"/>
      <c r="X257" s="396"/>
      <c r="Y257" s="396"/>
      <c r="Z257" s="396"/>
      <c r="AA257" s="396"/>
      <c r="AB257" s="396"/>
      <c r="AC257" s="396"/>
      <c r="AD257" s="396"/>
      <c r="AE257" s="396"/>
      <c r="AF257" s="396"/>
      <c r="AG257" s="396"/>
      <c r="AH257" s="396"/>
    </row>
    <row r="258" spans="1:34" x14ac:dyDescent="0.25">
      <c r="A258" s="396"/>
      <c r="B258" s="396"/>
      <c r="C258" s="396"/>
      <c r="D258" s="396"/>
      <c r="E258" s="396"/>
      <c r="F258" s="396"/>
      <c r="G258" s="396"/>
      <c r="H258" s="396"/>
      <c r="I258" s="396"/>
      <c r="J258" s="396"/>
      <c r="K258" s="396"/>
      <c r="L258" s="396"/>
      <c r="M258" s="396"/>
      <c r="N258" s="396"/>
      <c r="O258" s="396"/>
      <c r="P258" s="396"/>
      <c r="Q258" s="396"/>
      <c r="R258" s="396"/>
      <c r="S258" s="396"/>
      <c r="T258" s="396"/>
      <c r="U258" s="396"/>
      <c r="V258" s="396"/>
      <c r="W258" s="396"/>
      <c r="X258" s="396"/>
      <c r="Y258" s="396"/>
      <c r="Z258" s="396"/>
      <c r="AA258" s="396"/>
      <c r="AB258" s="396"/>
      <c r="AC258" s="396"/>
      <c r="AD258" s="396"/>
      <c r="AE258" s="396"/>
      <c r="AF258" s="396"/>
      <c r="AG258" s="396"/>
      <c r="AH258" s="396"/>
    </row>
    <row r="259" spans="1:34" x14ac:dyDescent="0.25">
      <c r="A259" s="396"/>
      <c r="B259" s="396"/>
      <c r="C259" s="396"/>
      <c r="D259" s="396"/>
      <c r="E259" s="396"/>
      <c r="F259" s="396"/>
      <c r="G259" s="396"/>
      <c r="H259" s="396"/>
      <c r="I259" s="396"/>
      <c r="J259" s="396"/>
      <c r="K259" s="396"/>
      <c r="L259" s="396"/>
      <c r="M259" s="396"/>
      <c r="N259" s="396"/>
      <c r="O259" s="396"/>
      <c r="P259" s="396"/>
      <c r="Q259" s="396"/>
      <c r="R259" s="396"/>
      <c r="S259" s="396"/>
      <c r="T259" s="396"/>
      <c r="U259" s="396"/>
      <c r="V259" s="396"/>
      <c r="W259" s="396"/>
      <c r="X259" s="396"/>
      <c r="Y259" s="396"/>
      <c r="Z259" s="396"/>
      <c r="AA259" s="396"/>
      <c r="AB259" s="396"/>
      <c r="AC259" s="396"/>
      <c r="AD259" s="396"/>
      <c r="AE259" s="396"/>
      <c r="AF259" s="396"/>
      <c r="AG259" s="396"/>
      <c r="AH259" s="396"/>
    </row>
    <row r="260" spans="1:34" x14ac:dyDescent="0.25">
      <c r="A260" s="396"/>
      <c r="B260" s="396"/>
      <c r="C260" s="396"/>
      <c r="D260" s="396"/>
      <c r="E260" s="396"/>
      <c r="F260" s="396"/>
      <c r="G260" s="396"/>
      <c r="H260" s="396"/>
      <c r="I260" s="396"/>
      <c r="J260" s="396"/>
      <c r="K260" s="396"/>
      <c r="L260" s="396"/>
      <c r="M260" s="396"/>
      <c r="N260" s="396"/>
      <c r="O260" s="396"/>
      <c r="P260" s="396"/>
      <c r="Q260" s="396"/>
      <c r="R260" s="396"/>
      <c r="S260" s="396"/>
      <c r="T260" s="396"/>
      <c r="U260" s="396"/>
      <c r="V260" s="396"/>
      <c r="W260" s="396"/>
      <c r="X260" s="396"/>
      <c r="Y260" s="396"/>
      <c r="Z260" s="396"/>
      <c r="AA260" s="396"/>
      <c r="AB260" s="396"/>
      <c r="AC260" s="396"/>
      <c r="AD260" s="396"/>
      <c r="AE260" s="396"/>
      <c r="AF260" s="396"/>
      <c r="AG260" s="396"/>
      <c r="AH260" s="396"/>
    </row>
    <row r="261" spans="1:34" x14ac:dyDescent="0.25">
      <c r="A261" s="396"/>
      <c r="B261" s="396"/>
      <c r="C261" s="396"/>
      <c r="D261" s="396"/>
      <c r="E261" s="396"/>
      <c r="F261" s="396"/>
      <c r="G261" s="396"/>
      <c r="H261" s="396"/>
      <c r="I261" s="396"/>
      <c r="J261" s="396"/>
      <c r="K261" s="396"/>
      <c r="L261" s="396"/>
      <c r="M261" s="396"/>
      <c r="N261" s="396"/>
      <c r="O261" s="396"/>
      <c r="P261" s="396"/>
      <c r="Q261" s="396"/>
      <c r="R261" s="396"/>
      <c r="S261" s="396"/>
      <c r="T261" s="396"/>
      <c r="U261" s="396"/>
      <c r="V261" s="396"/>
      <c r="W261" s="396"/>
      <c r="X261" s="396"/>
      <c r="Y261" s="396"/>
      <c r="Z261" s="396"/>
      <c r="AA261" s="396"/>
      <c r="AB261" s="396"/>
      <c r="AC261" s="396"/>
      <c r="AD261" s="396"/>
      <c r="AE261" s="396"/>
      <c r="AF261" s="396"/>
      <c r="AG261" s="396"/>
      <c r="AH261" s="396"/>
    </row>
    <row r="262" spans="1:34" x14ac:dyDescent="0.25">
      <c r="A262" s="396"/>
      <c r="B262" s="396"/>
      <c r="C262" s="396"/>
      <c r="D262" s="396"/>
      <c r="E262" s="396"/>
      <c r="F262" s="396"/>
      <c r="G262" s="396"/>
      <c r="H262" s="396"/>
      <c r="I262" s="396"/>
      <c r="J262" s="396"/>
      <c r="K262" s="396"/>
      <c r="L262" s="396"/>
      <c r="M262" s="396"/>
      <c r="N262" s="396"/>
      <c r="O262" s="396"/>
      <c r="P262" s="396"/>
      <c r="Q262" s="396"/>
      <c r="R262" s="396"/>
      <c r="S262" s="396"/>
      <c r="T262" s="396"/>
      <c r="U262" s="396"/>
      <c r="V262" s="396"/>
      <c r="W262" s="396"/>
      <c r="X262" s="396"/>
      <c r="Y262" s="396"/>
      <c r="Z262" s="396"/>
      <c r="AA262" s="396"/>
      <c r="AB262" s="396"/>
      <c r="AC262" s="396"/>
      <c r="AD262" s="396"/>
      <c r="AE262" s="396"/>
      <c r="AF262" s="396"/>
      <c r="AG262" s="396"/>
      <c r="AH262" s="396"/>
    </row>
    <row r="263" spans="1:34" x14ac:dyDescent="0.25">
      <c r="A263" s="396"/>
      <c r="B263" s="396"/>
      <c r="C263" s="396"/>
      <c r="D263" s="396"/>
      <c r="E263" s="396"/>
      <c r="F263" s="396"/>
      <c r="G263" s="396"/>
      <c r="H263" s="396"/>
      <c r="I263" s="396"/>
      <c r="J263" s="396"/>
      <c r="K263" s="396"/>
      <c r="L263" s="396"/>
      <c r="M263" s="396"/>
      <c r="N263" s="396"/>
      <c r="O263" s="396"/>
      <c r="P263" s="396"/>
      <c r="Q263" s="396"/>
      <c r="R263" s="396"/>
      <c r="S263" s="396"/>
      <c r="T263" s="396"/>
      <c r="U263" s="396"/>
      <c r="V263" s="396"/>
      <c r="W263" s="396"/>
      <c r="X263" s="396"/>
      <c r="Y263" s="396"/>
      <c r="Z263" s="396"/>
      <c r="AA263" s="396"/>
      <c r="AB263" s="396"/>
      <c r="AC263" s="396"/>
      <c r="AD263" s="396"/>
      <c r="AE263" s="396"/>
      <c r="AF263" s="396"/>
      <c r="AG263" s="396"/>
      <c r="AH263" s="396"/>
    </row>
    <row r="264" spans="1:34" x14ac:dyDescent="0.25">
      <c r="A264" s="396"/>
      <c r="B264" s="396"/>
      <c r="C264" s="396"/>
      <c r="D264" s="396"/>
      <c r="E264" s="396"/>
      <c r="F264" s="396"/>
      <c r="G264" s="396"/>
      <c r="H264" s="396"/>
      <c r="I264" s="396"/>
      <c r="J264" s="396"/>
      <c r="K264" s="396"/>
      <c r="L264" s="396"/>
      <c r="M264" s="396"/>
      <c r="N264" s="396"/>
      <c r="O264" s="396"/>
      <c r="P264" s="396"/>
      <c r="Q264" s="396"/>
      <c r="R264" s="396"/>
      <c r="S264" s="396"/>
      <c r="T264" s="396"/>
      <c r="U264" s="396"/>
      <c r="V264" s="396"/>
      <c r="W264" s="396"/>
      <c r="X264" s="396"/>
      <c r="Y264" s="396"/>
      <c r="Z264" s="396"/>
      <c r="AA264" s="396"/>
      <c r="AB264" s="396"/>
      <c r="AC264" s="396"/>
      <c r="AD264" s="396"/>
      <c r="AE264" s="396"/>
      <c r="AF264" s="396"/>
      <c r="AG264" s="396"/>
      <c r="AH264" s="396"/>
    </row>
    <row r="265" spans="1:34" x14ac:dyDescent="0.25">
      <c r="A265" s="396"/>
      <c r="B265" s="396"/>
      <c r="C265" s="396"/>
      <c r="D265" s="396"/>
      <c r="E265" s="396"/>
      <c r="F265" s="396"/>
      <c r="G265" s="396"/>
      <c r="H265" s="396"/>
      <c r="I265" s="396"/>
      <c r="J265" s="396"/>
      <c r="K265" s="396"/>
      <c r="L265" s="396"/>
      <c r="M265" s="396"/>
      <c r="N265" s="396"/>
      <c r="O265" s="396"/>
      <c r="P265" s="396"/>
      <c r="Q265" s="396"/>
      <c r="R265" s="396"/>
      <c r="S265" s="396"/>
      <c r="T265" s="396"/>
      <c r="U265" s="396"/>
      <c r="V265" s="396"/>
      <c r="W265" s="396"/>
      <c r="X265" s="396"/>
      <c r="Y265" s="396"/>
      <c r="Z265" s="396"/>
      <c r="AA265" s="396"/>
      <c r="AB265" s="396"/>
      <c r="AC265" s="396"/>
      <c r="AD265" s="396"/>
      <c r="AE265" s="396"/>
      <c r="AF265" s="396"/>
      <c r="AG265" s="396"/>
      <c r="AH265" s="396"/>
    </row>
    <row r="266" spans="1:34" x14ac:dyDescent="0.25">
      <c r="A266" s="396"/>
      <c r="B266" s="396"/>
      <c r="C266" s="396"/>
      <c r="D266" s="396"/>
      <c r="E266" s="396"/>
      <c r="F266" s="396"/>
      <c r="G266" s="396"/>
      <c r="H266" s="396"/>
      <c r="I266" s="396"/>
      <c r="J266" s="396"/>
      <c r="K266" s="396"/>
      <c r="L266" s="396"/>
      <c r="M266" s="396"/>
      <c r="N266" s="396"/>
      <c r="O266" s="396"/>
      <c r="P266" s="396"/>
      <c r="Q266" s="396"/>
      <c r="R266" s="396"/>
      <c r="S266" s="396"/>
      <c r="T266" s="396"/>
      <c r="U266" s="396"/>
      <c r="V266" s="396"/>
      <c r="W266" s="396"/>
      <c r="X266" s="396"/>
      <c r="Y266" s="396"/>
      <c r="Z266" s="396"/>
      <c r="AA266" s="396"/>
      <c r="AB266" s="396"/>
      <c r="AC266" s="396"/>
      <c r="AD266" s="396"/>
      <c r="AE266" s="396"/>
      <c r="AF266" s="396"/>
      <c r="AG266" s="396"/>
      <c r="AH266" s="396"/>
    </row>
    <row r="267" spans="1:34" x14ac:dyDescent="0.25">
      <c r="A267" s="396"/>
      <c r="B267" s="396"/>
      <c r="C267" s="396"/>
      <c r="D267" s="396"/>
      <c r="E267" s="396"/>
      <c r="F267" s="396"/>
      <c r="G267" s="396"/>
      <c r="H267" s="396"/>
      <c r="I267" s="396"/>
      <c r="J267" s="396"/>
      <c r="K267" s="396"/>
      <c r="L267" s="396"/>
      <c r="M267" s="396"/>
      <c r="N267" s="396"/>
      <c r="O267" s="396"/>
      <c r="P267" s="396"/>
      <c r="Q267" s="396"/>
      <c r="R267" s="396"/>
      <c r="S267" s="396"/>
      <c r="T267" s="396"/>
      <c r="U267" s="396"/>
      <c r="V267" s="396"/>
      <c r="W267" s="396"/>
      <c r="X267" s="396"/>
      <c r="Y267" s="396"/>
      <c r="Z267" s="396"/>
      <c r="AA267" s="396"/>
      <c r="AB267" s="396"/>
      <c r="AC267" s="396"/>
      <c r="AD267" s="396"/>
      <c r="AE267" s="396"/>
      <c r="AF267" s="396"/>
      <c r="AG267" s="396"/>
      <c r="AH267" s="396"/>
    </row>
    <row r="268" spans="1:34" x14ac:dyDescent="0.25">
      <c r="A268" s="396"/>
      <c r="B268" s="396"/>
      <c r="C268" s="396"/>
      <c r="D268" s="396"/>
      <c r="E268" s="396"/>
      <c r="F268" s="396"/>
      <c r="G268" s="396"/>
      <c r="H268" s="396"/>
      <c r="I268" s="396"/>
      <c r="J268" s="396"/>
      <c r="K268" s="396"/>
      <c r="L268" s="396"/>
      <c r="M268" s="396"/>
      <c r="N268" s="396"/>
      <c r="O268" s="396"/>
      <c r="P268" s="396"/>
      <c r="Q268" s="396"/>
      <c r="R268" s="396"/>
      <c r="S268" s="396"/>
      <c r="T268" s="396"/>
      <c r="U268" s="396"/>
      <c r="V268" s="396"/>
      <c r="W268" s="396"/>
      <c r="X268" s="396"/>
      <c r="Y268" s="396"/>
      <c r="Z268" s="396"/>
      <c r="AA268" s="396"/>
      <c r="AB268" s="396"/>
      <c r="AC268" s="396"/>
      <c r="AD268" s="396"/>
      <c r="AE268" s="396"/>
      <c r="AF268" s="396"/>
      <c r="AG268" s="396"/>
      <c r="AH268" s="396"/>
    </row>
    <row r="269" spans="1:34" x14ac:dyDescent="0.25">
      <c r="A269" s="396"/>
      <c r="B269" s="396"/>
      <c r="C269" s="396"/>
      <c r="D269" s="396"/>
      <c r="E269" s="396"/>
      <c r="F269" s="396"/>
      <c r="G269" s="396"/>
      <c r="H269" s="396"/>
      <c r="I269" s="396"/>
      <c r="J269" s="396"/>
      <c r="K269" s="396"/>
      <c r="L269" s="396"/>
      <c r="M269" s="396"/>
      <c r="N269" s="396"/>
      <c r="O269" s="396"/>
      <c r="P269" s="396"/>
      <c r="Q269" s="396"/>
      <c r="R269" s="396"/>
      <c r="S269" s="396"/>
      <c r="T269" s="396"/>
      <c r="U269" s="396"/>
      <c r="V269" s="396"/>
      <c r="W269" s="396"/>
      <c r="X269" s="396"/>
      <c r="Y269" s="396"/>
      <c r="Z269" s="396"/>
      <c r="AA269" s="396"/>
      <c r="AB269" s="396"/>
      <c r="AC269" s="396"/>
      <c r="AD269" s="396"/>
      <c r="AE269" s="396"/>
      <c r="AF269" s="396"/>
      <c r="AG269" s="396"/>
      <c r="AH269" s="396"/>
    </row>
    <row r="270" spans="1:34" x14ac:dyDescent="0.25">
      <c r="A270" s="396"/>
      <c r="B270" s="396"/>
      <c r="C270" s="396"/>
      <c r="D270" s="396"/>
      <c r="E270" s="396"/>
      <c r="F270" s="396"/>
      <c r="G270" s="396"/>
      <c r="H270" s="396"/>
      <c r="I270" s="396"/>
      <c r="J270" s="396"/>
      <c r="K270" s="396"/>
      <c r="L270" s="396"/>
      <c r="M270" s="396"/>
      <c r="N270" s="396"/>
      <c r="O270" s="396"/>
      <c r="P270" s="396"/>
      <c r="Q270" s="396"/>
      <c r="R270" s="396"/>
      <c r="S270" s="396"/>
      <c r="T270" s="396"/>
      <c r="U270" s="396"/>
      <c r="V270" s="396"/>
      <c r="W270" s="396"/>
      <c r="X270" s="396"/>
      <c r="Y270" s="396"/>
      <c r="Z270" s="396"/>
      <c r="AA270" s="396"/>
      <c r="AB270" s="396"/>
      <c r="AC270" s="396"/>
      <c r="AD270" s="396"/>
      <c r="AE270" s="396"/>
      <c r="AF270" s="396"/>
      <c r="AG270" s="396"/>
      <c r="AH270" s="396"/>
    </row>
    <row r="271" spans="1:34" x14ac:dyDescent="0.25">
      <c r="A271" s="396"/>
      <c r="B271" s="396"/>
      <c r="C271" s="396"/>
      <c r="D271" s="396"/>
      <c r="E271" s="396"/>
      <c r="F271" s="396"/>
      <c r="G271" s="396"/>
      <c r="H271" s="396"/>
      <c r="I271" s="396"/>
      <c r="J271" s="396"/>
      <c r="K271" s="396"/>
      <c r="L271" s="396"/>
      <c r="M271" s="396"/>
      <c r="N271" s="396"/>
      <c r="O271" s="396"/>
      <c r="P271" s="396"/>
      <c r="Q271" s="396"/>
      <c r="R271" s="396"/>
      <c r="S271" s="396"/>
      <c r="T271" s="396"/>
      <c r="U271" s="396"/>
      <c r="V271" s="396"/>
      <c r="W271" s="396"/>
      <c r="X271" s="396"/>
      <c r="Y271" s="396"/>
      <c r="Z271" s="396"/>
      <c r="AA271" s="396"/>
      <c r="AB271" s="396"/>
      <c r="AC271" s="396"/>
      <c r="AD271" s="396"/>
      <c r="AE271" s="396"/>
      <c r="AF271" s="396"/>
      <c r="AG271" s="396"/>
      <c r="AH271" s="396"/>
    </row>
    <row r="272" spans="1:34" x14ac:dyDescent="0.25">
      <c r="A272" s="396"/>
      <c r="B272" s="396"/>
      <c r="C272" s="396"/>
      <c r="D272" s="396"/>
      <c r="E272" s="396"/>
      <c r="F272" s="396"/>
      <c r="G272" s="396"/>
      <c r="H272" s="396"/>
      <c r="I272" s="396"/>
      <c r="J272" s="396"/>
      <c r="K272" s="396"/>
      <c r="L272" s="396"/>
      <c r="M272" s="396"/>
      <c r="N272" s="396"/>
      <c r="O272" s="396"/>
      <c r="P272" s="396"/>
      <c r="Q272" s="396"/>
      <c r="R272" s="396"/>
      <c r="S272" s="396"/>
      <c r="T272" s="396"/>
      <c r="U272" s="396"/>
      <c r="V272" s="396"/>
      <c r="W272" s="396"/>
      <c r="X272" s="396"/>
      <c r="Y272" s="396"/>
      <c r="Z272" s="396"/>
      <c r="AA272" s="396"/>
      <c r="AB272" s="396"/>
      <c r="AC272" s="396"/>
      <c r="AD272" s="396"/>
      <c r="AE272" s="396"/>
      <c r="AF272" s="396"/>
      <c r="AG272" s="396"/>
      <c r="AH272" s="396"/>
    </row>
    <row r="273" spans="1:34" x14ac:dyDescent="0.25">
      <c r="A273" s="396"/>
      <c r="B273" s="396"/>
      <c r="C273" s="396"/>
      <c r="D273" s="396"/>
      <c r="E273" s="396"/>
      <c r="F273" s="396"/>
      <c r="G273" s="396"/>
      <c r="H273" s="396"/>
      <c r="I273" s="396"/>
      <c r="J273" s="396"/>
      <c r="K273" s="396"/>
      <c r="L273" s="396"/>
      <c r="M273" s="396"/>
      <c r="N273" s="396"/>
      <c r="O273" s="396"/>
      <c r="P273" s="396"/>
      <c r="Q273" s="396"/>
      <c r="R273" s="396"/>
      <c r="S273" s="396"/>
      <c r="T273" s="396"/>
      <c r="U273" s="396"/>
      <c r="V273" s="396"/>
      <c r="W273" s="396"/>
      <c r="X273" s="396"/>
      <c r="Y273" s="396"/>
      <c r="Z273" s="396"/>
      <c r="AA273" s="396"/>
      <c r="AB273" s="396"/>
      <c r="AC273" s="396"/>
      <c r="AD273" s="396"/>
      <c r="AE273" s="396"/>
      <c r="AF273" s="396"/>
      <c r="AG273" s="396"/>
      <c r="AH273" s="396"/>
    </row>
    <row r="274" spans="1:34" x14ac:dyDescent="0.25">
      <c r="A274" s="396"/>
      <c r="B274" s="396"/>
      <c r="C274" s="396"/>
      <c r="D274" s="396"/>
      <c r="E274" s="396"/>
      <c r="F274" s="396"/>
      <c r="G274" s="396"/>
      <c r="H274" s="396"/>
      <c r="I274" s="396"/>
      <c r="J274" s="396"/>
      <c r="K274" s="396"/>
      <c r="L274" s="396"/>
      <c r="M274" s="396"/>
      <c r="N274" s="396"/>
      <c r="O274" s="396"/>
      <c r="P274" s="396"/>
      <c r="Q274" s="396"/>
      <c r="R274" s="396"/>
      <c r="S274" s="396"/>
      <c r="T274" s="396"/>
      <c r="U274" s="396"/>
      <c r="V274" s="396"/>
      <c r="W274" s="396"/>
      <c r="X274" s="396"/>
      <c r="Y274" s="396"/>
      <c r="Z274" s="396"/>
      <c r="AA274" s="396"/>
      <c r="AB274" s="396"/>
      <c r="AC274" s="396"/>
      <c r="AD274" s="396"/>
      <c r="AE274" s="396"/>
      <c r="AF274" s="396"/>
      <c r="AG274" s="396"/>
      <c r="AH274" s="396"/>
    </row>
    <row r="275" spans="1:34" x14ac:dyDescent="0.25">
      <c r="A275" s="396"/>
      <c r="B275" s="396"/>
      <c r="C275" s="396"/>
      <c r="D275" s="396"/>
      <c r="E275" s="396"/>
      <c r="F275" s="396"/>
      <c r="G275" s="396"/>
      <c r="H275" s="396"/>
      <c r="I275" s="396"/>
      <c r="J275" s="396"/>
      <c r="K275" s="396"/>
      <c r="L275" s="396"/>
      <c r="M275" s="396"/>
      <c r="N275" s="396"/>
      <c r="O275" s="396"/>
      <c r="P275" s="396"/>
      <c r="Q275" s="396"/>
      <c r="R275" s="396"/>
      <c r="S275" s="396"/>
      <c r="T275" s="396"/>
      <c r="U275" s="396"/>
      <c r="V275" s="396"/>
      <c r="W275" s="396"/>
      <c r="X275" s="396"/>
      <c r="Y275" s="396"/>
      <c r="Z275" s="396"/>
      <c r="AA275" s="396"/>
      <c r="AB275" s="396"/>
      <c r="AC275" s="396"/>
      <c r="AD275" s="396"/>
      <c r="AE275" s="396"/>
      <c r="AF275" s="396"/>
      <c r="AG275" s="396"/>
      <c r="AH275" s="396"/>
    </row>
    <row r="276" spans="1:34" x14ac:dyDescent="0.25">
      <c r="A276" s="396"/>
      <c r="B276" s="396"/>
      <c r="C276" s="396"/>
      <c r="D276" s="396"/>
      <c r="E276" s="396"/>
      <c r="F276" s="396"/>
      <c r="G276" s="396"/>
      <c r="H276" s="396"/>
      <c r="I276" s="396"/>
      <c r="J276" s="396"/>
      <c r="K276" s="396"/>
      <c r="L276" s="396"/>
      <c r="M276" s="396"/>
      <c r="N276" s="396"/>
      <c r="O276" s="396"/>
      <c r="P276" s="396"/>
      <c r="Q276" s="396"/>
      <c r="R276" s="396"/>
      <c r="S276" s="396"/>
      <c r="T276" s="396"/>
      <c r="U276" s="396"/>
      <c r="V276" s="396"/>
      <c r="W276" s="396"/>
      <c r="X276" s="396"/>
      <c r="Y276" s="396"/>
      <c r="Z276" s="396"/>
      <c r="AA276" s="396"/>
      <c r="AB276" s="396"/>
      <c r="AC276" s="396"/>
      <c r="AD276" s="396"/>
      <c r="AE276" s="396"/>
      <c r="AF276" s="396"/>
      <c r="AG276" s="396"/>
      <c r="AH276" s="396"/>
    </row>
    <row r="277" spans="1:34" x14ac:dyDescent="0.25">
      <c r="A277" s="396"/>
      <c r="B277" s="396"/>
      <c r="C277" s="396"/>
      <c r="D277" s="396"/>
      <c r="E277" s="396"/>
      <c r="F277" s="396"/>
      <c r="G277" s="396"/>
      <c r="H277" s="396"/>
      <c r="I277" s="396"/>
      <c r="J277" s="396"/>
      <c r="K277" s="396"/>
      <c r="L277" s="396"/>
      <c r="M277" s="396"/>
      <c r="N277" s="396"/>
      <c r="O277" s="396"/>
      <c r="P277" s="396"/>
      <c r="Q277" s="396"/>
      <c r="R277" s="396"/>
      <c r="S277" s="396"/>
      <c r="T277" s="396"/>
      <c r="U277" s="396"/>
      <c r="V277" s="396"/>
      <c r="W277" s="396"/>
      <c r="X277" s="396"/>
      <c r="Y277" s="396"/>
      <c r="Z277" s="396"/>
      <c r="AA277" s="396"/>
      <c r="AB277" s="396"/>
      <c r="AC277" s="396"/>
      <c r="AD277" s="396"/>
      <c r="AE277" s="396"/>
      <c r="AF277" s="396"/>
      <c r="AG277" s="396"/>
      <c r="AH277" s="396"/>
    </row>
    <row r="278" spans="1:34" x14ac:dyDescent="0.25">
      <c r="A278" s="396"/>
      <c r="B278" s="396"/>
      <c r="C278" s="396"/>
      <c r="D278" s="396"/>
      <c r="E278" s="396"/>
      <c r="F278" s="396"/>
      <c r="G278" s="396"/>
      <c r="H278" s="396"/>
      <c r="I278" s="396"/>
      <c r="J278" s="396"/>
      <c r="K278" s="396"/>
      <c r="L278" s="396"/>
      <c r="M278" s="396"/>
      <c r="N278" s="396"/>
      <c r="O278" s="396"/>
      <c r="P278" s="396"/>
      <c r="Q278" s="396"/>
      <c r="R278" s="396"/>
      <c r="S278" s="396"/>
      <c r="T278" s="396"/>
      <c r="U278" s="396"/>
      <c r="V278" s="396"/>
      <c r="W278" s="396"/>
      <c r="X278" s="396"/>
      <c r="Y278" s="396"/>
      <c r="Z278" s="396"/>
      <c r="AA278" s="396"/>
      <c r="AB278" s="396"/>
      <c r="AC278" s="396"/>
      <c r="AD278" s="396"/>
      <c r="AE278" s="396"/>
      <c r="AF278" s="396"/>
      <c r="AG278" s="396"/>
      <c r="AH278" s="396"/>
    </row>
    <row r="279" spans="1:34" x14ac:dyDescent="0.25">
      <c r="A279" s="396"/>
      <c r="B279" s="396"/>
      <c r="C279" s="396"/>
      <c r="D279" s="396"/>
      <c r="E279" s="396"/>
      <c r="F279" s="396"/>
      <c r="G279" s="396"/>
      <c r="H279" s="396"/>
      <c r="I279" s="396"/>
      <c r="J279" s="396"/>
      <c r="K279" s="396"/>
      <c r="L279" s="396"/>
      <c r="M279" s="396"/>
      <c r="N279" s="396"/>
      <c r="O279" s="396"/>
      <c r="P279" s="396"/>
      <c r="Q279" s="396"/>
      <c r="R279" s="396"/>
      <c r="S279" s="396"/>
      <c r="T279" s="396"/>
      <c r="U279" s="396"/>
      <c r="V279" s="396"/>
      <c r="W279" s="396"/>
      <c r="X279" s="396"/>
      <c r="Y279" s="396"/>
      <c r="Z279" s="396"/>
      <c r="AA279" s="396"/>
      <c r="AB279" s="396"/>
      <c r="AC279" s="396"/>
      <c r="AD279" s="396"/>
      <c r="AE279" s="396"/>
      <c r="AF279" s="396"/>
      <c r="AG279" s="396"/>
      <c r="AH279" s="396"/>
    </row>
    <row r="280" spans="1:34" x14ac:dyDescent="0.25">
      <c r="A280" s="396"/>
      <c r="B280" s="396"/>
      <c r="C280" s="396"/>
      <c r="D280" s="396"/>
      <c r="E280" s="396"/>
      <c r="F280" s="396"/>
      <c r="G280" s="396"/>
      <c r="H280" s="396"/>
      <c r="I280" s="396"/>
      <c r="J280" s="396"/>
      <c r="K280" s="396"/>
      <c r="L280" s="396"/>
      <c r="M280" s="396"/>
      <c r="N280" s="396"/>
      <c r="O280" s="396"/>
      <c r="P280" s="396"/>
      <c r="Q280" s="396"/>
      <c r="R280" s="396"/>
      <c r="S280" s="396"/>
      <c r="T280" s="396"/>
      <c r="U280" s="396"/>
      <c r="V280" s="396"/>
      <c r="W280" s="396"/>
      <c r="X280" s="396"/>
      <c r="Y280" s="396"/>
      <c r="Z280" s="396"/>
      <c r="AA280" s="396"/>
      <c r="AB280" s="396"/>
      <c r="AC280" s="396"/>
      <c r="AD280" s="396"/>
      <c r="AE280" s="396"/>
      <c r="AF280" s="396"/>
      <c r="AG280" s="396"/>
      <c r="AH280" s="396"/>
    </row>
    <row r="281" spans="1:34" x14ac:dyDescent="0.25">
      <c r="A281" s="396"/>
      <c r="B281" s="396"/>
      <c r="C281" s="396"/>
      <c r="D281" s="396"/>
      <c r="E281" s="396"/>
      <c r="F281" s="396"/>
      <c r="G281" s="396"/>
      <c r="H281" s="396"/>
      <c r="I281" s="396"/>
      <c r="J281" s="396"/>
      <c r="K281" s="396"/>
      <c r="L281" s="396"/>
      <c r="M281" s="396"/>
      <c r="N281" s="396"/>
      <c r="O281" s="396"/>
      <c r="P281" s="396"/>
      <c r="Q281" s="396"/>
      <c r="R281" s="396"/>
      <c r="S281" s="396"/>
      <c r="T281" s="396"/>
      <c r="U281" s="396"/>
      <c r="V281" s="396"/>
      <c r="W281" s="396"/>
      <c r="X281" s="396"/>
      <c r="Y281" s="396"/>
      <c r="Z281" s="396"/>
      <c r="AA281" s="396"/>
      <c r="AB281" s="396"/>
      <c r="AC281" s="396"/>
      <c r="AD281" s="396"/>
      <c r="AE281" s="396"/>
      <c r="AF281" s="396"/>
      <c r="AG281" s="396"/>
      <c r="AH281" s="396"/>
    </row>
    <row r="282" spans="1:34" x14ac:dyDescent="0.25">
      <c r="A282" s="396"/>
      <c r="B282" s="396"/>
      <c r="C282" s="396"/>
      <c r="D282" s="396"/>
      <c r="E282" s="396"/>
      <c r="F282" s="396"/>
      <c r="G282" s="396"/>
      <c r="H282" s="396"/>
      <c r="I282" s="396"/>
      <c r="J282" s="396"/>
      <c r="K282" s="396"/>
      <c r="L282" s="396"/>
      <c r="M282" s="396"/>
      <c r="N282" s="396"/>
      <c r="O282" s="396"/>
      <c r="P282" s="396"/>
      <c r="Q282" s="396"/>
      <c r="R282" s="396"/>
      <c r="S282" s="396"/>
      <c r="T282" s="396"/>
      <c r="U282" s="396"/>
      <c r="V282" s="396"/>
      <c r="W282" s="396"/>
      <c r="X282" s="396"/>
      <c r="Y282" s="396"/>
      <c r="Z282" s="396"/>
      <c r="AA282" s="396"/>
      <c r="AB282" s="396"/>
      <c r="AC282" s="396"/>
      <c r="AD282" s="396"/>
      <c r="AE282" s="396"/>
      <c r="AF282" s="396"/>
      <c r="AG282" s="396"/>
      <c r="AH282" s="396"/>
    </row>
    <row r="283" spans="1:34" x14ac:dyDescent="0.25">
      <c r="A283" s="396"/>
      <c r="B283" s="396"/>
      <c r="C283" s="396"/>
      <c r="D283" s="396"/>
      <c r="E283" s="396"/>
      <c r="F283" s="396"/>
      <c r="G283" s="396"/>
      <c r="H283" s="396"/>
      <c r="I283" s="396"/>
      <c r="J283" s="396"/>
      <c r="K283" s="396"/>
      <c r="L283" s="396"/>
      <c r="M283" s="396"/>
      <c r="N283" s="396"/>
      <c r="O283" s="396"/>
      <c r="P283" s="396"/>
      <c r="Q283" s="396"/>
      <c r="R283" s="396"/>
      <c r="S283" s="396"/>
      <c r="T283" s="396"/>
      <c r="U283" s="396"/>
      <c r="V283" s="396"/>
      <c r="W283" s="396"/>
      <c r="X283" s="396"/>
      <c r="Y283" s="396"/>
      <c r="Z283" s="396"/>
      <c r="AA283" s="396"/>
      <c r="AB283" s="396"/>
      <c r="AC283" s="396"/>
      <c r="AD283" s="396"/>
      <c r="AE283" s="396"/>
      <c r="AF283" s="396"/>
      <c r="AG283" s="396"/>
      <c r="AH283" s="396"/>
    </row>
    <row r="284" spans="1:34" x14ac:dyDescent="0.25">
      <c r="A284" s="396"/>
      <c r="B284" s="396"/>
      <c r="C284" s="396"/>
      <c r="D284" s="396"/>
      <c r="E284" s="396"/>
      <c r="F284" s="396"/>
      <c r="G284" s="396"/>
      <c r="H284" s="396"/>
      <c r="I284" s="396"/>
      <c r="J284" s="396"/>
      <c r="K284" s="396"/>
      <c r="L284" s="396"/>
      <c r="M284" s="396"/>
      <c r="N284" s="396"/>
      <c r="O284" s="396"/>
      <c r="P284" s="396"/>
      <c r="Q284" s="396"/>
      <c r="R284" s="396"/>
      <c r="S284" s="396"/>
      <c r="T284" s="396"/>
      <c r="U284" s="396"/>
      <c r="V284" s="396"/>
      <c r="W284" s="396"/>
      <c r="X284" s="396"/>
      <c r="Y284" s="396"/>
      <c r="Z284" s="396"/>
      <c r="AA284" s="396"/>
      <c r="AB284" s="396"/>
      <c r="AC284" s="396"/>
      <c r="AD284" s="396"/>
      <c r="AE284" s="396"/>
      <c r="AF284" s="396"/>
      <c r="AG284" s="396"/>
      <c r="AH284" s="396"/>
    </row>
    <row r="285" spans="1:34" x14ac:dyDescent="0.25">
      <c r="A285" s="396"/>
      <c r="B285" s="396"/>
      <c r="C285" s="396"/>
      <c r="D285" s="396"/>
      <c r="E285" s="396"/>
      <c r="F285" s="396"/>
      <c r="G285" s="396"/>
      <c r="H285" s="396"/>
      <c r="I285" s="396"/>
      <c r="J285" s="396"/>
      <c r="K285" s="396"/>
      <c r="L285" s="396"/>
      <c r="M285" s="396"/>
      <c r="N285" s="396"/>
      <c r="O285" s="396"/>
      <c r="P285" s="396"/>
      <c r="Q285" s="396"/>
      <c r="R285" s="396"/>
      <c r="S285" s="396"/>
      <c r="T285" s="396"/>
      <c r="U285" s="396"/>
      <c r="V285" s="396"/>
      <c r="W285" s="396"/>
      <c r="X285" s="396"/>
      <c r="Y285" s="396"/>
      <c r="Z285" s="396"/>
      <c r="AA285" s="396"/>
      <c r="AB285" s="396"/>
      <c r="AC285" s="396"/>
      <c r="AD285" s="396"/>
      <c r="AE285" s="396"/>
      <c r="AF285" s="396"/>
      <c r="AG285" s="396"/>
      <c r="AH285" s="396"/>
    </row>
    <row r="286" spans="1:34" x14ac:dyDescent="0.25">
      <c r="A286" s="396"/>
      <c r="B286" s="396"/>
      <c r="C286" s="396"/>
      <c r="D286" s="396"/>
      <c r="E286" s="396"/>
      <c r="F286" s="396"/>
      <c r="G286" s="396"/>
      <c r="H286" s="396"/>
      <c r="I286" s="396"/>
      <c r="J286" s="396"/>
      <c r="K286" s="396"/>
      <c r="L286" s="396"/>
      <c r="M286" s="396"/>
      <c r="N286" s="396"/>
      <c r="O286" s="396"/>
      <c r="P286" s="396"/>
      <c r="Q286" s="396"/>
      <c r="R286" s="396"/>
      <c r="S286" s="396"/>
      <c r="T286" s="396"/>
      <c r="U286" s="396"/>
      <c r="V286" s="396"/>
      <c r="W286" s="396"/>
      <c r="X286" s="396"/>
      <c r="Y286" s="396"/>
      <c r="Z286" s="396"/>
      <c r="AA286" s="396"/>
      <c r="AB286" s="396"/>
      <c r="AC286" s="396"/>
      <c r="AD286" s="396"/>
      <c r="AE286" s="396"/>
      <c r="AF286" s="396"/>
      <c r="AG286" s="396"/>
      <c r="AH286" s="396"/>
    </row>
    <row r="287" spans="1:34" x14ac:dyDescent="0.25">
      <c r="A287" s="396"/>
      <c r="B287" s="396"/>
      <c r="C287" s="396"/>
      <c r="D287" s="396"/>
      <c r="E287" s="396"/>
      <c r="F287" s="396"/>
      <c r="G287" s="396"/>
      <c r="H287" s="396"/>
      <c r="I287" s="396"/>
      <c r="J287" s="396"/>
      <c r="K287" s="396"/>
      <c r="L287" s="396"/>
      <c r="M287" s="396"/>
      <c r="N287" s="396"/>
      <c r="O287" s="396"/>
      <c r="P287" s="396"/>
      <c r="Q287" s="396"/>
      <c r="R287" s="396"/>
      <c r="S287" s="396"/>
      <c r="T287" s="396"/>
      <c r="U287" s="396"/>
      <c r="V287" s="396"/>
      <c r="W287" s="396"/>
      <c r="X287" s="396"/>
      <c r="Y287" s="396"/>
      <c r="Z287" s="396"/>
      <c r="AA287" s="396"/>
      <c r="AB287" s="396"/>
      <c r="AC287" s="396"/>
      <c r="AD287" s="396"/>
      <c r="AE287" s="396"/>
      <c r="AF287" s="396"/>
      <c r="AG287" s="396"/>
      <c r="AH287" s="396"/>
    </row>
    <row r="288" spans="1:34" x14ac:dyDescent="0.25">
      <c r="A288" s="396"/>
      <c r="B288" s="396"/>
      <c r="C288" s="396"/>
      <c r="D288" s="396"/>
      <c r="E288" s="396"/>
      <c r="F288" s="396"/>
      <c r="G288" s="396"/>
      <c r="H288" s="396"/>
      <c r="I288" s="396"/>
      <c r="J288" s="396"/>
      <c r="K288" s="396"/>
      <c r="L288" s="396"/>
      <c r="M288" s="396"/>
      <c r="N288" s="396"/>
      <c r="O288" s="396"/>
      <c r="P288" s="396"/>
      <c r="Q288" s="396"/>
      <c r="R288" s="396"/>
      <c r="S288" s="396"/>
      <c r="T288" s="396"/>
      <c r="U288" s="396"/>
      <c r="V288" s="396"/>
      <c r="W288" s="396"/>
      <c r="X288" s="396"/>
      <c r="Y288" s="396"/>
      <c r="Z288" s="396"/>
      <c r="AA288" s="396"/>
      <c r="AB288" s="396"/>
      <c r="AC288" s="396"/>
      <c r="AD288" s="396"/>
      <c r="AE288" s="396"/>
      <c r="AF288" s="396"/>
      <c r="AG288" s="396"/>
      <c r="AH288" s="396"/>
    </row>
    <row r="289" spans="1:34" x14ac:dyDescent="0.25">
      <c r="A289" s="396"/>
      <c r="B289" s="396"/>
      <c r="C289" s="396"/>
      <c r="D289" s="396"/>
      <c r="E289" s="396"/>
      <c r="F289" s="396"/>
      <c r="G289" s="396"/>
      <c r="H289" s="396"/>
      <c r="I289" s="396"/>
      <c r="J289" s="396"/>
      <c r="K289" s="396"/>
      <c r="L289" s="396"/>
      <c r="M289" s="396"/>
      <c r="N289" s="396"/>
      <c r="O289" s="396"/>
      <c r="P289" s="396"/>
      <c r="Q289" s="396"/>
      <c r="R289" s="396"/>
      <c r="S289" s="396"/>
      <c r="T289" s="396"/>
      <c r="U289" s="396"/>
      <c r="V289" s="396"/>
      <c r="W289" s="396"/>
      <c r="X289" s="396"/>
      <c r="Y289" s="396"/>
      <c r="Z289" s="396"/>
      <c r="AA289" s="396"/>
      <c r="AB289" s="396"/>
      <c r="AC289" s="396"/>
      <c r="AD289" s="396"/>
      <c r="AE289" s="396"/>
      <c r="AF289" s="396"/>
      <c r="AG289" s="396"/>
      <c r="AH289" s="396"/>
    </row>
    <row r="290" spans="1:34" x14ac:dyDescent="0.25">
      <c r="A290" s="396"/>
      <c r="B290" s="396"/>
      <c r="C290" s="396"/>
      <c r="D290" s="396"/>
      <c r="E290" s="396"/>
      <c r="F290" s="396"/>
      <c r="G290" s="396"/>
      <c r="H290" s="396"/>
      <c r="I290" s="396"/>
      <c r="J290" s="396"/>
      <c r="K290" s="396"/>
      <c r="L290" s="396"/>
      <c r="M290" s="396"/>
      <c r="N290" s="396"/>
      <c r="O290" s="396"/>
      <c r="P290" s="396"/>
      <c r="Q290" s="396"/>
      <c r="R290" s="396"/>
      <c r="S290" s="396"/>
      <c r="T290" s="396"/>
      <c r="U290" s="396"/>
      <c r="V290" s="396"/>
      <c r="W290" s="396"/>
      <c r="X290" s="396"/>
      <c r="Y290" s="396"/>
      <c r="Z290" s="396"/>
      <c r="AA290" s="396"/>
      <c r="AB290" s="396"/>
      <c r="AC290" s="396"/>
      <c r="AD290" s="396"/>
      <c r="AE290" s="396"/>
      <c r="AF290" s="396"/>
      <c r="AG290" s="396"/>
      <c r="AH290" s="396"/>
    </row>
    <row r="291" spans="1:34" x14ac:dyDescent="0.25">
      <c r="A291" s="396"/>
      <c r="B291" s="396"/>
      <c r="C291" s="396"/>
      <c r="D291" s="396"/>
      <c r="E291" s="396"/>
      <c r="F291" s="396"/>
      <c r="G291" s="396"/>
      <c r="H291" s="396"/>
      <c r="I291" s="396"/>
      <c r="J291" s="396"/>
      <c r="K291" s="396"/>
      <c r="L291" s="396"/>
      <c r="M291" s="396"/>
      <c r="N291" s="396"/>
      <c r="O291" s="396"/>
      <c r="P291" s="396"/>
      <c r="Q291" s="396"/>
      <c r="R291" s="396"/>
      <c r="S291" s="396"/>
      <c r="T291" s="396"/>
      <c r="U291" s="396"/>
      <c r="V291" s="396"/>
      <c r="W291" s="396"/>
      <c r="X291" s="396"/>
      <c r="Y291" s="396"/>
      <c r="Z291" s="396"/>
      <c r="AA291" s="396"/>
      <c r="AB291" s="396"/>
      <c r="AC291" s="396"/>
      <c r="AD291" s="396"/>
      <c r="AE291" s="396"/>
      <c r="AF291" s="396"/>
      <c r="AG291" s="396"/>
      <c r="AH291" s="396"/>
    </row>
    <row r="292" spans="1:34" x14ac:dyDescent="0.25">
      <c r="A292" s="396"/>
      <c r="B292" s="396"/>
      <c r="C292" s="396"/>
      <c r="D292" s="396"/>
      <c r="E292" s="396"/>
      <c r="F292" s="396"/>
      <c r="G292" s="396"/>
      <c r="H292" s="396"/>
      <c r="I292" s="396"/>
      <c r="J292" s="396"/>
      <c r="K292" s="396"/>
      <c r="L292" s="396"/>
      <c r="M292" s="396"/>
      <c r="N292" s="396"/>
      <c r="O292" s="396"/>
      <c r="P292" s="396"/>
      <c r="Q292" s="396"/>
      <c r="R292" s="396"/>
      <c r="S292" s="396"/>
      <c r="T292" s="396"/>
      <c r="U292" s="396"/>
      <c r="V292" s="396"/>
      <c r="W292" s="396"/>
      <c r="X292" s="396"/>
      <c r="Y292" s="396"/>
      <c r="Z292" s="396"/>
      <c r="AA292" s="396"/>
      <c r="AB292" s="396"/>
      <c r="AC292" s="396"/>
      <c r="AD292" s="396"/>
      <c r="AE292" s="396"/>
      <c r="AF292" s="396"/>
      <c r="AG292" s="396"/>
      <c r="AH292" s="396"/>
    </row>
    <row r="293" spans="1:34" x14ac:dyDescent="0.25">
      <c r="A293" s="396"/>
      <c r="B293" s="396"/>
      <c r="C293" s="396"/>
      <c r="D293" s="396"/>
      <c r="E293" s="396"/>
      <c r="F293" s="396"/>
      <c r="G293" s="396"/>
      <c r="H293" s="396"/>
      <c r="I293" s="396"/>
      <c r="J293" s="396"/>
      <c r="K293" s="396"/>
      <c r="L293" s="396"/>
      <c r="M293" s="396"/>
      <c r="N293" s="396"/>
      <c r="O293" s="396"/>
      <c r="P293" s="396"/>
      <c r="Q293" s="396"/>
      <c r="R293" s="396"/>
      <c r="S293" s="396"/>
      <c r="T293" s="396"/>
      <c r="U293" s="396"/>
      <c r="V293" s="396"/>
      <c r="W293" s="396"/>
      <c r="X293" s="396"/>
      <c r="Y293" s="396"/>
      <c r="Z293" s="396"/>
      <c r="AA293" s="396"/>
      <c r="AB293" s="396"/>
      <c r="AC293" s="396"/>
      <c r="AD293" s="396"/>
      <c r="AE293" s="396"/>
      <c r="AF293" s="396"/>
      <c r="AG293" s="396"/>
      <c r="AH293" s="396"/>
    </row>
    <row r="294" spans="1:34" x14ac:dyDescent="0.25">
      <c r="A294" s="396"/>
      <c r="B294" s="396"/>
      <c r="C294" s="396"/>
      <c r="D294" s="396"/>
      <c r="E294" s="396"/>
      <c r="F294" s="396"/>
      <c r="G294" s="396"/>
      <c r="H294" s="396"/>
      <c r="I294" s="396"/>
      <c r="J294" s="396"/>
      <c r="K294" s="396"/>
      <c r="L294" s="396"/>
      <c r="M294" s="396"/>
      <c r="N294" s="396"/>
      <c r="O294" s="396"/>
      <c r="P294" s="396"/>
      <c r="Q294" s="396"/>
      <c r="R294" s="396"/>
      <c r="S294" s="396"/>
      <c r="T294" s="396"/>
      <c r="U294" s="396"/>
      <c r="V294" s="396"/>
      <c r="W294" s="396"/>
      <c r="X294" s="396"/>
      <c r="Y294" s="396"/>
      <c r="Z294" s="396"/>
      <c r="AA294" s="396"/>
      <c r="AB294" s="396"/>
      <c r="AC294" s="396"/>
      <c r="AD294" s="396"/>
      <c r="AE294" s="396"/>
      <c r="AF294" s="396"/>
      <c r="AG294" s="396"/>
      <c r="AH294" s="396"/>
    </row>
    <row r="295" spans="1:34" x14ac:dyDescent="0.25">
      <c r="A295" s="396"/>
      <c r="B295" s="396"/>
      <c r="C295" s="396"/>
      <c r="D295" s="396"/>
      <c r="E295" s="396"/>
      <c r="F295" s="396"/>
      <c r="G295" s="396"/>
      <c r="H295" s="396"/>
      <c r="I295" s="396"/>
      <c r="J295" s="396"/>
      <c r="K295" s="396"/>
      <c r="L295" s="396"/>
      <c r="M295" s="396"/>
      <c r="N295" s="396"/>
      <c r="O295" s="396"/>
      <c r="P295" s="396"/>
      <c r="Q295" s="396"/>
      <c r="R295" s="396"/>
      <c r="S295" s="396"/>
      <c r="T295" s="396"/>
      <c r="U295" s="396"/>
      <c r="V295" s="396"/>
      <c r="W295" s="396"/>
      <c r="X295" s="396"/>
      <c r="Y295" s="396"/>
      <c r="Z295" s="396"/>
      <c r="AA295" s="396"/>
      <c r="AB295" s="396"/>
      <c r="AC295" s="396"/>
      <c r="AD295" s="396"/>
      <c r="AE295" s="396"/>
      <c r="AF295" s="396"/>
      <c r="AG295" s="396"/>
      <c r="AH295" s="396"/>
    </row>
    <row r="296" spans="1:34" x14ac:dyDescent="0.25">
      <c r="A296" s="396"/>
      <c r="B296" s="396"/>
      <c r="C296" s="396"/>
      <c r="D296" s="396"/>
      <c r="E296" s="396"/>
      <c r="F296" s="396"/>
      <c r="G296" s="396"/>
      <c r="H296" s="396"/>
      <c r="I296" s="396"/>
      <c r="J296" s="396"/>
      <c r="K296" s="396"/>
      <c r="L296" s="396"/>
      <c r="M296" s="396"/>
      <c r="N296" s="396"/>
      <c r="O296" s="396"/>
      <c r="P296" s="396"/>
      <c r="Q296" s="396"/>
      <c r="R296" s="396"/>
      <c r="S296" s="396"/>
      <c r="T296" s="396"/>
      <c r="U296" s="396"/>
      <c r="V296" s="396"/>
      <c r="W296" s="396"/>
      <c r="X296" s="396"/>
      <c r="Y296" s="396"/>
      <c r="Z296" s="396"/>
      <c r="AA296" s="396"/>
      <c r="AB296" s="396"/>
      <c r="AC296" s="396"/>
      <c r="AD296" s="396"/>
      <c r="AE296" s="396"/>
      <c r="AF296" s="396"/>
      <c r="AG296" s="396"/>
      <c r="AH296" s="396"/>
    </row>
    <row r="297" spans="1:34" x14ac:dyDescent="0.25">
      <c r="A297" s="396"/>
      <c r="B297" s="396"/>
      <c r="C297" s="396"/>
      <c r="D297" s="396"/>
      <c r="E297" s="396"/>
      <c r="F297" s="396"/>
      <c r="G297" s="396"/>
      <c r="H297" s="396"/>
      <c r="I297" s="396"/>
      <c r="J297" s="396"/>
      <c r="K297" s="396"/>
      <c r="L297" s="396"/>
      <c r="M297" s="396"/>
      <c r="N297" s="396"/>
      <c r="O297" s="396"/>
      <c r="P297" s="396"/>
      <c r="Q297" s="396"/>
      <c r="R297" s="396"/>
      <c r="S297" s="396"/>
      <c r="T297" s="396"/>
      <c r="U297" s="396"/>
      <c r="V297" s="396"/>
      <c r="W297" s="396"/>
      <c r="X297" s="396"/>
      <c r="Y297" s="396"/>
      <c r="Z297" s="396"/>
      <c r="AA297" s="396"/>
      <c r="AB297" s="396"/>
      <c r="AC297" s="396"/>
      <c r="AD297" s="396"/>
      <c r="AE297" s="396"/>
      <c r="AF297" s="396"/>
      <c r="AG297" s="396"/>
      <c r="AH297" s="396"/>
    </row>
    <row r="298" spans="1:34" x14ac:dyDescent="0.25">
      <c r="A298" s="396"/>
      <c r="B298" s="396"/>
      <c r="C298" s="396"/>
      <c r="D298" s="396"/>
      <c r="E298" s="396"/>
      <c r="F298" s="396"/>
      <c r="G298" s="396"/>
      <c r="H298" s="396"/>
      <c r="I298" s="396"/>
      <c r="J298" s="396"/>
      <c r="K298" s="396"/>
      <c r="L298" s="396"/>
      <c r="M298" s="396"/>
      <c r="N298" s="396"/>
      <c r="O298" s="396"/>
      <c r="P298" s="396"/>
      <c r="Q298" s="396"/>
      <c r="R298" s="396"/>
      <c r="S298" s="396"/>
      <c r="T298" s="396"/>
      <c r="U298" s="396"/>
      <c r="V298" s="396"/>
      <c r="W298" s="396"/>
      <c r="X298" s="396"/>
      <c r="Y298" s="396"/>
      <c r="Z298" s="396"/>
      <c r="AA298" s="396"/>
      <c r="AB298" s="396"/>
      <c r="AC298" s="396"/>
      <c r="AD298" s="396"/>
      <c r="AE298" s="396"/>
      <c r="AF298" s="396"/>
      <c r="AG298" s="396"/>
      <c r="AH298" s="396"/>
    </row>
    <row r="299" spans="1:34" x14ac:dyDescent="0.25">
      <c r="A299" s="396"/>
      <c r="B299" s="396"/>
      <c r="C299" s="396"/>
      <c r="D299" s="396"/>
      <c r="E299" s="396"/>
      <c r="F299" s="396"/>
      <c r="G299" s="396"/>
      <c r="H299" s="396"/>
      <c r="I299" s="396"/>
      <c r="J299" s="396"/>
      <c r="K299" s="396"/>
      <c r="L299" s="396"/>
      <c r="M299" s="396"/>
      <c r="N299" s="396"/>
      <c r="O299" s="396"/>
      <c r="P299" s="396"/>
      <c r="Q299" s="396"/>
      <c r="R299" s="396"/>
      <c r="S299" s="396"/>
      <c r="T299" s="396"/>
      <c r="U299" s="396"/>
      <c r="V299" s="396"/>
      <c r="W299" s="396"/>
      <c r="X299" s="396"/>
      <c r="Y299" s="396"/>
      <c r="Z299" s="396"/>
      <c r="AA299" s="396"/>
      <c r="AB299" s="396"/>
      <c r="AC299" s="396"/>
      <c r="AD299" s="396"/>
      <c r="AE299" s="396"/>
      <c r="AF299" s="396"/>
      <c r="AG299" s="396"/>
      <c r="AH299" s="396"/>
    </row>
    <row r="300" spans="1:34" x14ac:dyDescent="0.25">
      <c r="A300" s="396"/>
      <c r="B300" s="396"/>
      <c r="C300" s="396"/>
      <c r="D300" s="396"/>
      <c r="E300" s="396"/>
      <c r="F300" s="396"/>
      <c r="G300" s="396"/>
      <c r="H300" s="396"/>
      <c r="I300" s="396"/>
      <c r="J300" s="396"/>
      <c r="K300" s="396"/>
      <c r="L300" s="396"/>
      <c r="M300" s="396"/>
      <c r="N300" s="396"/>
      <c r="O300" s="396"/>
      <c r="P300" s="396"/>
      <c r="Q300" s="396"/>
      <c r="R300" s="396"/>
      <c r="S300" s="396"/>
      <c r="T300" s="396"/>
      <c r="U300" s="396"/>
      <c r="V300" s="396"/>
      <c r="W300" s="396"/>
      <c r="X300" s="396"/>
      <c r="Y300" s="396"/>
      <c r="Z300" s="396"/>
      <c r="AA300" s="396"/>
      <c r="AB300" s="396"/>
      <c r="AC300" s="396"/>
      <c r="AD300" s="396"/>
      <c r="AE300" s="396"/>
      <c r="AF300" s="396"/>
      <c r="AG300" s="396"/>
      <c r="AH300" s="396"/>
    </row>
    <row r="301" spans="1:34" x14ac:dyDescent="0.25">
      <c r="A301" s="396"/>
      <c r="B301" s="396"/>
      <c r="C301" s="396"/>
      <c r="D301" s="396"/>
      <c r="E301" s="396"/>
      <c r="F301" s="396"/>
      <c r="G301" s="396"/>
      <c r="H301" s="396"/>
      <c r="I301" s="396"/>
      <c r="J301" s="396"/>
      <c r="K301" s="396"/>
      <c r="L301" s="396"/>
      <c r="M301" s="396"/>
      <c r="N301" s="396"/>
      <c r="O301" s="396"/>
      <c r="P301" s="396"/>
      <c r="Q301" s="396"/>
      <c r="R301" s="396"/>
      <c r="S301" s="396"/>
      <c r="T301" s="396"/>
      <c r="U301" s="396"/>
      <c r="V301" s="396"/>
      <c r="W301" s="396"/>
      <c r="X301" s="396"/>
      <c r="Y301" s="396"/>
      <c r="Z301" s="396"/>
      <c r="AA301" s="396"/>
      <c r="AB301" s="396"/>
      <c r="AC301" s="396"/>
      <c r="AD301" s="396"/>
      <c r="AE301" s="396"/>
      <c r="AF301" s="396"/>
      <c r="AG301" s="396"/>
      <c r="AH301" s="396"/>
    </row>
    <row r="302" spans="1:34" x14ac:dyDescent="0.25">
      <c r="A302" s="396"/>
      <c r="B302" s="396"/>
      <c r="C302" s="396"/>
      <c r="D302" s="396"/>
      <c r="E302" s="396"/>
      <c r="F302" s="396"/>
      <c r="G302" s="396"/>
      <c r="H302" s="396"/>
      <c r="I302" s="396"/>
      <c r="J302" s="396"/>
      <c r="K302" s="396"/>
      <c r="L302" s="396"/>
      <c r="M302" s="396"/>
      <c r="N302" s="396"/>
      <c r="O302" s="396"/>
      <c r="P302" s="396"/>
      <c r="Q302" s="396"/>
      <c r="R302" s="396"/>
      <c r="S302" s="396"/>
      <c r="T302" s="396"/>
      <c r="U302" s="396"/>
      <c r="V302" s="396"/>
      <c r="W302" s="396"/>
      <c r="X302" s="396"/>
      <c r="Y302" s="396"/>
      <c r="Z302" s="396"/>
      <c r="AA302" s="396"/>
      <c r="AB302" s="396"/>
      <c r="AC302" s="396"/>
      <c r="AD302" s="396"/>
      <c r="AE302" s="396"/>
      <c r="AF302" s="396"/>
      <c r="AG302" s="396"/>
      <c r="AH302" s="396"/>
    </row>
    <row r="303" spans="1:34" x14ac:dyDescent="0.25">
      <c r="A303" s="396"/>
      <c r="B303" s="396"/>
      <c r="C303" s="396"/>
      <c r="D303" s="396"/>
      <c r="E303" s="396"/>
      <c r="F303" s="396"/>
      <c r="G303" s="396"/>
      <c r="H303" s="396"/>
      <c r="I303" s="396"/>
      <c r="J303" s="396"/>
      <c r="K303" s="396"/>
      <c r="L303" s="396"/>
      <c r="M303" s="396"/>
      <c r="N303" s="396"/>
      <c r="O303" s="396"/>
      <c r="P303" s="396"/>
      <c r="Q303" s="396"/>
      <c r="R303" s="396"/>
      <c r="S303" s="396"/>
      <c r="T303" s="396"/>
      <c r="U303" s="396"/>
      <c r="V303" s="396"/>
      <c r="W303" s="396"/>
      <c r="X303" s="396"/>
      <c r="Y303" s="396"/>
      <c r="Z303" s="396"/>
      <c r="AA303" s="396"/>
      <c r="AB303" s="396"/>
      <c r="AC303" s="396"/>
      <c r="AD303" s="396"/>
      <c r="AE303" s="396"/>
      <c r="AF303" s="396"/>
      <c r="AG303" s="396"/>
      <c r="AH303" s="396"/>
    </row>
    <row r="304" spans="1:34" x14ac:dyDescent="0.25">
      <c r="A304" s="396"/>
      <c r="B304" s="396"/>
      <c r="C304" s="396"/>
      <c r="D304" s="396"/>
      <c r="E304" s="396"/>
      <c r="F304" s="396"/>
      <c r="G304" s="396"/>
      <c r="H304" s="396"/>
      <c r="I304" s="396"/>
      <c r="J304" s="396"/>
      <c r="K304" s="396"/>
      <c r="L304" s="396"/>
      <c r="M304" s="396"/>
      <c r="N304" s="396"/>
      <c r="O304" s="396"/>
      <c r="P304" s="396"/>
      <c r="Q304" s="396"/>
      <c r="R304" s="396"/>
      <c r="S304" s="396"/>
      <c r="T304" s="396"/>
      <c r="U304" s="396"/>
      <c r="V304" s="396"/>
      <c r="W304" s="396"/>
      <c r="X304" s="396"/>
      <c r="Y304" s="396"/>
      <c r="Z304" s="396"/>
      <c r="AA304" s="396"/>
      <c r="AB304" s="396"/>
      <c r="AC304" s="396"/>
      <c r="AD304" s="396"/>
      <c r="AE304" s="396"/>
      <c r="AF304" s="396"/>
      <c r="AG304" s="396"/>
      <c r="AH304" s="396"/>
    </row>
    <row r="305" spans="1:34" x14ac:dyDescent="0.25">
      <c r="A305" s="396"/>
      <c r="B305" s="396"/>
      <c r="C305" s="396"/>
      <c r="D305" s="396"/>
      <c r="E305" s="396"/>
      <c r="F305" s="396"/>
      <c r="G305" s="396"/>
      <c r="H305" s="396"/>
      <c r="I305" s="396"/>
      <c r="J305" s="396"/>
      <c r="K305" s="396"/>
      <c r="L305" s="396"/>
      <c r="M305" s="396"/>
      <c r="N305" s="396"/>
      <c r="O305" s="396"/>
      <c r="P305" s="396"/>
      <c r="Q305" s="396"/>
      <c r="R305" s="396"/>
      <c r="S305" s="396"/>
      <c r="T305" s="396"/>
      <c r="U305" s="396"/>
      <c r="V305" s="396"/>
      <c r="W305" s="396"/>
      <c r="X305" s="396"/>
      <c r="Y305" s="396"/>
      <c r="Z305" s="396"/>
      <c r="AA305" s="396"/>
      <c r="AB305" s="396"/>
      <c r="AC305" s="396"/>
      <c r="AD305" s="396"/>
      <c r="AE305" s="396"/>
      <c r="AF305" s="396"/>
      <c r="AG305" s="396"/>
      <c r="AH305" s="396"/>
    </row>
    <row r="306" spans="1:34" x14ac:dyDescent="0.25">
      <c r="A306" s="396"/>
      <c r="B306" s="396"/>
      <c r="C306" s="396"/>
      <c r="D306" s="396"/>
      <c r="E306" s="396"/>
      <c r="F306" s="396"/>
      <c r="G306" s="396"/>
      <c r="H306" s="396"/>
      <c r="I306" s="396"/>
      <c r="J306" s="396"/>
      <c r="K306" s="396"/>
      <c r="L306" s="396"/>
      <c r="M306" s="396"/>
      <c r="N306" s="396"/>
      <c r="O306" s="396"/>
      <c r="P306" s="396"/>
      <c r="Q306" s="396"/>
      <c r="R306" s="396"/>
      <c r="S306" s="396"/>
      <c r="T306" s="396"/>
      <c r="U306" s="396"/>
      <c r="V306" s="396"/>
      <c r="W306" s="396"/>
      <c r="X306" s="396"/>
      <c r="Y306" s="396"/>
      <c r="Z306" s="396"/>
      <c r="AA306" s="396"/>
      <c r="AB306" s="396"/>
      <c r="AC306" s="396"/>
      <c r="AD306" s="396"/>
      <c r="AE306" s="396"/>
      <c r="AF306" s="396"/>
      <c r="AG306" s="396"/>
      <c r="AH306" s="396"/>
    </row>
    <row r="307" spans="1:34" x14ac:dyDescent="0.25">
      <c r="A307" s="396"/>
      <c r="B307" s="396"/>
      <c r="C307" s="396"/>
      <c r="D307" s="396"/>
      <c r="E307" s="396"/>
      <c r="F307" s="396"/>
      <c r="G307" s="396"/>
      <c r="H307" s="396"/>
      <c r="I307" s="396"/>
      <c r="J307" s="396"/>
      <c r="K307" s="396"/>
      <c r="L307" s="396"/>
      <c r="M307" s="396"/>
      <c r="N307" s="396"/>
      <c r="O307" s="396"/>
      <c r="P307" s="396"/>
      <c r="Q307" s="396"/>
      <c r="R307" s="396"/>
      <c r="S307" s="396"/>
      <c r="T307" s="396"/>
      <c r="U307" s="396"/>
      <c r="V307" s="396"/>
      <c r="W307" s="396"/>
      <c r="X307" s="396"/>
      <c r="Y307" s="396"/>
      <c r="Z307" s="396"/>
      <c r="AA307" s="396"/>
      <c r="AB307" s="396"/>
      <c r="AC307" s="396"/>
      <c r="AD307" s="396"/>
      <c r="AE307" s="396"/>
      <c r="AF307" s="396"/>
      <c r="AG307" s="396"/>
      <c r="AH307" s="396"/>
    </row>
    <row r="308" spans="1:34" x14ac:dyDescent="0.25">
      <c r="A308" s="396"/>
      <c r="B308" s="396"/>
      <c r="C308" s="396"/>
      <c r="D308" s="396"/>
      <c r="E308" s="396"/>
      <c r="F308" s="396"/>
      <c r="G308" s="396"/>
      <c r="H308" s="396"/>
      <c r="I308" s="396"/>
      <c r="J308" s="396"/>
      <c r="K308" s="396"/>
      <c r="L308" s="396"/>
      <c r="M308" s="396"/>
      <c r="N308" s="396"/>
      <c r="O308" s="396"/>
      <c r="P308" s="396"/>
      <c r="Q308" s="396"/>
      <c r="R308" s="396"/>
      <c r="S308" s="396"/>
      <c r="T308" s="396"/>
      <c r="U308" s="396"/>
      <c r="V308" s="396"/>
      <c r="W308" s="396"/>
      <c r="X308" s="396"/>
      <c r="Y308" s="396"/>
      <c r="Z308" s="396"/>
      <c r="AA308" s="396"/>
      <c r="AB308" s="396"/>
      <c r="AC308" s="396"/>
      <c r="AD308" s="396"/>
      <c r="AE308" s="396"/>
      <c r="AF308" s="396"/>
      <c r="AG308" s="396"/>
      <c r="AH308" s="396"/>
    </row>
    <row r="309" spans="1:34" x14ac:dyDescent="0.25">
      <c r="A309" s="396"/>
      <c r="B309" s="396"/>
      <c r="C309" s="396"/>
      <c r="D309" s="396"/>
      <c r="E309" s="396"/>
      <c r="F309" s="396"/>
      <c r="G309" s="396"/>
      <c r="H309" s="396"/>
      <c r="I309" s="396"/>
      <c r="J309" s="396"/>
      <c r="K309" s="396"/>
      <c r="L309" s="396"/>
      <c r="M309" s="396"/>
      <c r="N309" s="396"/>
      <c r="O309" s="396"/>
      <c r="P309" s="396"/>
      <c r="Q309" s="396"/>
      <c r="R309" s="396"/>
      <c r="S309" s="396"/>
      <c r="T309" s="396"/>
      <c r="U309" s="396"/>
      <c r="V309" s="396"/>
      <c r="W309" s="396"/>
      <c r="X309" s="396"/>
      <c r="Y309" s="396"/>
      <c r="Z309" s="396"/>
      <c r="AA309" s="396"/>
      <c r="AB309" s="396"/>
      <c r="AC309" s="396"/>
      <c r="AD309" s="396"/>
      <c r="AE309" s="396"/>
      <c r="AF309" s="396"/>
      <c r="AG309" s="396"/>
      <c r="AH309" s="396"/>
    </row>
    <row r="310" spans="1:34" x14ac:dyDescent="0.25">
      <c r="A310" s="396"/>
      <c r="B310" s="396"/>
      <c r="C310" s="396"/>
      <c r="D310" s="396"/>
      <c r="E310" s="396"/>
      <c r="F310" s="396"/>
      <c r="G310" s="396"/>
      <c r="H310" s="396"/>
      <c r="I310" s="396"/>
      <c r="J310" s="396"/>
      <c r="K310" s="396"/>
      <c r="L310" s="396"/>
      <c r="M310" s="396"/>
      <c r="N310" s="396"/>
      <c r="O310" s="396"/>
      <c r="P310" s="396"/>
      <c r="Q310" s="396"/>
      <c r="R310" s="396"/>
      <c r="S310" s="396"/>
      <c r="T310" s="396"/>
      <c r="U310" s="396"/>
      <c r="V310" s="396"/>
      <c r="W310" s="396"/>
      <c r="X310" s="396"/>
      <c r="Y310" s="396"/>
      <c r="Z310" s="396"/>
      <c r="AA310" s="396"/>
      <c r="AB310" s="396"/>
      <c r="AC310" s="396"/>
      <c r="AD310" s="396"/>
      <c r="AE310" s="396"/>
      <c r="AF310" s="396"/>
      <c r="AG310" s="396"/>
      <c r="AH310" s="396"/>
    </row>
    <row r="311" spans="1:34" x14ac:dyDescent="0.25">
      <c r="A311" s="396"/>
      <c r="B311" s="396"/>
      <c r="C311" s="396"/>
      <c r="D311" s="396"/>
      <c r="E311" s="396"/>
      <c r="F311" s="396"/>
      <c r="G311" s="396"/>
      <c r="H311" s="396"/>
      <c r="I311" s="396"/>
      <c r="J311" s="396"/>
      <c r="K311" s="396"/>
      <c r="L311" s="396"/>
      <c r="M311" s="396"/>
      <c r="N311" s="396"/>
      <c r="O311" s="396"/>
      <c r="P311" s="396"/>
      <c r="Q311" s="396"/>
      <c r="R311" s="396"/>
      <c r="S311" s="396"/>
      <c r="T311" s="396"/>
      <c r="U311" s="396"/>
      <c r="V311" s="396"/>
      <c r="W311" s="396"/>
      <c r="X311" s="396"/>
      <c r="Y311" s="396"/>
      <c r="Z311" s="396"/>
      <c r="AA311" s="396"/>
      <c r="AB311" s="396"/>
      <c r="AC311" s="396"/>
      <c r="AD311" s="396"/>
      <c r="AE311" s="396"/>
      <c r="AF311" s="396"/>
      <c r="AG311" s="396"/>
      <c r="AH311" s="396"/>
    </row>
    <row r="312" spans="1:34" x14ac:dyDescent="0.25">
      <c r="A312" s="396"/>
      <c r="B312" s="396"/>
      <c r="C312" s="396"/>
      <c r="D312" s="396"/>
      <c r="E312" s="396"/>
      <c r="F312" s="396"/>
      <c r="G312" s="396"/>
      <c r="H312" s="396"/>
      <c r="I312" s="396"/>
      <c r="J312" s="396"/>
      <c r="K312" s="396"/>
      <c r="L312" s="396"/>
      <c r="M312" s="396"/>
      <c r="N312" s="396"/>
      <c r="O312" s="396"/>
      <c r="P312" s="396"/>
      <c r="Q312" s="396"/>
      <c r="R312" s="396"/>
      <c r="S312" s="396"/>
      <c r="T312" s="396"/>
      <c r="U312" s="396"/>
      <c r="V312" s="396"/>
      <c r="W312" s="396"/>
      <c r="X312" s="396"/>
      <c r="Y312" s="396"/>
      <c r="Z312" s="396"/>
      <c r="AA312" s="396"/>
      <c r="AB312" s="396"/>
      <c r="AC312" s="396"/>
      <c r="AD312" s="396"/>
      <c r="AE312" s="396"/>
      <c r="AF312" s="396"/>
      <c r="AG312" s="396"/>
      <c r="AH312" s="396"/>
    </row>
    <row r="313" spans="1:34" x14ac:dyDescent="0.25">
      <c r="A313" s="396"/>
      <c r="B313" s="396"/>
      <c r="C313" s="396"/>
      <c r="D313" s="396"/>
      <c r="E313" s="396"/>
      <c r="F313" s="396"/>
      <c r="G313" s="396"/>
      <c r="H313" s="396"/>
      <c r="I313" s="396"/>
      <c r="J313" s="396"/>
      <c r="K313" s="396"/>
      <c r="L313" s="396"/>
      <c r="M313" s="396"/>
      <c r="N313" s="396"/>
      <c r="O313" s="396"/>
      <c r="P313" s="396"/>
      <c r="Q313" s="396"/>
      <c r="R313" s="396"/>
      <c r="S313" s="396"/>
      <c r="T313" s="396"/>
      <c r="U313" s="396"/>
      <c r="V313" s="396"/>
      <c r="W313" s="396"/>
      <c r="X313" s="396"/>
      <c r="Y313" s="396"/>
      <c r="Z313" s="396"/>
      <c r="AA313" s="396"/>
      <c r="AB313" s="396"/>
      <c r="AC313" s="396"/>
      <c r="AD313" s="396"/>
      <c r="AE313" s="396"/>
      <c r="AF313" s="396"/>
      <c r="AG313" s="396"/>
      <c r="AH313" s="396"/>
    </row>
    <row r="314" spans="1:34" x14ac:dyDescent="0.25">
      <c r="A314" s="396"/>
      <c r="B314" s="396"/>
      <c r="C314" s="396"/>
      <c r="D314" s="396"/>
      <c r="E314" s="396"/>
      <c r="F314" s="396"/>
      <c r="G314" s="396"/>
      <c r="H314" s="396"/>
      <c r="I314" s="396"/>
      <c r="J314" s="396"/>
      <c r="K314" s="396"/>
      <c r="L314" s="396"/>
      <c r="M314" s="396"/>
      <c r="N314" s="396"/>
      <c r="O314" s="396"/>
      <c r="P314" s="396"/>
      <c r="Q314" s="396"/>
      <c r="R314" s="396"/>
      <c r="S314" s="396"/>
      <c r="T314" s="396"/>
      <c r="U314" s="396"/>
      <c r="V314" s="396"/>
      <c r="W314" s="396"/>
      <c r="X314" s="396"/>
      <c r="Y314" s="396"/>
      <c r="Z314" s="396"/>
      <c r="AA314" s="396"/>
      <c r="AB314" s="396"/>
      <c r="AC314" s="396"/>
      <c r="AD314" s="396"/>
      <c r="AE314" s="396"/>
      <c r="AF314" s="396"/>
      <c r="AG314" s="396"/>
      <c r="AH314" s="396"/>
    </row>
    <row r="315" spans="1:34" x14ac:dyDescent="0.25">
      <c r="A315" s="396"/>
      <c r="B315" s="396"/>
      <c r="C315" s="396"/>
      <c r="D315" s="396"/>
      <c r="E315" s="396"/>
      <c r="F315" s="396"/>
      <c r="G315" s="396"/>
      <c r="H315" s="396"/>
      <c r="I315" s="396"/>
      <c r="J315" s="396"/>
      <c r="K315" s="396"/>
      <c r="L315" s="396"/>
      <c r="M315" s="396"/>
      <c r="N315" s="396"/>
      <c r="O315" s="396"/>
      <c r="P315" s="396"/>
      <c r="Q315" s="396"/>
      <c r="R315" s="396"/>
      <c r="S315" s="396"/>
      <c r="T315" s="396"/>
      <c r="U315" s="396"/>
      <c r="V315" s="396"/>
      <c r="W315" s="396"/>
      <c r="X315" s="396"/>
      <c r="Y315" s="396"/>
      <c r="Z315" s="396"/>
      <c r="AA315" s="396"/>
      <c r="AB315" s="396"/>
      <c r="AC315" s="396"/>
      <c r="AD315" s="396"/>
      <c r="AE315" s="396"/>
      <c r="AF315" s="396"/>
      <c r="AG315" s="396"/>
      <c r="AH315" s="396"/>
    </row>
    <row r="316" spans="1:34" x14ac:dyDescent="0.25">
      <c r="A316" s="396"/>
      <c r="B316" s="396"/>
      <c r="C316" s="396"/>
      <c r="D316" s="396"/>
      <c r="E316" s="396"/>
      <c r="F316" s="396"/>
      <c r="G316" s="396"/>
      <c r="H316" s="396"/>
      <c r="I316" s="396"/>
      <c r="J316" s="396"/>
      <c r="K316" s="396"/>
      <c r="L316" s="396"/>
      <c r="M316" s="396"/>
      <c r="N316" s="396"/>
      <c r="O316" s="396"/>
      <c r="P316" s="396"/>
      <c r="Q316" s="396"/>
      <c r="R316" s="396"/>
      <c r="S316" s="396"/>
      <c r="T316" s="396"/>
      <c r="U316" s="396"/>
      <c r="V316" s="396"/>
      <c r="W316" s="396"/>
      <c r="X316" s="396"/>
      <c r="Y316" s="396"/>
      <c r="Z316" s="396"/>
      <c r="AA316" s="396"/>
      <c r="AB316" s="396"/>
      <c r="AC316" s="396"/>
      <c r="AD316" s="396"/>
      <c r="AE316" s="396"/>
      <c r="AF316" s="396"/>
      <c r="AG316" s="396"/>
      <c r="AH316" s="396"/>
    </row>
    <row r="317" spans="1:34" x14ac:dyDescent="0.25">
      <c r="A317" s="396"/>
      <c r="B317" s="396"/>
      <c r="C317" s="396"/>
      <c r="D317" s="396"/>
      <c r="E317" s="396"/>
      <c r="F317" s="396"/>
      <c r="G317" s="396"/>
      <c r="H317" s="396"/>
      <c r="I317" s="396"/>
      <c r="J317" s="396"/>
      <c r="K317" s="396"/>
      <c r="L317" s="396"/>
      <c r="M317" s="396"/>
      <c r="N317" s="396"/>
      <c r="O317" s="396"/>
      <c r="P317" s="396"/>
      <c r="Q317" s="396"/>
      <c r="R317" s="396"/>
      <c r="S317" s="396"/>
      <c r="T317" s="396"/>
      <c r="U317" s="396"/>
      <c r="V317" s="396"/>
      <c r="W317" s="396"/>
      <c r="X317" s="396"/>
      <c r="Y317" s="396"/>
      <c r="Z317" s="396"/>
      <c r="AA317" s="396"/>
      <c r="AB317" s="396"/>
      <c r="AC317" s="396"/>
      <c r="AD317" s="396"/>
      <c r="AE317" s="396"/>
      <c r="AF317" s="396"/>
      <c r="AG317" s="396"/>
      <c r="AH317" s="396"/>
    </row>
    <row r="318" spans="1:34" x14ac:dyDescent="0.25">
      <c r="A318" s="396"/>
      <c r="B318" s="396"/>
      <c r="C318" s="396"/>
      <c r="D318" s="396"/>
      <c r="E318" s="396"/>
      <c r="F318" s="396"/>
      <c r="G318" s="396"/>
      <c r="H318" s="396"/>
      <c r="I318" s="396"/>
      <c r="J318" s="396"/>
      <c r="K318" s="396"/>
      <c r="L318" s="396"/>
      <c r="M318" s="396"/>
      <c r="N318" s="396"/>
      <c r="O318" s="396"/>
      <c r="P318" s="396"/>
      <c r="Q318" s="396"/>
      <c r="R318" s="396"/>
      <c r="S318" s="396"/>
      <c r="T318" s="396"/>
      <c r="U318" s="396"/>
      <c r="V318" s="396"/>
      <c r="W318" s="396"/>
      <c r="X318" s="396"/>
      <c r="Y318" s="396"/>
      <c r="Z318" s="396"/>
      <c r="AA318" s="396"/>
      <c r="AB318" s="396"/>
      <c r="AC318" s="396"/>
      <c r="AD318" s="396"/>
      <c r="AE318" s="396"/>
      <c r="AF318" s="396"/>
      <c r="AG318" s="396"/>
      <c r="AH318" s="396"/>
    </row>
    <row r="319" spans="1:34" x14ac:dyDescent="0.25">
      <c r="A319" s="396"/>
      <c r="B319" s="396"/>
      <c r="C319" s="396"/>
      <c r="D319" s="396"/>
      <c r="E319" s="396"/>
      <c r="F319" s="396"/>
      <c r="G319" s="396"/>
      <c r="H319" s="396"/>
      <c r="I319" s="396"/>
      <c r="J319" s="396"/>
      <c r="K319" s="396"/>
      <c r="L319" s="396"/>
      <c r="M319" s="396"/>
      <c r="N319" s="396"/>
      <c r="O319" s="396"/>
      <c r="P319" s="396"/>
      <c r="Q319" s="396"/>
      <c r="R319" s="396"/>
      <c r="S319" s="396"/>
      <c r="T319" s="396"/>
      <c r="U319" s="396"/>
      <c r="V319" s="396"/>
      <c r="W319" s="396"/>
      <c r="X319" s="396"/>
      <c r="Y319" s="396"/>
      <c r="Z319" s="396"/>
      <c r="AA319" s="396"/>
      <c r="AB319" s="396"/>
      <c r="AC319" s="396"/>
      <c r="AD319" s="396"/>
      <c r="AE319" s="396"/>
      <c r="AF319" s="396"/>
      <c r="AG319" s="396"/>
      <c r="AH319" s="396"/>
    </row>
    <row r="320" spans="1:34" x14ac:dyDescent="0.25">
      <c r="A320" s="396"/>
      <c r="B320" s="396"/>
      <c r="C320" s="396"/>
      <c r="D320" s="396"/>
      <c r="E320" s="396"/>
      <c r="F320" s="396"/>
      <c r="G320" s="396"/>
      <c r="H320" s="396"/>
      <c r="I320" s="396"/>
      <c r="J320" s="396"/>
      <c r="K320" s="396"/>
      <c r="L320" s="396"/>
      <c r="M320" s="396"/>
      <c r="N320" s="396"/>
      <c r="O320" s="396"/>
      <c r="P320" s="396"/>
      <c r="Q320" s="396"/>
      <c r="R320" s="396"/>
      <c r="S320" s="396"/>
      <c r="T320" s="396"/>
      <c r="U320" s="396"/>
      <c r="V320" s="396"/>
      <c r="W320" s="396"/>
      <c r="X320" s="396"/>
      <c r="Y320" s="396"/>
      <c r="Z320" s="396"/>
      <c r="AA320" s="396"/>
      <c r="AB320" s="396"/>
      <c r="AC320" s="396"/>
      <c r="AD320" s="396"/>
      <c r="AE320" s="396"/>
      <c r="AF320" s="396"/>
      <c r="AG320" s="396"/>
      <c r="AH320" s="396"/>
    </row>
    <row r="321" spans="1:34" x14ac:dyDescent="0.25">
      <c r="A321" s="396"/>
      <c r="B321" s="396"/>
      <c r="C321" s="396"/>
      <c r="D321" s="396"/>
      <c r="E321" s="396"/>
      <c r="F321" s="396"/>
      <c r="G321" s="396"/>
      <c r="H321" s="396"/>
      <c r="I321" s="396"/>
      <c r="J321" s="396"/>
      <c r="K321" s="396"/>
      <c r="L321" s="396"/>
      <c r="M321" s="396"/>
      <c r="N321" s="396"/>
      <c r="O321" s="396"/>
      <c r="P321" s="396"/>
      <c r="Q321" s="396"/>
      <c r="R321" s="396"/>
      <c r="S321" s="396"/>
      <c r="T321" s="396"/>
      <c r="U321" s="396"/>
      <c r="V321" s="396"/>
      <c r="W321" s="396"/>
      <c r="X321" s="396"/>
      <c r="Y321" s="396"/>
      <c r="Z321" s="396"/>
      <c r="AA321" s="396"/>
      <c r="AB321" s="396"/>
      <c r="AC321" s="396"/>
      <c r="AD321" s="396"/>
      <c r="AE321" s="396"/>
      <c r="AF321" s="396"/>
      <c r="AG321" s="396"/>
      <c r="AH321" s="396"/>
    </row>
    <row r="322" spans="1:34" x14ac:dyDescent="0.25">
      <c r="A322" s="396"/>
      <c r="B322" s="396"/>
      <c r="C322" s="396"/>
      <c r="D322" s="396"/>
      <c r="E322" s="396"/>
      <c r="F322" s="396"/>
      <c r="G322" s="396"/>
      <c r="H322" s="396"/>
      <c r="I322" s="396"/>
      <c r="J322" s="396"/>
      <c r="K322" s="396"/>
      <c r="L322" s="396"/>
      <c r="M322" s="396"/>
      <c r="N322" s="396"/>
      <c r="O322" s="396"/>
      <c r="P322" s="396"/>
      <c r="Q322" s="396"/>
      <c r="R322" s="396"/>
      <c r="S322" s="396"/>
      <c r="T322" s="396"/>
      <c r="U322" s="396"/>
      <c r="V322" s="396"/>
      <c r="W322" s="396"/>
      <c r="X322" s="396"/>
      <c r="Y322" s="396"/>
      <c r="Z322" s="396"/>
      <c r="AA322" s="396"/>
      <c r="AB322" s="396"/>
      <c r="AC322" s="396"/>
      <c r="AD322" s="396"/>
      <c r="AE322" s="396"/>
      <c r="AF322" s="396"/>
      <c r="AG322" s="396"/>
      <c r="AH322" s="396"/>
    </row>
    <row r="323" spans="1:34" x14ac:dyDescent="0.25">
      <c r="A323" s="396"/>
      <c r="B323" s="396"/>
      <c r="C323" s="396"/>
      <c r="D323" s="396"/>
      <c r="E323" s="396"/>
      <c r="F323" s="396"/>
      <c r="G323" s="396"/>
      <c r="H323" s="396"/>
      <c r="I323" s="396"/>
      <c r="J323" s="396"/>
      <c r="K323" s="396"/>
      <c r="L323" s="396"/>
      <c r="M323" s="396"/>
      <c r="N323" s="396"/>
      <c r="O323" s="396"/>
      <c r="P323" s="396"/>
      <c r="Q323" s="396"/>
      <c r="R323" s="396"/>
      <c r="S323" s="396"/>
      <c r="T323" s="396"/>
      <c r="U323" s="396"/>
      <c r="V323" s="396"/>
      <c r="W323" s="396"/>
      <c r="X323" s="396"/>
      <c r="Y323" s="396"/>
      <c r="Z323" s="396"/>
      <c r="AA323" s="396"/>
      <c r="AB323" s="396"/>
      <c r="AC323" s="396"/>
      <c r="AD323" s="396"/>
      <c r="AE323" s="396"/>
      <c r="AF323" s="396"/>
      <c r="AG323" s="396"/>
      <c r="AH323" s="396"/>
    </row>
    <row r="324" spans="1:34" x14ac:dyDescent="0.25">
      <c r="A324" s="396"/>
      <c r="B324" s="396"/>
      <c r="C324" s="396"/>
      <c r="D324" s="396"/>
      <c r="E324" s="396"/>
      <c r="F324" s="396"/>
      <c r="G324" s="396"/>
      <c r="H324" s="396"/>
      <c r="I324" s="396"/>
      <c r="J324" s="396"/>
      <c r="K324" s="396"/>
      <c r="L324" s="396"/>
      <c r="M324" s="396"/>
      <c r="N324" s="396"/>
      <c r="O324" s="396"/>
      <c r="P324" s="396"/>
      <c r="Q324" s="396"/>
      <c r="R324" s="396"/>
      <c r="S324" s="396"/>
      <c r="T324" s="396"/>
      <c r="U324" s="396"/>
      <c r="V324" s="396"/>
      <c r="W324" s="396"/>
      <c r="X324" s="396"/>
      <c r="Y324" s="396"/>
      <c r="Z324" s="396"/>
      <c r="AA324" s="396"/>
      <c r="AB324" s="396"/>
      <c r="AC324" s="396"/>
      <c r="AD324" s="396"/>
      <c r="AE324" s="396"/>
      <c r="AF324" s="396"/>
      <c r="AG324" s="396"/>
      <c r="AH324" s="396"/>
    </row>
    <row r="325" spans="1:34" x14ac:dyDescent="0.25">
      <c r="A325" s="396"/>
      <c r="B325" s="396"/>
      <c r="C325" s="396"/>
      <c r="D325" s="396"/>
      <c r="E325" s="396"/>
      <c r="F325" s="396"/>
      <c r="G325" s="396"/>
      <c r="H325" s="396"/>
      <c r="I325" s="396"/>
      <c r="J325" s="396"/>
      <c r="K325" s="396"/>
      <c r="L325" s="396"/>
      <c r="M325" s="396"/>
      <c r="N325" s="396"/>
      <c r="O325" s="396"/>
      <c r="P325" s="396"/>
      <c r="Q325" s="396"/>
      <c r="R325" s="396"/>
      <c r="S325" s="396"/>
      <c r="T325" s="396"/>
      <c r="U325" s="396"/>
      <c r="V325" s="396"/>
      <c r="W325" s="396"/>
      <c r="X325" s="396"/>
      <c r="Y325" s="396"/>
      <c r="Z325" s="396"/>
      <c r="AA325" s="396"/>
      <c r="AB325" s="396"/>
      <c r="AC325" s="396"/>
      <c r="AD325" s="396"/>
      <c r="AE325" s="396"/>
      <c r="AF325" s="396"/>
      <c r="AG325" s="396"/>
      <c r="AH325" s="396"/>
    </row>
    <row r="326" spans="1:34" x14ac:dyDescent="0.25">
      <c r="A326" s="396"/>
      <c r="B326" s="396"/>
      <c r="C326" s="396"/>
      <c r="D326" s="396"/>
      <c r="E326" s="396"/>
      <c r="F326" s="396"/>
      <c r="G326" s="396"/>
      <c r="H326" s="396"/>
      <c r="I326" s="396"/>
      <c r="J326" s="396"/>
      <c r="K326" s="396"/>
      <c r="L326" s="396"/>
      <c r="M326" s="396"/>
      <c r="N326" s="396"/>
      <c r="O326" s="396"/>
      <c r="P326" s="396"/>
      <c r="Q326" s="396"/>
      <c r="R326" s="396"/>
      <c r="S326" s="396"/>
      <c r="T326" s="396"/>
      <c r="U326" s="396"/>
      <c r="V326" s="396"/>
      <c r="W326" s="396"/>
      <c r="X326" s="396"/>
      <c r="Y326" s="396"/>
      <c r="Z326" s="396"/>
      <c r="AA326" s="396"/>
      <c r="AB326" s="396"/>
      <c r="AC326" s="396"/>
      <c r="AD326" s="396"/>
      <c r="AE326" s="396"/>
      <c r="AF326" s="396"/>
      <c r="AG326" s="396"/>
      <c r="AH326" s="396"/>
    </row>
    <row r="327" spans="1:34" x14ac:dyDescent="0.25">
      <c r="A327" s="396"/>
      <c r="B327" s="396"/>
      <c r="C327" s="396"/>
      <c r="D327" s="396"/>
      <c r="E327" s="396"/>
      <c r="F327" s="396"/>
      <c r="G327" s="396"/>
      <c r="H327" s="396"/>
      <c r="I327" s="396"/>
      <c r="J327" s="396"/>
      <c r="K327" s="396"/>
      <c r="L327" s="396"/>
      <c r="M327" s="396"/>
      <c r="N327" s="396"/>
      <c r="O327" s="396"/>
      <c r="P327" s="396"/>
      <c r="Q327" s="396"/>
      <c r="R327" s="396"/>
      <c r="S327" s="396"/>
      <c r="T327" s="396"/>
      <c r="U327" s="396"/>
      <c r="V327" s="396"/>
      <c r="W327" s="396"/>
      <c r="X327" s="396"/>
      <c r="Y327" s="396"/>
      <c r="Z327" s="396"/>
      <c r="AA327" s="396"/>
      <c r="AB327" s="396"/>
      <c r="AC327" s="396"/>
      <c r="AD327" s="396"/>
      <c r="AE327" s="396"/>
      <c r="AF327" s="396"/>
      <c r="AG327" s="396"/>
      <c r="AH327" s="396"/>
    </row>
    <row r="328" spans="1:34" x14ac:dyDescent="0.25">
      <c r="A328" s="396"/>
      <c r="B328" s="396"/>
      <c r="C328" s="396"/>
      <c r="D328" s="396"/>
      <c r="E328" s="396"/>
      <c r="F328" s="396"/>
      <c r="G328" s="396"/>
      <c r="H328" s="396"/>
      <c r="I328" s="396"/>
      <c r="J328" s="396"/>
      <c r="K328" s="396"/>
      <c r="L328" s="396"/>
      <c r="M328" s="396"/>
      <c r="N328" s="396"/>
      <c r="O328" s="396"/>
      <c r="P328" s="396"/>
      <c r="Q328" s="396"/>
      <c r="R328" s="396"/>
      <c r="S328" s="396"/>
      <c r="T328" s="396"/>
      <c r="U328" s="396"/>
      <c r="V328" s="396"/>
      <c r="W328" s="396"/>
      <c r="X328" s="396"/>
      <c r="Y328" s="396"/>
      <c r="Z328" s="396"/>
      <c r="AA328" s="396"/>
      <c r="AB328" s="396"/>
      <c r="AC328" s="396"/>
      <c r="AD328" s="396"/>
      <c r="AE328" s="396"/>
      <c r="AF328" s="396"/>
      <c r="AG328" s="396"/>
      <c r="AH328" s="396"/>
    </row>
    <row r="329" spans="1:34" x14ac:dyDescent="0.25">
      <c r="A329" s="396"/>
      <c r="B329" s="396"/>
      <c r="C329" s="396"/>
      <c r="D329" s="396"/>
      <c r="E329" s="396"/>
      <c r="F329" s="396"/>
      <c r="G329" s="396"/>
      <c r="H329" s="396"/>
      <c r="I329" s="396"/>
      <c r="J329" s="396"/>
      <c r="K329" s="396"/>
      <c r="L329" s="396"/>
      <c r="M329" s="396"/>
      <c r="N329" s="396"/>
      <c r="O329" s="396"/>
      <c r="P329" s="396"/>
      <c r="Q329" s="396"/>
      <c r="R329" s="396"/>
      <c r="S329" s="396"/>
      <c r="T329" s="396"/>
      <c r="U329" s="396"/>
      <c r="V329" s="396"/>
      <c r="W329" s="396"/>
      <c r="X329" s="396"/>
      <c r="Y329" s="396"/>
      <c r="Z329" s="396"/>
      <c r="AA329" s="396"/>
      <c r="AB329" s="396"/>
      <c r="AC329" s="396"/>
      <c r="AD329" s="396"/>
      <c r="AE329" s="396"/>
      <c r="AF329" s="396"/>
      <c r="AG329" s="396"/>
      <c r="AH329" s="396"/>
    </row>
    <row r="330" spans="1:34" x14ac:dyDescent="0.25">
      <c r="A330" s="396"/>
      <c r="B330" s="396"/>
      <c r="C330" s="396"/>
      <c r="D330" s="396"/>
      <c r="E330" s="396"/>
      <c r="F330" s="396"/>
      <c r="G330" s="396"/>
      <c r="H330" s="396"/>
      <c r="I330" s="396"/>
      <c r="J330" s="396"/>
      <c r="K330" s="396"/>
      <c r="L330" s="396"/>
      <c r="M330" s="396"/>
      <c r="N330" s="396"/>
      <c r="O330" s="396"/>
      <c r="P330" s="396"/>
      <c r="Q330" s="396"/>
      <c r="R330" s="396"/>
      <c r="S330" s="396"/>
      <c r="T330" s="396"/>
      <c r="U330" s="396"/>
      <c r="V330" s="396"/>
      <c r="W330" s="396"/>
      <c r="X330" s="396"/>
      <c r="Y330" s="396"/>
      <c r="Z330" s="396"/>
      <c r="AA330" s="396"/>
      <c r="AB330" s="396"/>
      <c r="AC330" s="396"/>
      <c r="AD330" s="396"/>
      <c r="AE330" s="396"/>
      <c r="AF330" s="396"/>
      <c r="AG330" s="396"/>
      <c r="AH330" s="396"/>
    </row>
    <row r="331" spans="1:34" x14ac:dyDescent="0.25">
      <c r="A331" s="396"/>
      <c r="B331" s="396"/>
      <c r="C331" s="396"/>
      <c r="D331" s="396"/>
      <c r="E331" s="396"/>
      <c r="F331" s="396"/>
      <c r="G331" s="396"/>
      <c r="H331" s="396"/>
      <c r="I331" s="396"/>
      <c r="J331" s="396"/>
      <c r="K331" s="396"/>
      <c r="L331" s="396"/>
      <c r="M331" s="396"/>
      <c r="N331" s="396"/>
      <c r="O331" s="396"/>
      <c r="P331" s="396"/>
      <c r="Q331" s="396"/>
      <c r="R331" s="396"/>
      <c r="S331" s="396"/>
      <c r="T331" s="396"/>
      <c r="U331" s="396"/>
      <c r="V331" s="396"/>
      <c r="W331" s="396"/>
      <c r="X331" s="396"/>
      <c r="Y331" s="396"/>
      <c r="Z331" s="396"/>
      <c r="AA331" s="396"/>
      <c r="AB331" s="396"/>
      <c r="AC331" s="396"/>
      <c r="AD331" s="396"/>
      <c r="AE331" s="396"/>
      <c r="AF331" s="396"/>
      <c r="AG331" s="396"/>
      <c r="AH331" s="396"/>
    </row>
    <row r="332" spans="1:34" x14ac:dyDescent="0.25">
      <c r="A332" s="396"/>
      <c r="B332" s="396"/>
      <c r="C332" s="396"/>
      <c r="D332" s="396"/>
      <c r="E332" s="396"/>
      <c r="F332" s="396"/>
      <c r="G332" s="396"/>
      <c r="H332" s="396"/>
      <c r="I332" s="396"/>
      <c r="J332" s="396"/>
      <c r="K332" s="396"/>
      <c r="L332" s="396"/>
      <c r="M332" s="396"/>
      <c r="N332" s="396"/>
      <c r="O332" s="396"/>
      <c r="P332" s="396"/>
      <c r="Q332" s="396"/>
      <c r="R332" s="396"/>
      <c r="S332" s="396"/>
      <c r="T332" s="396"/>
      <c r="U332" s="396"/>
      <c r="V332" s="396"/>
      <c r="W332" s="396"/>
      <c r="X332" s="396"/>
      <c r="Y332" s="396"/>
      <c r="Z332" s="396"/>
      <c r="AA332" s="396"/>
      <c r="AB332" s="396"/>
      <c r="AC332" s="396"/>
      <c r="AD332" s="396"/>
      <c r="AE332" s="396"/>
      <c r="AF332" s="396"/>
      <c r="AG332" s="396"/>
      <c r="AH332" s="396"/>
    </row>
    <row r="333" spans="1:34" x14ac:dyDescent="0.25">
      <c r="A333" s="396"/>
      <c r="B333" s="396"/>
      <c r="C333" s="396"/>
      <c r="D333" s="396"/>
      <c r="E333" s="396"/>
      <c r="F333" s="396"/>
      <c r="G333" s="396"/>
      <c r="H333" s="396"/>
      <c r="I333" s="396"/>
      <c r="J333" s="396"/>
      <c r="K333" s="396"/>
      <c r="L333" s="396"/>
      <c r="M333" s="396"/>
      <c r="N333" s="396"/>
      <c r="O333" s="396"/>
      <c r="P333" s="396"/>
      <c r="Q333" s="396"/>
      <c r="R333" s="396"/>
      <c r="S333" s="396"/>
      <c r="T333" s="396"/>
      <c r="U333" s="396"/>
      <c r="V333" s="396"/>
      <c r="W333" s="396"/>
      <c r="X333" s="396"/>
      <c r="Y333" s="396"/>
      <c r="Z333" s="396"/>
      <c r="AA333" s="396"/>
      <c r="AB333" s="396"/>
      <c r="AC333" s="396"/>
      <c r="AD333" s="396"/>
      <c r="AE333" s="396"/>
      <c r="AF333" s="396"/>
      <c r="AG333" s="396"/>
      <c r="AH333" s="396"/>
    </row>
    <row r="334" spans="1:34" x14ac:dyDescent="0.25">
      <c r="A334" s="396"/>
      <c r="B334" s="396"/>
      <c r="C334" s="396"/>
      <c r="D334" s="396"/>
      <c r="E334" s="396"/>
      <c r="F334" s="396"/>
      <c r="G334" s="396"/>
      <c r="H334" s="396"/>
      <c r="I334" s="396"/>
      <c r="J334" s="396"/>
      <c r="K334" s="396"/>
      <c r="L334" s="396"/>
      <c r="M334" s="396"/>
      <c r="N334" s="396"/>
      <c r="O334" s="396"/>
      <c r="P334" s="396"/>
      <c r="Q334" s="396"/>
      <c r="R334" s="396"/>
      <c r="S334" s="396"/>
      <c r="T334" s="396"/>
      <c r="U334" s="396"/>
      <c r="V334" s="396"/>
      <c r="W334" s="396"/>
      <c r="X334" s="396"/>
      <c r="Y334" s="396"/>
      <c r="Z334" s="396"/>
      <c r="AA334" s="396"/>
      <c r="AB334" s="396"/>
      <c r="AC334" s="396"/>
      <c r="AD334" s="396"/>
      <c r="AE334" s="396"/>
      <c r="AF334" s="396"/>
      <c r="AG334" s="396"/>
      <c r="AH334" s="396"/>
    </row>
    <row r="335" spans="1:34" x14ac:dyDescent="0.25">
      <c r="A335" s="396"/>
      <c r="B335" s="396"/>
      <c r="C335" s="396"/>
      <c r="D335" s="396"/>
      <c r="E335" s="396"/>
      <c r="F335" s="396"/>
      <c r="G335" s="396"/>
      <c r="H335" s="396"/>
      <c r="I335" s="396"/>
      <c r="J335" s="396"/>
      <c r="K335" s="396"/>
      <c r="L335" s="396"/>
      <c r="M335" s="396"/>
      <c r="N335" s="396"/>
      <c r="O335" s="396"/>
      <c r="P335" s="396"/>
      <c r="Q335" s="396"/>
      <c r="R335" s="396"/>
      <c r="S335" s="396"/>
      <c r="T335" s="396"/>
      <c r="U335" s="396"/>
      <c r="V335" s="396"/>
      <c r="W335" s="396"/>
      <c r="X335" s="396"/>
      <c r="Y335" s="396"/>
      <c r="Z335" s="396"/>
      <c r="AA335" s="396"/>
      <c r="AB335" s="396"/>
      <c r="AC335" s="396"/>
      <c r="AD335" s="396"/>
      <c r="AE335" s="396"/>
      <c r="AF335" s="396"/>
      <c r="AG335" s="396"/>
      <c r="AH335" s="396"/>
    </row>
    <row r="336" spans="1:34" x14ac:dyDescent="0.25">
      <c r="A336" s="396"/>
      <c r="B336" s="396"/>
      <c r="C336" s="396"/>
      <c r="D336" s="396"/>
      <c r="E336" s="396"/>
      <c r="F336" s="396"/>
      <c r="G336" s="396"/>
      <c r="H336" s="396"/>
      <c r="I336" s="396"/>
      <c r="J336" s="396"/>
      <c r="K336" s="396"/>
      <c r="L336" s="396"/>
      <c r="M336" s="396"/>
      <c r="N336" s="396"/>
      <c r="O336" s="396"/>
      <c r="P336" s="396"/>
      <c r="Q336" s="396"/>
      <c r="R336" s="396"/>
      <c r="S336" s="396"/>
      <c r="T336" s="396"/>
      <c r="U336" s="396"/>
      <c r="V336" s="396"/>
      <c r="W336" s="396"/>
      <c r="X336" s="396"/>
      <c r="Y336" s="396"/>
      <c r="Z336" s="396"/>
      <c r="AA336" s="396"/>
      <c r="AB336" s="396"/>
      <c r="AC336" s="396"/>
      <c r="AD336" s="396"/>
      <c r="AE336" s="396"/>
      <c r="AF336" s="396"/>
      <c r="AG336" s="396"/>
      <c r="AH336" s="396"/>
    </row>
    <row r="337" spans="1:34" x14ac:dyDescent="0.25">
      <c r="A337" s="396"/>
      <c r="B337" s="396"/>
      <c r="C337" s="396"/>
      <c r="D337" s="396"/>
      <c r="E337" s="396"/>
      <c r="F337" s="396"/>
      <c r="G337" s="396"/>
      <c r="H337" s="396"/>
      <c r="I337" s="396"/>
      <c r="J337" s="396"/>
      <c r="K337" s="396"/>
      <c r="L337" s="396"/>
      <c r="M337" s="396"/>
      <c r="N337" s="396"/>
      <c r="O337" s="396"/>
      <c r="P337" s="396"/>
      <c r="Q337" s="396"/>
      <c r="R337" s="396"/>
      <c r="S337" s="396"/>
      <c r="T337" s="396"/>
      <c r="U337" s="396"/>
      <c r="V337" s="396"/>
      <c r="W337" s="396"/>
      <c r="X337" s="396"/>
      <c r="Y337" s="396"/>
      <c r="Z337" s="396"/>
      <c r="AA337" s="396"/>
      <c r="AB337" s="396"/>
      <c r="AC337" s="396"/>
      <c r="AD337" s="396"/>
      <c r="AE337" s="396"/>
      <c r="AF337" s="396"/>
      <c r="AG337" s="396"/>
      <c r="AH337" s="396"/>
    </row>
    <row r="338" spans="1:34" x14ac:dyDescent="0.25">
      <c r="A338" s="396"/>
      <c r="B338" s="396"/>
      <c r="C338" s="396"/>
      <c r="D338" s="396"/>
      <c r="E338" s="396"/>
      <c r="F338" s="396"/>
      <c r="G338" s="396"/>
      <c r="H338" s="396"/>
      <c r="I338" s="396"/>
      <c r="J338" s="396"/>
      <c r="K338" s="396"/>
      <c r="L338" s="396"/>
      <c r="M338" s="396"/>
      <c r="N338" s="396"/>
      <c r="O338" s="396"/>
      <c r="P338" s="396"/>
      <c r="Q338" s="396"/>
      <c r="R338" s="396"/>
      <c r="S338" s="396"/>
      <c r="T338" s="396"/>
      <c r="U338" s="396"/>
      <c r="V338" s="396"/>
      <c r="W338" s="396"/>
      <c r="X338" s="396"/>
      <c r="Y338" s="396"/>
      <c r="Z338" s="396"/>
      <c r="AA338" s="396"/>
      <c r="AB338" s="396"/>
      <c r="AC338" s="396"/>
      <c r="AD338" s="396"/>
      <c r="AE338" s="396"/>
      <c r="AF338" s="396"/>
      <c r="AG338" s="396"/>
      <c r="AH338" s="396"/>
    </row>
    <row r="339" spans="1:34" x14ac:dyDescent="0.25">
      <c r="A339" s="396"/>
      <c r="B339" s="396"/>
      <c r="C339" s="396"/>
      <c r="D339" s="396"/>
      <c r="E339" s="396"/>
      <c r="F339" s="396"/>
      <c r="G339" s="396"/>
      <c r="H339" s="396"/>
      <c r="I339" s="396"/>
      <c r="J339" s="396"/>
      <c r="K339" s="396"/>
      <c r="L339" s="396"/>
      <c r="M339" s="396"/>
      <c r="N339" s="396"/>
      <c r="O339" s="396"/>
      <c r="P339" s="396"/>
      <c r="Q339" s="396"/>
      <c r="R339" s="396"/>
      <c r="S339" s="396"/>
      <c r="T339" s="396"/>
      <c r="U339" s="396"/>
      <c r="V339" s="396"/>
      <c r="W339" s="396"/>
      <c r="X339" s="396"/>
      <c r="Y339" s="396"/>
      <c r="Z339" s="396"/>
      <c r="AA339" s="396"/>
      <c r="AB339" s="396"/>
      <c r="AC339" s="396"/>
      <c r="AD339" s="396"/>
      <c r="AE339" s="396"/>
      <c r="AF339" s="396"/>
      <c r="AG339" s="396"/>
      <c r="AH339" s="396"/>
    </row>
    <row r="340" spans="1:34" x14ac:dyDescent="0.25">
      <c r="A340" s="396"/>
      <c r="B340" s="396"/>
      <c r="C340" s="396"/>
      <c r="D340" s="396"/>
      <c r="E340" s="396"/>
      <c r="F340" s="396"/>
      <c r="G340" s="396"/>
      <c r="H340" s="396"/>
      <c r="I340" s="396"/>
      <c r="J340" s="396"/>
      <c r="K340" s="396"/>
      <c r="L340" s="396"/>
      <c r="M340" s="396"/>
      <c r="N340" s="396"/>
      <c r="O340" s="396"/>
      <c r="P340" s="396"/>
      <c r="Q340" s="396"/>
      <c r="R340" s="396"/>
      <c r="S340" s="396"/>
      <c r="T340" s="396"/>
      <c r="U340" s="396"/>
      <c r="V340" s="396"/>
      <c r="W340" s="396"/>
      <c r="X340" s="396"/>
      <c r="Y340" s="396"/>
      <c r="Z340" s="396"/>
      <c r="AA340" s="396"/>
      <c r="AB340" s="396"/>
      <c r="AC340" s="396"/>
      <c r="AD340" s="396"/>
      <c r="AE340" s="396"/>
      <c r="AF340" s="396"/>
      <c r="AG340" s="396"/>
      <c r="AH340" s="396"/>
    </row>
    <row r="341" spans="1:34" x14ac:dyDescent="0.25">
      <c r="A341" s="396"/>
      <c r="B341" s="396"/>
      <c r="C341" s="396"/>
      <c r="D341" s="396"/>
      <c r="E341" s="396"/>
      <c r="F341" s="396"/>
      <c r="G341" s="396"/>
      <c r="H341" s="396"/>
      <c r="I341" s="396"/>
      <c r="J341" s="396"/>
      <c r="K341" s="396"/>
      <c r="L341" s="396"/>
      <c r="M341" s="396"/>
      <c r="N341" s="396"/>
      <c r="O341" s="396"/>
      <c r="P341" s="396"/>
      <c r="Q341" s="396"/>
      <c r="R341" s="396"/>
      <c r="S341" s="396"/>
      <c r="T341" s="396"/>
      <c r="U341" s="396"/>
      <c r="V341" s="396"/>
      <c r="W341" s="396"/>
      <c r="X341" s="396"/>
      <c r="Y341" s="396"/>
      <c r="Z341" s="396"/>
      <c r="AA341" s="396"/>
      <c r="AB341" s="396"/>
      <c r="AC341" s="396"/>
      <c r="AD341" s="396"/>
      <c r="AE341" s="396"/>
      <c r="AF341" s="396"/>
      <c r="AG341" s="396"/>
      <c r="AH341" s="396"/>
    </row>
    <row r="342" spans="1:34" x14ac:dyDescent="0.25">
      <c r="A342" s="396"/>
      <c r="B342" s="396"/>
      <c r="C342" s="396"/>
      <c r="D342" s="396"/>
      <c r="E342" s="396"/>
      <c r="F342" s="396"/>
      <c r="G342" s="396"/>
      <c r="H342" s="396"/>
      <c r="I342" s="396"/>
      <c r="J342" s="396"/>
      <c r="K342" s="396"/>
      <c r="L342" s="396"/>
      <c r="M342" s="396"/>
      <c r="N342" s="396"/>
      <c r="O342" s="396"/>
      <c r="P342" s="396"/>
      <c r="Q342" s="396"/>
      <c r="R342" s="396"/>
      <c r="S342" s="396"/>
      <c r="T342" s="396"/>
      <c r="U342" s="396"/>
      <c r="V342" s="396"/>
      <c r="W342" s="396"/>
      <c r="X342" s="396"/>
      <c r="Y342" s="396"/>
      <c r="Z342" s="396"/>
      <c r="AA342" s="396"/>
      <c r="AB342" s="396"/>
      <c r="AC342" s="396"/>
      <c r="AD342" s="396"/>
      <c r="AE342" s="396"/>
      <c r="AF342" s="396"/>
      <c r="AG342" s="396"/>
      <c r="AH342" s="396"/>
    </row>
    <row r="343" spans="1:34" x14ac:dyDescent="0.25">
      <c r="A343" s="396"/>
      <c r="B343" s="396"/>
      <c r="C343" s="396"/>
      <c r="D343" s="396"/>
      <c r="E343" s="396"/>
      <c r="F343" s="396"/>
      <c r="G343" s="396"/>
      <c r="H343" s="396"/>
      <c r="I343" s="396"/>
      <c r="J343" s="396"/>
      <c r="K343" s="396"/>
      <c r="L343" s="396"/>
      <c r="M343" s="396"/>
      <c r="N343" s="396"/>
      <c r="O343" s="396"/>
      <c r="P343" s="396"/>
      <c r="Q343" s="396"/>
      <c r="R343" s="396"/>
      <c r="S343" s="396"/>
      <c r="T343" s="396"/>
      <c r="U343" s="396"/>
      <c r="V343" s="396"/>
      <c r="W343" s="396"/>
      <c r="X343" s="396"/>
      <c r="Y343" s="396"/>
      <c r="Z343" s="396"/>
      <c r="AA343" s="396"/>
      <c r="AB343" s="396"/>
      <c r="AC343" s="396"/>
      <c r="AD343" s="396"/>
      <c r="AE343" s="396"/>
      <c r="AF343" s="396"/>
      <c r="AG343" s="396"/>
      <c r="AH343" s="396"/>
    </row>
    <row r="344" spans="1:34" x14ac:dyDescent="0.25">
      <c r="A344" s="396"/>
      <c r="B344" s="396"/>
      <c r="C344" s="396"/>
      <c r="D344" s="396"/>
      <c r="E344" s="396"/>
      <c r="F344" s="396"/>
      <c r="G344" s="396"/>
      <c r="H344" s="396"/>
      <c r="I344" s="396"/>
      <c r="J344" s="396"/>
      <c r="K344" s="396"/>
      <c r="L344" s="396"/>
      <c r="M344" s="396"/>
      <c r="N344" s="396"/>
      <c r="O344" s="396"/>
      <c r="P344" s="396"/>
      <c r="Q344" s="396"/>
      <c r="R344" s="396"/>
      <c r="S344" s="396"/>
      <c r="T344" s="396"/>
      <c r="U344" s="396"/>
      <c r="V344" s="396"/>
      <c r="W344" s="396"/>
      <c r="X344" s="396"/>
      <c r="Y344" s="396"/>
      <c r="Z344" s="396"/>
      <c r="AA344" s="396"/>
      <c r="AB344" s="396"/>
      <c r="AC344" s="396"/>
      <c r="AD344" s="396"/>
      <c r="AE344" s="396"/>
      <c r="AF344" s="396"/>
      <c r="AG344" s="396"/>
      <c r="AH344" s="396"/>
    </row>
    <row r="345" spans="1:34" x14ac:dyDescent="0.25">
      <c r="A345" s="396"/>
      <c r="B345" s="396"/>
      <c r="C345" s="396"/>
      <c r="D345" s="396"/>
      <c r="E345" s="396"/>
      <c r="F345" s="396"/>
      <c r="G345" s="396"/>
      <c r="H345" s="396"/>
      <c r="I345" s="396"/>
      <c r="J345" s="396"/>
      <c r="K345" s="396"/>
      <c r="L345" s="396"/>
      <c r="M345" s="396"/>
      <c r="N345" s="396"/>
      <c r="O345" s="396"/>
      <c r="P345" s="396"/>
      <c r="Q345" s="396"/>
      <c r="R345" s="396"/>
      <c r="S345" s="396"/>
      <c r="T345" s="396"/>
      <c r="U345" s="396"/>
      <c r="V345" s="396"/>
      <c r="W345" s="396"/>
      <c r="X345" s="396"/>
      <c r="Y345" s="396"/>
      <c r="Z345" s="396"/>
      <c r="AA345" s="396"/>
      <c r="AB345" s="396"/>
      <c r="AC345" s="396"/>
      <c r="AD345" s="396"/>
      <c r="AE345" s="396"/>
      <c r="AF345" s="396"/>
      <c r="AG345" s="396"/>
      <c r="AH345" s="396"/>
    </row>
    <row r="346" spans="1:34" x14ac:dyDescent="0.25">
      <c r="A346" s="396"/>
      <c r="B346" s="396"/>
      <c r="C346" s="396"/>
      <c r="D346" s="396"/>
      <c r="E346" s="396"/>
      <c r="F346" s="396"/>
      <c r="G346" s="396"/>
      <c r="H346" s="396"/>
      <c r="I346" s="396"/>
      <c r="J346" s="396"/>
      <c r="K346" s="396"/>
      <c r="L346" s="396"/>
      <c r="M346" s="396"/>
      <c r="N346" s="396"/>
      <c r="O346" s="396"/>
      <c r="P346" s="396"/>
      <c r="Q346" s="396"/>
      <c r="R346" s="396"/>
      <c r="S346" s="396"/>
      <c r="T346" s="396"/>
      <c r="U346" s="396"/>
      <c r="V346" s="396"/>
      <c r="W346" s="396"/>
      <c r="X346" s="396"/>
      <c r="Y346" s="396"/>
      <c r="Z346" s="396"/>
      <c r="AA346" s="396"/>
      <c r="AB346" s="396"/>
      <c r="AC346" s="396"/>
      <c r="AD346" s="396"/>
      <c r="AE346" s="396"/>
      <c r="AF346" s="396"/>
      <c r="AG346" s="396"/>
      <c r="AH346" s="396"/>
    </row>
    <row r="347" spans="1:34" x14ac:dyDescent="0.25">
      <c r="A347" s="396"/>
      <c r="B347" s="396"/>
      <c r="C347" s="396"/>
      <c r="D347" s="396"/>
      <c r="E347" s="396"/>
      <c r="F347" s="396"/>
      <c r="G347" s="396"/>
      <c r="H347" s="396"/>
      <c r="I347" s="396"/>
      <c r="J347" s="396"/>
      <c r="K347" s="396"/>
      <c r="L347" s="396"/>
      <c r="M347" s="396"/>
      <c r="N347" s="396"/>
      <c r="O347" s="396"/>
      <c r="P347" s="396"/>
      <c r="Q347" s="396"/>
      <c r="R347" s="396"/>
      <c r="S347" s="396"/>
      <c r="T347" s="396"/>
      <c r="U347" s="396"/>
      <c r="V347" s="396"/>
      <c r="W347" s="396"/>
      <c r="X347" s="396"/>
      <c r="Y347" s="396"/>
      <c r="Z347" s="396"/>
      <c r="AA347" s="396"/>
      <c r="AB347" s="396"/>
      <c r="AC347" s="396"/>
      <c r="AD347" s="396"/>
      <c r="AE347" s="396"/>
      <c r="AF347" s="396"/>
      <c r="AG347" s="396"/>
      <c r="AH347" s="396"/>
    </row>
    <row r="348" spans="1:34" x14ac:dyDescent="0.25">
      <c r="A348" s="396"/>
      <c r="B348" s="396"/>
      <c r="C348" s="396"/>
      <c r="D348" s="396"/>
      <c r="E348" s="396"/>
      <c r="F348" s="396"/>
      <c r="G348" s="396"/>
      <c r="H348" s="396"/>
      <c r="I348" s="396"/>
      <c r="J348" s="396"/>
      <c r="K348" s="396"/>
      <c r="L348" s="396"/>
      <c r="M348" s="396"/>
      <c r="N348" s="396"/>
      <c r="O348" s="396"/>
      <c r="P348" s="396"/>
      <c r="Q348" s="396"/>
      <c r="R348" s="396"/>
      <c r="S348" s="396"/>
      <c r="T348" s="396"/>
      <c r="U348" s="396"/>
      <c r="V348" s="396"/>
      <c r="W348" s="396"/>
      <c r="X348" s="396"/>
      <c r="Y348" s="396"/>
      <c r="Z348" s="396"/>
      <c r="AA348" s="396"/>
      <c r="AB348" s="396"/>
      <c r="AC348" s="396"/>
      <c r="AD348" s="396"/>
      <c r="AE348" s="396"/>
      <c r="AF348" s="396"/>
      <c r="AG348" s="396"/>
      <c r="AH348" s="396"/>
    </row>
    <row r="349" spans="1:34" x14ac:dyDescent="0.25">
      <c r="A349" s="396"/>
      <c r="B349" s="396"/>
      <c r="C349" s="396"/>
      <c r="D349" s="396"/>
      <c r="E349" s="396"/>
      <c r="F349" s="396"/>
      <c r="G349" s="396"/>
      <c r="H349" s="396"/>
      <c r="I349" s="396"/>
      <c r="J349" s="396"/>
      <c r="K349" s="396"/>
      <c r="L349" s="396"/>
      <c r="M349" s="396"/>
      <c r="N349" s="396"/>
      <c r="O349" s="396"/>
      <c r="P349" s="396"/>
      <c r="Q349" s="396"/>
      <c r="R349" s="396"/>
      <c r="S349" s="396"/>
      <c r="T349" s="396"/>
      <c r="U349" s="396"/>
      <c r="V349" s="396"/>
      <c r="W349" s="396"/>
      <c r="X349" s="396"/>
      <c r="Y349" s="396"/>
      <c r="Z349" s="396"/>
      <c r="AA349" s="396"/>
      <c r="AB349" s="396"/>
      <c r="AC349" s="396"/>
      <c r="AD349" s="396"/>
      <c r="AE349" s="396"/>
      <c r="AF349" s="396"/>
      <c r="AG349" s="396"/>
      <c r="AH349" s="396"/>
    </row>
    <row r="350" spans="1:34" x14ac:dyDescent="0.25">
      <c r="A350" s="396"/>
      <c r="B350" s="396"/>
      <c r="C350" s="396"/>
      <c r="D350" s="396"/>
      <c r="E350" s="396"/>
      <c r="F350" s="396"/>
      <c r="G350" s="396"/>
      <c r="H350" s="396"/>
      <c r="I350" s="396"/>
      <c r="J350" s="396"/>
      <c r="K350" s="396"/>
      <c r="L350" s="396"/>
      <c r="M350" s="396"/>
      <c r="N350" s="396"/>
      <c r="O350" s="396"/>
      <c r="P350" s="396"/>
      <c r="Q350" s="396"/>
      <c r="R350" s="396"/>
      <c r="S350" s="396"/>
      <c r="T350" s="396"/>
      <c r="U350" s="396"/>
      <c r="V350" s="396"/>
      <c r="W350" s="396"/>
      <c r="X350" s="396"/>
      <c r="Y350" s="396"/>
      <c r="Z350" s="396"/>
      <c r="AA350" s="396"/>
      <c r="AB350" s="396"/>
      <c r="AC350" s="396"/>
      <c r="AD350" s="396"/>
      <c r="AE350" s="396"/>
      <c r="AF350" s="396"/>
      <c r="AG350" s="396"/>
      <c r="AH350" s="396"/>
    </row>
    <row r="351" spans="1:34" x14ac:dyDescent="0.25">
      <c r="A351" s="396"/>
      <c r="B351" s="396"/>
      <c r="C351" s="396"/>
      <c r="D351" s="396"/>
      <c r="E351" s="396"/>
      <c r="F351" s="396"/>
      <c r="G351" s="396"/>
      <c r="H351" s="396"/>
      <c r="I351" s="396"/>
      <c r="J351" s="396"/>
      <c r="K351" s="396"/>
      <c r="L351" s="396"/>
      <c r="M351" s="396"/>
      <c r="N351" s="396"/>
      <c r="O351" s="396"/>
      <c r="P351" s="396"/>
      <c r="Q351" s="396"/>
      <c r="R351" s="396"/>
      <c r="S351" s="396"/>
      <c r="T351" s="396"/>
      <c r="U351" s="396"/>
      <c r="V351" s="396"/>
      <c r="W351" s="396"/>
      <c r="X351" s="396"/>
      <c r="Y351" s="396"/>
      <c r="Z351" s="396"/>
      <c r="AA351" s="396"/>
      <c r="AB351" s="396"/>
      <c r="AC351" s="396"/>
      <c r="AD351" s="396"/>
      <c r="AE351" s="396"/>
      <c r="AF351" s="396"/>
      <c r="AG351" s="396"/>
      <c r="AH351" s="396"/>
    </row>
    <row r="352" spans="1:34" x14ac:dyDescent="0.25">
      <c r="A352" s="396"/>
      <c r="B352" s="396"/>
      <c r="C352" s="396"/>
      <c r="D352" s="396"/>
      <c r="E352" s="396"/>
      <c r="F352" s="396"/>
      <c r="G352" s="396"/>
      <c r="H352" s="396"/>
      <c r="I352" s="396"/>
      <c r="J352" s="396"/>
      <c r="K352" s="396"/>
      <c r="L352" s="396"/>
      <c r="M352" s="396"/>
      <c r="N352" s="396"/>
      <c r="O352" s="396"/>
      <c r="P352" s="396"/>
      <c r="Q352" s="396"/>
      <c r="R352" s="396"/>
      <c r="S352" s="396"/>
      <c r="T352" s="396"/>
      <c r="U352" s="396"/>
      <c r="V352" s="396"/>
      <c r="W352" s="396"/>
      <c r="X352" s="396"/>
      <c r="Y352" s="396"/>
      <c r="Z352" s="396"/>
      <c r="AA352" s="396"/>
      <c r="AB352" s="396"/>
      <c r="AC352" s="396"/>
      <c r="AD352" s="396"/>
      <c r="AE352" s="396"/>
      <c r="AF352" s="396"/>
      <c r="AG352" s="396"/>
      <c r="AH352" s="396"/>
    </row>
    <row r="353" spans="1:34" x14ac:dyDescent="0.25">
      <c r="A353" s="396"/>
      <c r="B353" s="396"/>
      <c r="C353" s="396"/>
      <c r="D353" s="396"/>
      <c r="E353" s="396"/>
      <c r="F353" s="396"/>
      <c r="G353" s="396"/>
      <c r="H353" s="396"/>
      <c r="I353" s="396"/>
      <c r="J353" s="396"/>
      <c r="K353" s="396"/>
      <c r="L353" s="396"/>
      <c r="M353" s="396"/>
      <c r="N353" s="396"/>
      <c r="O353" s="396"/>
      <c r="P353" s="396"/>
      <c r="Q353" s="396"/>
      <c r="R353" s="396"/>
      <c r="S353" s="396"/>
      <c r="T353" s="396"/>
      <c r="U353" s="396"/>
      <c r="V353" s="396"/>
      <c r="W353" s="396"/>
      <c r="X353" s="396"/>
      <c r="Y353" s="396"/>
      <c r="Z353" s="396"/>
      <c r="AA353" s="396"/>
      <c r="AB353" s="396"/>
      <c r="AC353" s="396"/>
      <c r="AD353" s="396"/>
      <c r="AE353" s="396"/>
      <c r="AF353" s="396"/>
      <c r="AG353" s="396"/>
      <c r="AH353" s="396"/>
    </row>
    <row r="354" spans="1:34" x14ac:dyDescent="0.25">
      <c r="A354" s="396"/>
      <c r="B354" s="396"/>
      <c r="C354" s="396"/>
      <c r="D354" s="396"/>
      <c r="E354" s="396"/>
      <c r="F354" s="396"/>
      <c r="G354" s="396"/>
      <c r="H354" s="396"/>
      <c r="I354" s="396"/>
      <c r="J354" s="396"/>
      <c r="K354" s="396"/>
      <c r="L354" s="396"/>
      <c r="M354" s="396"/>
      <c r="N354" s="396"/>
      <c r="O354" s="396"/>
      <c r="P354" s="396"/>
      <c r="Q354" s="396"/>
      <c r="R354" s="396"/>
      <c r="S354" s="396"/>
      <c r="T354" s="396"/>
      <c r="U354" s="396"/>
      <c r="V354" s="396"/>
      <c r="W354" s="396"/>
      <c r="X354" s="396"/>
      <c r="Y354" s="396"/>
      <c r="Z354" s="396"/>
      <c r="AA354" s="396"/>
      <c r="AB354" s="396"/>
      <c r="AC354" s="396"/>
      <c r="AD354" s="396"/>
      <c r="AE354" s="396"/>
      <c r="AF354" s="396"/>
      <c r="AG354" s="396"/>
      <c r="AH354" s="396"/>
    </row>
    <row r="355" spans="1:34" x14ac:dyDescent="0.25">
      <c r="A355" s="396"/>
      <c r="B355" s="396"/>
      <c r="C355" s="396"/>
      <c r="D355" s="396"/>
      <c r="E355" s="396"/>
      <c r="F355" s="396"/>
      <c r="G355" s="396"/>
      <c r="H355" s="396"/>
      <c r="I355" s="396"/>
      <c r="J355" s="396"/>
      <c r="K355" s="396"/>
      <c r="L355" s="396"/>
      <c r="M355" s="396"/>
      <c r="N355" s="396"/>
      <c r="O355" s="396"/>
      <c r="P355" s="396"/>
      <c r="Q355" s="396"/>
      <c r="R355" s="396"/>
      <c r="S355" s="396"/>
      <c r="T355" s="396"/>
      <c r="U355" s="396"/>
      <c r="V355" s="396"/>
      <c r="W355" s="396"/>
      <c r="X355" s="396"/>
      <c r="Y355" s="396"/>
      <c r="Z355" s="396"/>
      <c r="AA355" s="396"/>
      <c r="AB355" s="396"/>
      <c r="AC355" s="396"/>
      <c r="AD355" s="396"/>
      <c r="AE355" s="396"/>
      <c r="AF355" s="396"/>
      <c r="AG355" s="396"/>
      <c r="AH355" s="396"/>
    </row>
    <row r="356" spans="1:34" x14ac:dyDescent="0.25">
      <c r="A356" s="396"/>
      <c r="B356" s="396"/>
      <c r="C356" s="396"/>
      <c r="D356" s="396"/>
      <c r="E356" s="396"/>
      <c r="F356" s="396"/>
      <c r="G356" s="396"/>
      <c r="H356" s="396"/>
      <c r="I356" s="396"/>
      <c r="J356" s="396"/>
      <c r="K356" s="396"/>
      <c r="L356" s="396"/>
      <c r="M356" s="396"/>
      <c r="N356" s="396"/>
      <c r="O356" s="396"/>
      <c r="P356" s="396"/>
      <c r="Q356" s="396"/>
      <c r="R356" s="396"/>
      <c r="S356" s="396"/>
      <c r="T356" s="396"/>
      <c r="U356" s="396"/>
      <c r="V356" s="396"/>
      <c r="W356" s="396"/>
      <c r="X356" s="396"/>
      <c r="Y356" s="396"/>
      <c r="Z356" s="396"/>
      <c r="AA356" s="396"/>
      <c r="AB356" s="396"/>
      <c r="AC356" s="396"/>
      <c r="AD356" s="396"/>
      <c r="AE356" s="396"/>
      <c r="AF356" s="396"/>
      <c r="AG356" s="396"/>
      <c r="AH356" s="396"/>
    </row>
    <row r="357" spans="1:34" x14ac:dyDescent="0.25">
      <c r="A357" s="396"/>
      <c r="B357" s="396"/>
      <c r="C357" s="396"/>
      <c r="D357" s="396"/>
      <c r="E357" s="396"/>
      <c r="F357" s="396"/>
      <c r="G357" s="396"/>
      <c r="H357" s="396"/>
      <c r="I357" s="396"/>
      <c r="J357" s="396"/>
      <c r="K357" s="396"/>
      <c r="L357" s="396"/>
      <c r="M357" s="396"/>
      <c r="N357" s="396"/>
      <c r="O357" s="396"/>
      <c r="P357" s="396"/>
      <c r="Q357" s="396"/>
      <c r="R357" s="396"/>
      <c r="S357" s="396"/>
      <c r="T357" s="396"/>
      <c r="U357" s="396"/>
      <c r="V357" s="396"/>
      <c r="W357" s="396"/>
      <c r="X357" s="396"/>
      <c r="Y357" s="396"/>
      <c r="Z357" s="396"/>
      <c r="AA357" s="396"/>
      <c r="AB357" s="396"/>
      <c r="AC357" s="396"/>
      <c r="AD357" s="396"/>
      <c r="AE357" s="396"/>
      <c r="AF357" s="396"/>
      <c r="AG357" s="396"/>
      <c r="AH357" s="396"/>
    </row>
    <row r="358" spans="1:34" x14ac:dyDescent="0.25">
      <c r="A358" s="396"/>
      <c r="B358" s="396"/>
      <c r="C358" s="396"/>
      <c r="D358" s="396"/>
      <c r="E358" s="396"/>
      <c r="F358" s="396"/>
      <c r="G358" s="396"/>
      <c r="H358" s="396"/>
      <c r="I358" s="396"/>
      <c r="J358" s="396"/>
      <c r="K358" s="396"/>
      <c r="L358" s="396"/>
      <c r="M358" s="396"/>
      <c r="N358" s="396"/>
      <c r="O358" s="396"/>
      <c r="P358" s="396"/>
      <c r="Q358" s="396"/>
      <c r="R358" s="396"/>
      <c r="S358" s="396"/>
      <c r="T358" s="396"/>
      <c r="U358" s="396"/>
      <c r="V358" s="396"/>
      <c r="W358" s="396"/>
      <c r="X358" s="396"/>
      <c r="Y358" s="396"/>
      <c r="Z358" s="396"/>
      <c r="AA358" s="396"/>
      <c r="AB358" s="396"/>
      <c r="AC358" s="396"/>
      <c r="AD358" s="396"/>
      <c r="AE358" s="396"/>
      <c r="AF358" s="396"/>
      <c r="AG358" s="396"/>
      <c r="AH358" s="396"/>
    </row>
    <row r="359" spans="1:34" x14ac:dyDescent="0.25">
      <c r="A359" s="396"/>
      <c r="B359" s="396"/>
      <c r="C359" s="396"/>
      <c r="D359" s="396"/>
      <c r="E359" s="396"/>
      <c r="F359" s="396"/>
      <c r="G359" s="396"/>
      <c r="H359" s="396"/>
      <c r="I359" s="396"/>
      <c r="J359" s="396"/>
      <c r="K359" s="396"/>
      <c r="L359" s="396"/>
      <c r="M359" s="396"/>
      <c r="N359" s="396"/>
      <c r="O359" s="396"/>
      <c r="P359" s="396"/>
      <c r="Q359" s="396"/>
      <c r="R359" s="396"/>
      <c r="S359" s="396"/>
      <c r="T359" s="396"/>
      <c r="U359" s="396"/>
      <c r="V359" s="396"/>
      <c r="W359" s="396"/>
      <c r="X359" s="396"/>
      <c r="Y359" s="396"/>
      <c r="Z359" s="396"/>
      <c r="AA359" s="396"/>
    </row>
    <row r="360" spans="1:34" x14ac:dyDescent="0.25">
      <c r="A360" s="396"/>
      <c r="B360" s="396"/>
      <c r="C360" s="396"/>
      <c r="D360" s="396"/>
      <c r="E360" s="396"/>
      <c r="F360" s="396"/>
      <c r="G360" s="396"/>
      <c r="H360" s="396"/>
      <c r="I360" s="396"/>
      <c r="J360" s="396"/>
      <c r="K360" s="396"/>
      <c r="L360" s="396"/>
      <c r="M360" s="396"/>
      <c r="N360" s="396"/>
      <c r="O360" s="396"/>
      <c r="P360" s="396"/>
      <c r="Q360" s="396"/>
      <c r="R360" s="396"/>
      <c r="S360" s="396"/>
      <c r="T360" s="396"/>
      <c r="U360" s="396"/>
      <c r="V360" s="396"/>
      <c r="W360" s="396"/>
      <c r="X360" s="396"/>
      <c r="Y360" s="396"/>
      <c r="Z360" s="396"/>
      <c r="AA360" s="396"/>
    </row>
    <row r="361" spans="1:34" x14ac:dyDescent="0.25">
      <c r="A361" s="396"/>
      <c r="B361" s="396"/>
      <c r="C361" s="396"/>
      <c r="D361" s="396"/>
      <c r="E361" s="396"/>
      <c r="F361" s="396"/>
      <c r="G361" s="396"/>
      <c r="H361" s="396"/>
      <c r="I361" s="396"/>
      <c r="J361" s="396"/>
      <c r="K361" s="396"/>
      <c r="L361" s="396"/>
      <c r="M361" s="396"/>
      <c r="N361" s="396"/>
      <c r="O361" s="396"/>
      <c r="P361" s="396"/>
      <c r="Q361" s="396"/>
      <c r="R361" s="396"/>
      <c r="S361" s="396"/>
      <c r="T361" s="396"/>
      <c r="U361" s="396"/>
      <c r="V361" s="396"/>
      <c r="W361" s="396"/>
      <c r="X361" s="396"/>
      <c r="Y361" s="396"/>
      <c r="Z361" s="396"/>
      <c r="AA361" s="396"/>
    </row>
    <row r="362" spans="1:34" x14ac:dyDescent="0.25">
      <c r="A362" s="396"/>
      <c r="B362" s="396"/>
      <c r="C362" s="396"/>
      <c r="D362" s="396"/>
      <c r="E362" s="396"/>
      <c r="F362" s="396"/>
      <c r="G362" s="396"/>
      <c r="H362" s="396"/>
      <c r="I362" s="396"/>
      <c r="J362" s="396"/>
      <c r="K362" s="396"/>
      <c r="L362" s="396"/>
      <c r="M362" s="396"/>
      <c r="N362" s="396"/>
      <c r="O362" s="396"/>
      <c r="P362" s="396"/>
      <c r="Q362" s="396"/>
      <c r="R362" s="396"/>
      <c r="S362" s="396"/>
      <c r="T362" s="396"/>
      <c r="U362" s="396"/>
      <c r="V362" s="396"/>
      <c r="W362" s="396"/>
      <c r="X362" s="396"/>
      <c r="Y362" s="396"/>
      <c r="Z362" s="396"/>
      <c r="AA362" s="396"/>
    </row>
    <row r="363" spans="1:34" x14ac:dyDescent="0.25">
      <c r="A363" s="396"/>
      <c r="B363" s="396"/>
      <c r="C363" s="396"/>
      <c r="D363" s="396"/>
      <c r="E363" s="396"/>
      <c r="F363" s="396"/>
      <c r="G363" s="396"/>
      <c r="H363" s="396"/>
      <c r="I363" s="396"/>
      <c r="J363" s="396"/>
      <c r="K363" s="396"/>
      <c r="L363" s="396"/>
      <c r="M363" s="396"/>
      <c r="N363" s="396"/>
      <c r="O363" s="396"/>
      <c r="P363" s="396"/>
      <c r="Q363" s="396"/>
      <c r="R363" s="396"/>
      <c r="S363" s="396"/>
      <c r="T363" s="396"/>
      <c r="U363" s="396"/>
      <c r="V363" s="396"/>
      <c r="W363" s="396"/>
      <c r="X363" s="396"/>
      <c r="Y363" s="396"/>
      <c r="Z363" s="396"/>
      <c r="AA363" s="396"/>
    </row>
    <row r="364" spans="1:34" x14ac:dyDescent="0.25">
      <c r="A364" s="396"/>
      <c r="B364" s="396"/>
      <c r="C364" s="396"/>
      <c r="D364" s="396"/>
      <c r="E364" s="396"/>
      <c r="F364" s="396"/>
      <c r="G364" s="396"/>
      <c r="H364" s="396"/>
      <c r="I364" s="396"/>
      <c r="J364" s="396"/>
      <c r="K364" s="396"/>
      <c r="L364" s="396"/>
      <c r="M364" s="396"/>
      <c r="N364" s="396"/>
      <c r="O364" s="396"/>
      <c r="P364" s="396"/>
      <c r="Q364" s="396"/>
      <c r="R364" s="396"/>
      <c r="S364" s="396"/>
      <c r="T364" s="396"/>
      <c r="U364" s="396"/>
      <c r="V364" s="396"/>
      <c r="W364" s="396"/>
      <c r="X364" s="396"/>
      <c r="Y364" s="396"/>
      <c r="Z364" s="396"/>
      <c r="AA364" s="396"/>
    </row>
    <row r="365" spans="1:34" x14ac:dyDescent="0.25">
      <c r="A365" s="396"/>
      <c r="B365" s="396"/>
      <c r="C365" s="396"/>
      <c r="D365" s="396"/>
      <c r="E365" s="396"/>
      <c r="F365" s="396"/>
      <c r="G365" s="396"/>
      <c r="H365" s="396"/>
      <c r="I365" s="396"/>
      <c r="J365" s="396"/>
      <c r="K365" s="396"/>
      <c r="L365" s="396"/>
      <c r="M365" s="396"/>
      <c r="N365" s="396"/>
      <c r="O365" s="396"/>
      <c r="P365" s="396"/>
      <c r="Q365" s="396"/>
      <c r="R365" s="396"/>
      <c r="S365" s="396"/>
      <c r="T365" s="396"/>
      <c r="U365" s="396"/>
      <c r="V365" s="396"/>
      <c r="W365" s="396"/>
      <c r="X365" s="396"/>
      <c r="Y365" s="396"/>
      <c r="Z365" s="396"/>
      <c r="AA365" s="396"/>
    </row>
    <row r="366" spans="1:34" x14ac:dyDescent="0.25">
      <c r="A366" s="396"/>
      <c r="B366" s="396"/>
      <c r="C366" s="396"/>
      <c r="D366" s="396"/>
      <c r="E366" s="396"/>
      <c r="F366" s="396"/>
      <c r="G366" s="396"/>
      <c r="H366" s="396"/>
      <c r="I366" s="396"/>
      <c r="J366" s="396"/>
      <c r="K366" s="396"/>
      <c r="L366" s="396"/>
      <c r="M366" s="396"/>
      <c r="N366" s="396"/>
      <c r="O366" s="396"/>
      <c r="P366" s="396"/>
      <c r="Q366" s="396"/>
      <c r="R366" s="396"/>
      <c r="S366" s="396"/>
      <c r="T366" s="396"/>
      <c r="U366" s="396"/>
      <c r="V366" s="396"/>
      <c r="W366" s="396"/>
      <c r="X366" s="396"/>
      <c r="Y366" s="396"/>
      <c r="Z366" s="396"/>
      <c r="AA366" s="396"/>
    </row>
    <row r="367" spans="1:34" x14ac:dyDescent="0.25">
      <c r="A367" s="396"/>
      <c r="B367" s="396"/>
      <c r="C367" s="396"/>
      <c r="D367" s="396"/>
      <c r="E367" s="396"/>
      <c r="F367" s="396"/>
      <c r="G367" s="396"/>
      <c r="H367" s="396"/>
      <c r="I367" s="396"/>
      <c r="J367" s="396"/>
      <c r="K367" s="396"/>
      <c r="L367" s="396"/>
      <c r="M367" s="396"/>
      <c r="N367" s="396"/>
      <c r="O367" s="396"/>
      <c r="P367" s="396"/>
      <c r="Q367" s="396"/>
      <c r="R367" s="396"/>
      <c r="S367" s="396"/>
      <c r="T367" s="396"/>
      <c r="U367" s="396"/>
      <c r="V367" s="396"/>
      <c r="W367" s="396"/>
      <c r="X367" s="396"/>
      <c r="Y367" s="396"/>
      <c r="Z367" s="396"/>
      <c r="AA367" s="396"/>
    </row>
    <row r="368" spans="1:34" x14ac:dyDescent="0.25">
      <c r="A368" s="396"/>
      <c r="B368" s="396"/>
      <c r="C368" s="396"/>
      <c r="D368" s="396"/>
      <c r="E368" s="396"/>
      <c r="F368" s="396"/>
      <c r="G368" s="396"/>
      <c r="H368" s="396"/>
      <c r="I368" s="396"/>
      <c r="J368" s="396"/>
      <c r="K368" s="396"/>
      <c r="L368" s="396"/>
      <c r="M368" s="396"/>
      <c r="N368" s="396"/>
      <c r="O368" s="396"/>
      <c r="P368" s="396"/>
      <c r="Q368" s="396"/>
      <c r="R368" s="396"/>
      <c r="S368" s="396"/>
      <c r="T368" s="396"/>
      <c r="U368" s="396"/>
      <c r="V368" s="396"/>
      <c r="W368" s="396"/>
      <c r="X368" s="396"/>
      <c r="Y368" s="396"/>
      <c r="Z368" s="396"/>
      <c r="AA368" s="396"/>
    </row>
    <row r="369" spans="1:27" x14ac:dyDescent="0.25">
      <c r="A369" s="396"/>
      <c r="B369" s="396"/>
      <c r="C369" s="396"/>
      <c r="D369" s="396"/>
      <c r="E369" s="396"/>
      <c r="F369" s="396"/>
      <c r="G369" s="396"/>
      <c r="H369" s="396"/>
      <c r="I369" s="396"/>
      <c r="J369" s="396"/>
      <c r="K369" s="396"/>
      <c r="L369" s="396"/>
      <c r="M369" s="396"/>
      <c r="N369" s="396"/>
      <c r="O369" s="396"/>
      <c r="P369" s="396"/>
      <c r="Q369" s="396"/>
      <c r="R369" s="396"/>
      <c r="S369" s="396"/>
      <c r="T369" s="396"/>
      <c r="U369" s="396"/>
      <c r="V369" s="396"/>
      <c r="W369" s="396"/>
      <c r="X369" s="396"/>
      <c r="Y369" s="396"/>
      <c r="Z369" s="396"/>
      <c r="AA369" s="396"/>
    </row>
    <row r="370" spans="1:27" x14ac:dyDescent="0.25">
      <c r="A370" s="396"/>
      <c r="B370" s="396"/>
      <c r="C370" s="396"/>
      <c r="D370" s="396"/>
      <c r="E370" s="396"/>
      <c r="F370" s="396"/>
      <c r="G370" s="396"/>
      <c r="H370" s="396"/>
      <c r="I370" s="396"/>
      <c r="J370" s="396"/>
      <c r="K370" s="396"/>
      <c r="L370" s="396"/>
      <c r="M370" s="396"/>
      <c r="N370" s="396"/>
      <c r="O370" s="396"/>
      <c r="P370" s="396"/>
      <c r="Q370" s="396"/>
      <c r="R370" s="396"/>
      <c r="S370" s="396"/>
      <c r="T370" s="396"/>
      <c r="U370" s="396"/>
      <c r="V370" s="396"/>
      <c r="W370" s="396"/>
      <c r="X370" s="396"/>
      <c r="Y370" s="396"/>
      <c r="Z370" s="396"/>
      <c r="AA370" s="396"/>
    </row>
    <row r="371" spans="1:27" x14ac:dyDescent="0.25">
      <c r="A371" s="396"/>
      <c r="B371" s="396"/>
      <c r="C371" s="396"/>
      <c r="D371" s="396"/>
      <c r="E371" s="396"/>
      <c r="F371" s="396"/>
      <c r="G371" s="396"/>
      <c r="H371" s="396"/>
      <c r="I371" s="396"/>
      <c r="J371" s="396"/>
      <c r="K371" s="396"/>
      <c r="L371" s="396"/>
      <c r="M371" s="396"/>
      <c r="N371" s="396"/>
      <c r="O371" s="396"/>
      <c r="P371" s="396"/>
      <c r="Q371" s="396"/>
      <c r="R371" s="396"/>
      <c r="S371" s="396"/>
      <c r="T371" s="396"/>
      <c r="U371" s="396"/>
      <c r="V371" s="396"/>
      <c r="W371" s="396"/>
      <c r="X371" s="396"/>
      <c r="Y371" s="396"/>
      <c r="Z371" s="396"/>
      <c r="AA371" s="396"/>
    </row>
    <row r="372" spans="1:27" x14ac:dyDescent="0.25">
      <c r="A372" s="396"/>
      <c r="B372" s="396"/>
      <c r="C372" s="396"/>
      <c r="D372" s="396"/>
      <c r="E372" s="396"/>
      <c r="F372" s="396"/>
      <c r="G372" s="396"/>
      <c r="H372" s="396"/>
      <c r="I372" s="396"/>
      <c r="J372" s="396"/>
      <c r="K372" s="396"/>
      <c r="L372" s="396"/>
      <c r="M372" s="396"/>
      <c r="N372" s="396"/>
      <c r="O372" s="396"/>
      <c r="P372" s="396"/>
      <c r="Q372" s="396"/>
      <c r="R372" s="396"/>
      <c r="S372" s="396"/>
      <c r="T372" s="396"/>
      <c r="U372" s="396"/>
      <c r="V372" s="396"/>
      <c r="W372" s="396"/>
      <c r="X372" s="396"/>
      <c r="Y372" s="396"/>
      <c r="Z372" s="396"/>
      <c r="AA372" s="396"/>
    </row>
    <row r="373" spans="1:27" x14ac:dyDescent="0.25">
      <c r="A373" s="396"/>
      <c r="B373" s="396"/>
      <c r="C373" s="396"/>
      <c r="D373" s="396"/>
      <c r="E373" s="396"/>
      <c r="F373" s="396"/>
      <c r="G373" s="396"/>
      <c r="H373" s="396"/>
      <c r="I373" s="396"/>
      <c r="J373" s="396"/>
      <c r="K373" s="396"/>
      <c r="L373" s="396"/>
      <c r="M373" s="396"/>
      <c r="N373" s="396"/>
      <c r="O373" s="396"/>
      <c r="P373" s="396"/>
      <c r="Q373" s="396"/>
      <c r="R373" s="396"/>
      <c r="S373" s="396"/>
      <c r="T373" s="396"/>
      <c r="U373" s="396"/>
      <c r="V373" s="396"/>
      <c r="W373" s="396"/>
      <c r="X373" s="396"/>
      <c r="Y373" s="396"/>
      <c r="Z373" s="396"/>
      <c r="AA373" s="396"/>
    </row>
    <row r="374" spans="1:27" x14ac:dyDescent="0.25">
      <c r="A374" s="396"/>
      <c r="B374" s="396"/>
      <c r="C374" s="396"/>
      <c r="D374" s="396"/>
      <c r="E374" s="396"/>
      <c r="F374" s="396"/>
      <c r="G374" s="396"/>
      <c r="H374" s="396"/>
      <c r="I374" s="396"/>
      <c r="J374" s="396"/>
      <c r="K374" s="396"/>
      <c r="L374" s="396"/>
      <c r="M374" s="396"/>
      <c r="N374" s="396"/>
      <c r="O374" s="396"/>
      <c r="P374" s="396"/>
      <c r="Q374" s="396"/>
      <c r="R374" s="396"/>
      <c r="S374" s="396"/>
      <c r="T374" s="396"/>
      <c r="U374" s="396"/>
      <c r="V374" s="396"/>
      <c r="W374" s="396"/>
      <c r="X374" s="396"/>
      <c r="Y374" s="396"/>
      <c r="Z374" s="396"/>
      <c r="AA374" s="396"/>
    </row>
    <row r="375" spans="1:27" x14ac:dyDescent="0.25">
      <c r="A375" s="396"/>
      <c r="B375" s="396"/>
      <c r="C375" s="396"/>
      <c r="D375" s="396"/>
      <c r="E375" s="396"/>
      <c r="F375" s="396"/>
      <c r="G375" s="396"/>
      <c r="H375" s="396"/>
      <c r="I375" s="396"/>
      <c r="J375" s="396"/>
      <c r="K375" s="396"/>
      <c r="L375" s="396"/>
      <c r="M375" s="396"/>
      <c r="N375" s="396"/>
      <c r="O375" s="396"/>
      <c r="P375" s="396"/>
      <c r="Q375" s="396"/>
      <c r="R375" s="396"/>
      <c r="S375" s="396"/>
      <c r="T375" s="396"/>
      <c r="U375" s="396"/>
      <c r="V375" s="396"/>
      <c r="W375" s="396"/>
      <c r="X375" s="396"/>
      <c r="Y375" s="396"/>
      <c r="Z375" s="396"/>
      <c r="AA375" s="396"/>
    </row>
    <row r="376" spans="1:27" x14ac:dyDescent="0.25">
      <c r="A376" s="396"/>
      <c r="B376" s="396"/>
      <c r="C376" s="396"/>
      <c r="D376" s="396"/>
      <c r="E376" s="396"/>
      <c r="F376" s="396"/>
      <c r="G376" s="396"/>
      <c r="H376" s="396"/>
      <c r="I376" s="396"/>
      <c r="J376" s="396"/>
      <c r="K376" s="396"/>
      <c r="L376" s="396"/>
      <c r="M376" s="396"/>
      <c r="N376" s="396"/>
      <c r="O376" s="396"/>
      <c r="P376" s="396"/>
      <c r="Q376" s="396"/>
      <c r="R376" s="396"/>
      <c r="S376" s="396"/>
      <c r="T376" s="396"/>
      <c r="U376" s="396"/>
      <c r="V376" s="396"/>
      <c r="W376" s="396"/>
      <c r="X376" s="396"/>
      <c r="Y376" s="396"/>
      <c r="Z376" s="396"/>
      <c r="AA376" s="396"/>
    </row>
    <row r="377" spans="1:27" x14ac:dyDescent="0.25">
      <c r="A377" s="396"/>
      <c r="B377" s="396"/>
      <c r="C377" s="396"/>
      <c r="D377" s="396"/>
      <c r="E377" s="396"/>
      <c r="F377" s="396"/>
      <c r="G377" s="396"/>
      <c r="H377" s="396"/>
      <c r="I377" s="396"/>
      <c r="J377" s="396"/>
      <c r="K377" s="396"/>
      <c r="L377" s="396"/>
      <c r="M377" s="396"/>
      <c r="N377" s="396"/>
      <c r="O377" s="396"/>
      <c r="P377" s="396"/>
      <c r="Q377" s="396"/>
      <c r="R377" s="396"/>
      <c r="S377" s="396"/>
      <c r="T377" s="396"/>
      <c r="U377" s="396"/>
      <c r="V377" s="396"/>
      <c r="W377" s="396"/>
      <c r="X377" s="396"/>
      <c r="Y377" s="396"/>
      <c r="Z377" s="396"/>
      <c r="AA377" s="396"/>
    </row>
    <row r="378" spans="1:27" x14ac:dyDescent="0.25">
      <c r="A378" s="396"/>
      <c r="B378" s="396"/>
      <c r="C378" s="396"/>
      <c r="D378" s="396"/>
      <c r="E378" s="396"/>
      <c r="F378" s="396"/>
      <c r="G378" s="396"/>
      <c r="H378" s="396"/>
      <c r="I378" s="396"/>
      <c r="J378" s="396"/>
      <c r="K378" s="396"/>
      <c r="L378" s="396"/>
      <c r="M378" s="396"/>
      <c r="N378" s="396"/>
      <c r="O378" s="396"/>
      <c r="P378" s="396"/>
      <c r="Q378" s="396"/>
      <c r="R378" s="396"/>
      <c r="S378" s="396"/>
      <c r="T378" s="396"/>
      <c r="U378" s="396"/>
      <c r="V378" s="396"/>
      <c r="W378" s="396"/>
      <c r="X378" s="396"/>
      <c r="Y378" s="396"/>
      <c r="Z378" s="396"/>
      <c r="AA378" s="396"/>
    </row>
    <row r="379" spans="1:27" x14ac:dyDescent="0.25">
      <c r="A379" s="396"/>
      <c r="B379" s="396"/>
      <c r="C379" s="396"/>
      <c r="D379" s="396"/>
      <c r="E379" s="396"/>
      <c r="F379" s="396"/>
      <c r="G379" s="396"/>
      <c r="H379" s="396"/>
      <c r="I379" s="396"/>
      <c r="J379" s="396"/>
      <c r="K379" s="396"/>
      <c r="L379" s="396"/>
      <c r="M379" s="396"/>
      <c r="N379" s="396"/>
      <c r="O379" s="396"/>
      <c r="P379" s="396"/>
      <c r="Q379" s="396"/>
      <c r="R379" s="396"/>
      <c r="S379" s="396"/>
      <c r="T379" s="396"/>
      <c r="U379" s="396"/>
      <c r="V379" s="396"/>
      <c r="W379" s="396"/>
      <c r="X379" s="396"/>
      <c r="Y379" s="396"/>
      <c r="Z379" s="396"/>
      <c r="AA379" s="396"/>
    </row>
    <row r="380" spans="1:27" x14ac:dyDescent="0.25">
      <c r="A380" s="396"/>
      <c r="B380" s="396"/>
      <c r="C380" s="396"/>
      <c r="D380" s="396"/>
      <c r="E380" s="396"/>
      <c r="F380" s="396"/>
      <c r="G380" s="396"/>
      <c r="H380" s="396"/>
      <c r="I380" s="396"/>
      <c r="J380" s="396"/>
      <c r="K380" s="396"/>
      <c r="L380" s="396"/>
      <c r="M380" s="396"/>
      <c r="N380" s="396"/>
      <c r="O380" s="396"/>
      <c r="P380" s="396"/>
      <c r="Q380" s="396"/>
      <c r="R380" s="396"/>
      <c r="S380" s="396"/>
      <c r="T380" s="396"/>
      <c r="U380" s="396"/>
      <c r="V380" s="396"/>
      <c r="W380" s="396"/>
      <c r="X380" s="396"/>
      <c r="Y380" s="396"/>
      <c r="Z380" s="396"/>
      <c r="AA380" s="396"/>
    </row>
    <row r="381" spans="1:27" x14ac:dyDescent="0.25">
      <c r="A381" s="396"/>
      <c r="B381" s="396"/>
      <c r="C381" s="396"/>
      <c r="D381" s="396"/>
      <c r="E381" s="396"/>
      <c r="F381" s="396"/>
      <c r="G381" s="396"/>
      <c r="H381" s="396"/>
      <c r="I381" s="396"/>
      <c r="J381" s="396"/>
      <c r="K381" s="396"/>
      <c r="L381" s="396"/>
      <c r="M381" s="396"/>
      <c r="N381" s="396"/>
      <c r="O381" s="396"/>
      <c r="P381" s="396"/>
      <c r="Q381" s="396"/>
      <c r="R381" s="396"/>
      <c r="S381" s="396"/>
      <c r="T381" s="396"/>
      <c r="U381" s="396"/>
      <c r="V381" s="396"/>
      <c r="W381" s="396"/>
      <c r="X381" s="396"/>
      <c r="Y381" s="396"/>
      <c r="Z381" s="396"/>
      <c r="AA381" s="396"/>
    </row>
    <row r="382" spans="1:27" x14ac:dyDescent="0.25">
      <c r="A382" s="396"/>
      <c r="B382" s="396"/>
      <c r="C382" s="396"/>
      <c r="D382" s="396"/>
      <c r="E382" s="396"/>
      <c r="F382" s="396"/>
      <c r="G382" s="396"/>
      <c r="H382" s="396"/>
      <c r="I382" s="396"/>
      <c r="J382" s="396"/>
      <c r="K382" s="396"/>
      <c r="L382" s="396"/>
      <c r="M382" s="396"/>
      <c r="N382" s="396"/>
      <c r="O382" s="396"/>
      <c r="P382" s="396"/>
      <c r="Q382" s="396"/>
      <c r="R382" s="396"/>
      <c r="S382" s="396"/>
      <c r="T382" s="396"/>
      <c r="U382" s="396"/>
      <c r="V382" s="396"/>
      <c r="W382" s="396"/>
      <c r="X382" s="396"/>
      <c r="Y382" s="396"/>
      <c r="Z382" s="396"/>
      <c r="AA382" s="396"/>
    </row>
    <row r="383" spans="1:27" x14ac:dyDescent="0.25">
      <c r="A383" s="396"/>
      <c r="B383" s="396"/>
      <c r="C383" s="396"/>
      <c r="D383" s="396"/>
      <c r="E383" s="396"/>
      <c r="F383" s="396"/>
      <c r="G383" s="396"/>
      <c r="H383" s="396"/>
      <c r="I383" s="396"/>
      <c r="J383" s="396"/>
      <c r="K383" s="396"/>
      <c r="L383" s="396"/>
      <c r="M383" s="396"/>
      <c r="N383" s="396"/>
      <c r="O383" s="396"/>
      <c r="P383" s="396"/>
      <c r="Q383" s="396"/>
      <c r="R383" s="396"/>
      <c r="S383" s="396"/>
      <c r="T383" s="396"/>
      <c r="U383" s="396"/>
      <c r="V383" s="396"/>
      <c r="W383" s="396"/>
      <c r="X383" s="396"/>
      <c r="Y383" s="396"/>
      <c r="Z383" s="396"/>
      <c r="AA383" s="396"/>
    </row>
    <row r="384" spans="1:27" x14ac:dyDescent="0.25">
      <c r="A384" s="396"/>
      <c r="B384" s="396"/>
      <c r="C384" s="396"/>
      <c r="D384" s="396"/>
      <c r="E384" s="396"/>
      <c r="F384" s="396"/>
      <c r="G384" s="396"/>
      <c r="H384" s="396"/>
      <c r="I384" s="396"/>
      <c r="J384" s="396"/>
      <c r="K384" s="396"/>
      <c r="L384" s="396"/>
      <c r="M384" s="396"/>
      <c r="N384" s="396"/>
      <c r="O384" s="396"/>
      <c r="P384" s="396"/>
      <c r="Q384" s="396"/>
      <c r="R384" s="396"/>
      <c r="S384" s="396"/>
      <c r="T384" s="396"/>
      <c r="U384" s="396"/>
      <c r="V384" s="396"/>
      <c r="W384" s="396"/>
      <c r="X384" s="396"/>
      <c r="Y384" s="396"/>
      <c r="Z384" s="396"/>
      <c r="AA384" s="396"/>
    </row>
    <row r="385" spans="1:27" x14ac:dyDescent="0.25">
      <c r="A385" s="396"/>
      <c r="B385" s="396"/>
      <c r="C385" s="396"/>
      <c r="D385" s="396"/>
      <c r="E385" s="396"/>
      <c r="F385" s="396"/>
      <c r="G385" s="396"/>
      <c r="H385" s="396"/>
      <c r="I385" s="396"/>
      <c r="J385" s="396"/>
      <c r="K385" s="396"/>
      <c r="L385" s="396"/>
      <c r="M385" s="396"/>
      <c r="N385" s="396"/>
      <c r="O385" s="396"/>
      <c r="P385" s="396"/>
      <c r="Q385" s="396"/>
      <c r="R385" s="396"/>
      <c r="S385" s="396"/>
      <c r="T385" s="396"/>
      <c r="U385" s="396"/>
      <c r="V385" s="396"/>
      <c r="W385" s="396"/>
      <c r="X385" s="396"/>
      <c r="Y385" s="396"/>
      <c r="Z385" s="396"/>
      <c r="AA385" s="396"/>
    </row>
    <row r="386" spans="1:27" x14ac:dyDescent="0.25">
      <c r="A386" s="396"/>
      <c r="B386" s="396"/>
      <c r="C386" s="396"/>
      <c r="D386" s="396"/>
      <c r="E386" s="396"/>
      <c r="F386" s="396"/>
      <c r="G386" s="396"/>
      <c r="H386" s="396"/>
      <c r="I386" s="396"/>
      <c r="J386" s="396"/>
      <c r="K386" s="396"/>
      <c r="L386" s="396"/>
      <c r="M386" s="396"/>
      <c r="N386" s="396"/>
      <c r="O386" s="396"/>
      <c r="P386" s="396"/>
      <c r="Q386" s="396"/>
      <c r="R386" s="396"/>
      <c r="S386" s="396"/>
      <c r="T386" s="396"/>
      <c r="U386" s="396"/>
      <c r="V386" s="396"/>
      <c r="W386" s="396"/>
      <c r="X386" s="396"/>
      <c r="Y386" s="396"/>
      <c r="Z386" s="396"/>
      <c r="AA386" s="396"/>
    </row>
    <row r="387" spans="1:27" x14ac:dyDescent="0.25">
      <c r="A387" s="396"/>
      <c r="B387" s="396"/>
      <c r="C387" s="396"/>
      <c r="D387" s="396"/>
      <c r="E387" s="396"/>
      <c r="F387" s="396"/>
      <c r="G387" s="396"/>
      <c r="H387" s="396"/>
      <c r="I387" s="396"/>
      <c r="J387" s="396"/>
      <c r="K387" s="396"/>
      <c r="L387" s="396"/>
      <c r="M387" s="396"/>
      <c r="N387" s="396"/>
      <c r="O387" s="396"/>
      <c r="P387" s="396"/>
      <c r="Q387" s="396"/>
      <c r="R387" s="396"/>
      <c r="S387" s="396"/>
      <c r="T387" s="396"/>
      <c r="U387" s="396"/>
      <c r="V387" s="396"/>
      <c r="W387" s="396"/>
      <c r="X387" s="396"/>
      <c r="Y387" s="396"/>
      <c r="Z387" s="396"/>
      <c r="AA387" s="396"/>
    </row>
    <row r="388" spans="1:27" x14ac:dyDescent="0.25">
      <c r="A388" s="396"/>
      <c r="B388" s="396"/>
      <c r="C388" s="396"/>
      <c r="D388" s="396"/>
      <c r="E388" s="396"/>
      <c r="F388" s="396"/>
      <c r="G388" s="396"/>
      <c r="H388" s="396"/>
      <c r="I388" s="396"/>
      <c r="J388" s="396"/>
      <c r="K388" s="396"/>
      <c r="L388" s="396"/>
      <c r="M388" s="396"/>
      <c r="N388" s="396"/>
      <c r="O388" s="396"/>
      <c r="P388" s="396"/>
      <c r="Q388" s="396"/>
      <c r="R388" s="396"/>
      <c r="S388" s="396"/>
      <c r="T388" s="396"/>
      <c r="U388" s="396"/>
      <c r="V388" s="396"/>
      <c r="W388" s="396"/>
      <c r="X388" s="396"/>
      <c r="Y388" s="396"/>
      <c r="Z388" s="396"/>
      <c r="AA388" s="396"/>
    </row>
    <row r="389" spans="1:27" x14ac:dyDescent="0.25">
      <c r="A389" s="396"/>
      <c r="B389" s="396"/>
      <c r="C389" s="396"/>
      <c r="D389" s="396"/>
      <c r="E389" s="396"/>
      <c r="F389" s="396"/>
      <c r="G389" s="396"/>
      <c r="H389" s="396"/>
      <c r="I389" s="396"/>
      <c r="J389" s="396"/>
      <c r="K389" s="396"/>
      <c r="L389" s="396"/>
      <c r="M389" s="396"/>
      <c r="N389" s="396"/>
      <c r="O389" s="396"/>
      <c r="P389" s="396"/>
      <c r="Q389" s="396"/>
      <c r="R389" s="396"/>
      <c r="S389" s="396"/>
      <c r="T389" s="396"/>
      <c r="U389" s="396"/>
      <c r="V389" s="396"/>
      <c r="W389" s="396"/>
      <c r="X389" s="396"/>
      <c r="Y389" s="396"/>
      <c r="Z389" s="396"/>
      <c r="AA389" s="396"/>
    </row>
    <row r="390" spans="1:27" x14ac:dyDescent="0.25">
      <c r="A390" s="396"/>
      <c r="B390" s="396"/>
      <c r="C390" s="396"/>
      <c r="D390" s="396"/>
      <c r="E390" s="396"/>
      <c r="F390" s="396"/>
      <c r="G390" s="396"/>
      <c r="H390" s="396"/>
      <c r="I390" s="396"/>
      <c r="J390" s="396"/>
      <c r="K390" s="396"/>
      <c r="L390" s="396"/>
      <c r="M390" s="396"/>
      <c r="N390" s="396"/>
      <c r="O390" s="396"/>
      <c r="P390" s="396"/>
      <c r="Q390" s="396"/>
      <c r="R390" s="396"/>
      <c r="S390" s="396"/>
      <c r="T390" s="396"/>
      <c r="U390" s="396"/>
      <c r="V390" s="396"/>
      <c r="W390" s="396"/>
      <c r="X390" s="396"/>
      <c r="Y390" s="396"/>
      <c r="Z390" s="396"/>
      <c r="AA390" s="396"/>
    </row>
    <row r="391" spans="1:27" x14ac:dyDescent="0.25">
      <c r="A391" s="396"/>
      <c r="B391" s="396"/>
      <c r="C391" s="396"/>
      <c r="D391" s="396"/>
      <c r="E391" s="396"/>
      <c r="F391" s="396"/>
      <c r="G391" s="396"/>
      <c r="H391" s="396"/>
      <c r="I391" s="396"/>
      <c r="J391" s="396"/>
      <c r="K391" s="396"/>
      <c r="L391" s="396"/>
      <c r="M391" s="396"/>
      <c r="N391" s="396"/>
      <c r="O391" s="396"/>
      <c r="P391" s="396"/>
      <c r="Q391" s="396"/>
      <c r="R391" s="396"/>
      <c r="S391" s="396"/>
      <c r="T391" s="396"/>
      <c r="U391" s="396"/>
      <c r="V391" s="396"/>
      <c r="W391" s="396"/>
      <c r="X391" s="396"/>
      <c r="Y391" s="396"/>
      <c r="Z391" s="396"/>
      <c r="AA391" s="396"/>
    </row>
    <row r="392" spans="1:27" x14ac:dyDescent="0.25">
      <c r="A392" s="396"/>
      <c r="B392" s="396"/>
      <c r="C392" s="396"/>
      <c r="D392" s="396"/>
      <c r="E392" s="396"/>
      <c r="F392" s="396"/>
      <c r="G392" s="396"/>
      <c r="H392" s="396"/>
      <c r="I392" s="396"/>
      <c r="J392" s="396"/>
      <c r="K392" s="396"/>
      <c r="L392" s="396"/>
      <c r="M392" s="396"/>
      <c r="N392" s="396"/>
      <c r="O392" s="396"/>
      <c r="P392" s="396"/>
      <c r="Q392" s="396"/>
      <c r="R392" s="396"/>
      <c r="S392" s="396"/>
      <c r="T392" s="396"/>
      <c r="U392" s="396"/>
      <c r="V392" s="396"/>
      <c r="W392" s="396"/>
      <c r="X392" s="396"/>
      <c r="Y392" s="396"/>
      <c r="Z392" s="396"/>
      <c r="AA392" s="396"/>
    </row>
    <row r="393" spans="1:27" x14ac:dyDescent="0.25">
      <c r="A393" s="396"/>
      <c r="B393" s="396"/>
      <c r="C393" s="396"/>
      <c r="D393" s="396"/>
      <c r="E393" s="396"/>
      <c r="F393" s="396"/>
      <c r="G393" s="396"/>
      <c r="H393" s="396"/>
      <c r="I393" s="396"/>
      <c r="J393" s="396"/>
      <c r="K393" s="396"/>
      <c r="L393" s="396"/>
      <c r="M393" s="396"/>
      <c r="N393" s="396"/>
      <c r="O393" s="396"/>
      <c r="P393" s="396"/>
      <c r="Q393" s="396"/>
      <c r="R393" s="396"/>
      <c r="S393" s="396"/>
      <c r="T393" s="396"/>
      <c r="U393" s="396"/>
      <c r="V393" s="396"/>
      <c r="W393" s="396"/>
      <c r="X393" s="396"/>
      <c r="Y393" s="396"/>
      <c r="Z393" s="396"/>
      <c r="AA393" s="396"/>
    </row>
    <row r="394" spans="1:27" x14ac:dyDescent="0.25">
      <c r="A394" s="396"/>
      <c r="B394" s="396"/>
      <c r="C394" s="396"/>
      <c r="D394" s="396"/>
      <c r="E394" s="396"/>
      <c r="F394" s="396"/>
      <c r="G394" s="396"/>
      <c r="H394" s="396"/>
      <c r="I394" s="396"/>
      <c r="J394" s="396"/>
      <c r="K394" s="396"/>
      <c r="L394" s="396"/>
      <c r="M394" s="396"/>
      <c r="N394" s="396"/>
      <c r="O394" s="396"/>
      <c r="P394" s="396"/>
      <c r="Q394" s="396"/>
      <c r="R394" s="396"/>
      <c r="S394" s="396"/>
      <c r="T394" s="396"/>
      <c r="U394" s="396"/>
      <c r="V394" s="396"/>
      <c r="W394" s="396"/>
      <c r="X394" s="396"/>
      <c r="Y394" s="396"/>
      <c r="Z394" s="396"/>
      <c r="AA394" s="396"/>
    </row>
    <row r="395" spans="1:27" x14ac:dyDescent="0.25">
      <c r="A395" s="396"/>
      <c r="B395" s="396"/>
      <c r="C395" s="396"/>
      <c r="D395" s="396"/>
      <c r="E395" s="396"/>
      <c r="F395" s="396"/>
      <c r="G395" s="396"/>
      <c r="H395" s="396"/>
      <c r="I395" s="396"/>
      <c r="J395" s="396"/>
      <c r="K395" s="396"/>
      <c r="L395" s="396"/>
      <c r="M395" s="396"/>
      <c r="N395" s="396"/>
      <c r="O395" s="396"/>
      <c r="P395" s="396"/>
      <c r="Q395" s="396"/>
      <c r="R395" s="396"/>
      <c r="S395" s="396"/>
      <c r="T395" s="396"/>
      <c r="U395" s="396"/>
      <c r="V395" s="396"/>
      <c r="W395" s="396"/>
      <c r="X395" s="396"/>
      <c r="Y395" s="396"/>
      <c r="Z395" s="396"/>
      <c r="AA395" s="396"/>
    </row>
    <row r="396" spans="1:27" x14ac:dyDescent="0.25">
      <c r="A396" s="396"/>
      <c r="B396" s="396"/>
      <c r="C396" s="396"/>
      <c r="D396" s="396"/>
      <c r="E396" s="396"/>
      <c r="F396" s="396"/>
      <c r="G396" s="396"/>
      <c r="H396" s="396"/>
      <c r="I396" s="396"/>
      <c r="J396" s="396"/>
      <c r="K396" s="396"/>
      <c r="L396" s="396"/>
      <c r="M396" s="396"/>
      <c r="N396" s="396"/>
      <c r="O396" s="396"/>
      <c r="P396" s="396"/>
      <c r="Q396" s="396"/>
      <c r="R396" s="396"/>
      <c r="S396" s="396"/>
      <c r="T396" s="396"/>
      <c r="U396" s="396"/>
      <c r="V396" s="396"/>
      <c r="W396" s="396"/>
      <c r="X396" s="396"/>
      <c r="Y396" s="396"/>
      <c r="Z396" s="396"/>
      <c r="AA396" s="396"/>
    </row>
    <row r="397" spans="1:27" x14ac:dyDescent="0.25">
      <c r="A397" s="396"/>
      <c r="B397" s="396"/>
      <c r="C397" s="396"/>
      <c r="D397" s="396"/>
      <c r="E397" s="396"/>
      <c r="F397" s="396"/>
      <c r="G397" s="396"/>
      <c r="H397" s="396"/>
      <c r="I397" s="396"/>
      <c r="J397" s="396"/>
      <c r="K397" s="396"/>
      <c r="L397" s="396"/>
      <c r="M397" s="396"/>
      <c r="N397" s="396"/>
      <c r="O397" s="396"/>
      <c r="P397" s="396"/>
      <c r="Q397" s="396"/>
      <c r="R397" s="396"/>
      <c r="S397" s="396"/>
      <c r="T397" s="396"/>
      <c r="U397" s="396"/>
      <c r="V397" s="396"/>
      <c r="W397" s="396"/>
      <c r="X397" s="396"/>
      <c r="Y397" s="396"/>
      <c r="Z397" s="396"/>
      <c r="AA397" s="396"/>
    </row>
    <row r="398" spans="1:27" x14ac:dyDescent="0.25">
      <c r="A398" s="396"/>
      <c r="B398" s="396"/>
      <c r="C398" s="396"/>
      <c r="D398" s="396"/>
      <c r="E398" s="396"/>
      <c r="F398" s="396"/>
      <c r="G398" s="396"/>
      <c r="H398" s="396"/>
      <c r="I398" s="396"/>
      <c r="J398" s="396"/>
      <c r="K398" s="396"/>
      <c r="L398" s="396"/>
      <c r="M398" s="396"/>
      <c r="N398" s="396"/>
      <c r="O398" s="396"/>
      <c r="P398" s="396"/>
      <c r="Q398" s="396"/>
      <c r="R398" s="396"/>
      <c r="S398" s="396"/>
      <c r="T398" s="396"/>
      <c r="U398" s="396"/>
      <c r="V398" s="396"/>
      <c r="W398" s="396"/>
      <c r="X398" s="396"/>
      <c r="Y398" s="396"/>
      <c r="Z398" s="396"/>
      <c r="AA398" s="396"/>
    </row>
    <row r="399" spans="1:27" x14ac:dyDescent="0.25">
      <c r="A399" s="396"/>
      <c r="B399" s="396"/>
      <c r="C399" s="396"/>
      <c r="D399" s="396"/>
      <c r="E399" s="396"/>
      <c r="F399" s="396"/>
      <c r="G399" s="396"/>
      <c r="H399" s="396"/>
      <c r="I399" s="396"/>
      <c r="J399" s="396"/>
      <c r="K399" s="396"/>
      <c r="L399" s="396"/>
      <c r="M399" s="396"/>
      <c r="N399" s="396"/>
      <c r="O399" s="396"/>
      <c r="P399" s="396"/>
      <c r="Q399" s="396"/>
      <c r="R399" s="396"/>
      <c r="S399" s="396"/>
      <c r="T399" s="396"/>
      <c r="U399" s="396"/>
      <c r="V399" s="396"/>
      <c r="W399" s="396"/>
      <c r="X399" s="396"/>
      <c r="Y399" s="396"/>
      <c r="Z399" s="396"/>
      <c r="AA399" s="396"/>
    </row>
    <row r="400" spans="1:27" x14ac:dyDescent="0.25">
      <c r="A400" s="396"/>
      <c r="B400" s="396"/>
      <c r="C400" s="396"/>
      <c r="D400" s="396"/>
      <c r="E400" s="396"/>
      <c r="F400" s="396"/>
      <c r="G400" s="396"/>
      <c r="H400" s="396"/>
      <c r="I400" s="396"/>
      <c r="J400" s="396"/>
      <c r="K400" s="396"/>
      <c r="L400" s="396"/>
      <c r="M400" s="396"/>
      <c r="N400" s="396"/>
      <c r="O400" s="396"/>
      <c r="P400" s="396"/>
      <c r="Q400" s="396"/>
      <c r="R400" s="396"/>
      <c r="S400" s="396"/>
      <c r="T400" s="396"/>
      <c r="U400" s="396"/>
      <c r="V400" s="396"/>
      <c r="W400" s="396"/>
      <c r="X400" s="396"/>
      <c r="Y400" s="396"/>
      <c r="Z400" s="396"/>
      <c r="AA400" s="396"/>
    </row>
    <row r="401" spans="1:27" x14ac:dyDescent="0.25">
      <c r="A401" s="396"/>
      <c r="B401" s="396"/>
      <c r="C401" s="396"/>
      <c r="D401" s="396"/>
      <c r="E401" s="396"/>
      <c r="F401" s="396"/>
      <c r="G401" s="396"/>
      <c r="H401" s="396"/>
      <c r="I401" s="396"/>
      <c r="J401" s="396"/>
      <c r="K401" s="396"/>
      <c r="L401" s="396"/>
      <c r="M401" s="396"/>
      <c r="N401" s="396"/>
      <c r="O401" s="396"/>
      <c r="P401" s="396"/>
      <c r="Q401" s="396"/>
      <c r="R401" s="396"/>
      <c r="S401" s="396"/>
      <c r="T401" s="396"/>
      <c r="U401" s="396"/>
      <c r="V401" s="396"/>
      <c r="W401" s="396"/>
      <c r="X401" s="396"/>
      <c r="Y401" s="396"/>
      <c r="Z401" s="396"/>
      <c r="AA401" s="396"/>
    </row>
    <row r="402" spans="1:27" x14ac:dyDescent="0.25">
      <c r="A402" s="396"/>
      <c r="B402" s="396"/>
      <c r="C402" s="396"/>
      <c r="D402" s="396"/>
      <c r="E402" s="396"/>
      <c r="F402" s="396"/>
      <c r="G402" s="396"/>
      <c r="H402" s="396"/>
      <c r="I402" s="396"/>
      <c r="J402" s="396"/>
      <c r="K402" s="396"/>
      <c r="L402" s="396"/>
      <c r="M402" s="396"/>
      <c r="N402" s="396"/>
      <c r="O402" s="396"/>
      <c r="P402" s="396"/>
      <c r="Q402" s="396"/>
      <c r="R402" s="396"/>
      <c r="S402" s="396"/>
      <c r="T402" s="396"/>
      <c r="U402" s="396"/>
      <c r="V402" s="396"/>
      <c r="W402" s="396"/>
      <c r="X402" s="396"/>
      <c r="Y402" s="396"/>
      <c r="Z402" s="396"/>
      <c r="AA402" s="396"/>
    </row>
    <row r="403" spans="1:27" x14ac:dyDescent="0.25">
      <c r="A403" s="396"/>
      <c r="B403" s="396"/>
      <c r="C403" s="396"/>
      <c r="D403" s="396"/>
      <c r="E403" s="396"/>
      <c r="F403" s="396"/>
      <c r="G403" s="396"/>
      <c r="H403" s="396"/>
      <c r="I403" s="396"/>
      <c r="J403" s="396"/>
      <c r="K403" s="396"/>
      <c r="L403" s="396"/>
      <c r="M403" s="396"/>
      <c r="N403" s="396"/>
      <c r="O403" s="396"/>
      <c r="P403" s="396"/>
      <c r="Q403" s="396"/>
      <c r="R403" s="396"/>
      <c r="S403" s="396"/>
      <c r="T403" s="396"/>
      <c r="U403" s="396"/>
      <c r="V403" s="396"/>
      <c r="W403" s="396"/>
      <c r="X403" s="396"/>
      <c r="Y403" s="396"/>
      <c r="Z403" s="396"/>
      <c r="AA403" s="396"/>
    </row>
  </sheetData>
  <protectedRanges>
    <protectedRange sqref="B9" name="Range1"/>
  </protectedRanges>
  <dataConsolidate/>
  <mergeCells count="3">
    <mergeCell ref="S75:S76"/>
    <mergeCell ref="T75:U75"/>
    <mergeCell ref="I88:J88"/>
  </mergeCells>
  <conditionalFormatting sqref="D60:D70 D12:D17 D38:D44 D20:D22">
    <cfRule type="iconSet" priority="3">
      <iconSet iconSet="3Arrows" showValue="0">
        <cfvo type="percent" val="0"/>
        <cfvo type="num" val="0"/>
        <cfvo type="num" val="0" gte="0"/>
      </iconSet>
    </cfRule>
  </conditionalFormatting>
  <conditionalFormatting sqref="E19">
    <cfRule type="iconSet" priority="1">
      <iconSet iconSet="3Arrows" showValue="0">
        <cfvo type="percent" val="0"/>
        <cfvo type="percent" val="33"/>
        <cfvo type="percent" val="67"/>
      </iconSet>
    </cfRule>
  </conditionalFormatting>
  <dataValidations count="3">
    <dataValidation allowBlank="1" showErrorMessage="1" promptTitle="Qt" prompt="Quantity_x000a_" sqref="C38:C41 C12:C17 B16:B17 C20:C22 B20"/>
    <dataValidation allowBlank="1" showErrorMessage="1" promptTitle="QtPt" prompt="Total cost=quantity multiplied by unit cost" sqref="G50:G65 H66:H70 D60:E70 F50:F70 D38:D44 E38:E45 F38:F48 D12:E17 D20:F22"/>
    <dataValidation type="list" allowBlank="1" showInputMessage="1" showErrorMessage="1" sqref="B9">
      <formula1>trusts</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37584" r:id="rId4" name="Check Box 16">
              <controlPr defaultSize="0" autoFill="0" autoLine="0" autoPict="0">
                <anchor moveWithCells="1">
                  <from>
                    <xdr:col>1</xdr:col>
                    <xdr:colOff>190500</xdr:colOff>
                    <xdr:row>20</xdr:row>
                    <xdr:rowOff>257175</xdr:rowOff>
                  </from>
                  <to>
                    <xdr:col>2</xdr:col>
                    <xdr:colOff>733425</xdr:colOff>
                    <xdr:row>20</xdr:row>
                    <xdr:rowOff>476250</xdr:rowOff>
                  </to>
                </anchor>
              </controlPr>
            </control>
          </mc:Choice>
        </mc:AlternateContent>
      </controls>
    </mc:Choice>
  </mc:AlternateContent>
  <extLst>
    <ext xmlns:x14="http://schemas.microsoft.com/office/spreadsheetml/2009/9/main" uri="{05C60535-1F16-4fd2-B633-F4F36F0B64E0}">
      <x14:sparklineGroups xmlns:xm="http://schemas.microsoft.com/office/excel/2006/main">
        <x14:sparklineGroup displayEmptyCellsAs="gap" markers="1" high="1">
          <x14:colorSeries theme="8"/>
          <x14:colorNegative theme="9"/>
          <x14:colorAxis rgb="FF000000"/>
          <x14:colorMarkers theme="8" tint="-0.249977111117893"/>
          <x14:colorFirst theme="8" tint="-0.249977111117893"/>
          <x14:colorLast theme="8" tint="-0.249977111117893"/>
          <x14:colorHigh rgb="FFFF0000"/>
          <x14:colorLow theme="8" tint="-0.249977111117893"/>
          <x14:sparklines>
            <x14:sparkline>
              <xm:f>Input_growth!H46:H58</xm:f>
              <xm:sqref>G19</xm:sqref>
            </x14:sparkline>
          </x14:sparklines>
        </x14:sparklineGroup>
        <x14:sparklineGroup displayEmptyCellsAs="gap" markers="1" high="1">
          <x14:colorSeries theme="8"/>
          <x14:colorNegative theme="9"/>
          <x14:colorAxis rgb="FF000000"/>
          <x14:colorMarkers theme="8" tint="-0.249977111117893"/>
          <x14:colorFirst theme="8" tint="-0.249977111117893"/>
          <x14:colorLast theme="8" tint="-0.249977111117893"/>
          <x14:colorHigh theme="5"/>
          <x14:colorLow theme="8" tint="-0.249977111117893"/>
          <x14:sparklines>
            <x14:sparkline>
              <xm:f>Input_growth!E84:E91</xm:f>
              <xm:sqref>G12</xm:sqref>
            </x14:sparkline>
          </x14:sparklines>
        </x14:sparklineGroup>
        <x14:sparklineGroup displayEmptyCellsAs="gap" markers="1" high="1">
          <x14:colorSeries theme="8"/>
          <x14:colorNegative theme="9"/>
          <x14:colorAxis rgb="FF000000"/>
          <x14:colorMarkers theme="8" tint="-0.249977111117893"/>
          <x14:colorFirst theme="8" tint="-0.249977111117893"/>
          <x14:colorLast theme="8" tint="-0.249977111117893"/>
          <x14:colorHigh theme="5"/>
          <x14:colorLow theme="8" tint="-0.249977111117893"/>
          <x14:sparklines>
            <x14:sparkline>
              <xm:f>Input_growth!F84:F91</xm:f>
              <xm:sqref>G13</xm:sqref>
            </x14:sparkline>
          </x14:sparklines>
        </x14:sparklineGroup>
        <x14:sparklineGroup displayEmptyCellsAs="gap" markers="1" high="1">
          <x14:colorSeries theme="8"/>
          <x14:colorNegative theme="9"/>
          <x14:colorAxis rgb="FF000000"/>
          <x14:colorMarkers theme="8" tint="-0.249977111117893"/>
          <x14:colorFirst theme="8" tint="-0.249977111117893"/>
          <x14:colorLast theme="8" tint="-0.249977111117893"/>
          <x14:colorHigh theme="5"/>
          <x14:colorLow theme="8" tint="-0.249977111117893"/>
          <x14:sparklines>
            <x14:sparkline>
              <xm:f>Input_growth!G78:G91</xm:f>
              <xm:sqref>G14</xm:sqref>
            </x14:sparkline>
          </x14:sparklines>
        </x14:sparklineGroup>
        <x14:sparklineGroup displayEmptyCellsAs="gap" markers="1" high="1">
          <x14:colorSeries theme="8"/>
          <x14:colorNegative theme="9"/>
          <x14:colorAxis rgb="FF000000"/>
          <x14:colorMarkers theme="8" tint="-0.249977111117893"/>
          <x14:colorFirst theme="8" tint="-0.249977111117893"/>
          <x14:colorLast theme="8" tint="-0.249977111117893"/>
          <x14:colorHigh theme="5"/>
          <x14:colorLow theme="8" tint="-0.249977111117893"/>
          <x14:sparklines>
            <x14:sparkline>
              <xm:f>Input_growth!H78:H91</xm:f>
              <xm:sqref>G15</xm:sqref>
            </x14:sparkline>
          </x14:sparklines>
        </x14:sparklineGroup>
      </x14:sparklineGroups>
    </ext>
  </extLs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1"/>
  <dimension ref="A1:R149"/>
  <sheetViews>
    <sheetView showGridLines="0" showRowColHeaders="0" topLeftCell="A13" zoomScaleNormal="100" workbookViewId="0">
      <selection sqref="A1:B1"/>
    </sheetView>
  </sheetViews>
  <sheetFormatPr defaultRowHeight="15" x14ac:dyDescent="0.25"/>
  <cols>
    <col min="1" max="1" width="9.140625" style="856"/>
    <col min="2" max="2" width="35" style="856" customWidth="1"/>
    <col min="3" max="3" width="14.42578125" style="856" customWidth="1"/>
    <col min="4" max="5" width="12.7109375" style="856" customWidth="1"/>
    <col min="6" max="6" width="12.28515625" style="856" customWidth="1"/>
    <col min="7" max="7" width="23.7109375" style="856" customWidth="1"/>
    <col min="8" max="8" width="20.7109375" style="856" customWidth="1"/>
    <col min="9" max="9" width="39.42578125" style="856" customWidth="1"/>
    <col min="10" max="10" width="28.28515625" style="856" customWidth="1"/>
    <col min="11" max="11" width="32.7109375" style="856" customWidth="1"/>
    <col min="12" max="12" width="16.28515625" style="856" customWidth="1"/>
    <col min="13" max="13" width="26.28515625" style="856" bestFit="1" customWidth="1"/>
    <col min="14" max="14" width="16.28515625" style="856" bestFit="1" customWidth="1"/>
    <col min="15" max="15" width="22.5703125" style="856" bestFit="1" customWidth="1"/>
    <col min="16" max="16" width="21.28515625" style="856" bestFit="1" customWidth="1"/>
    <col min="17" max="17" width="22.28515625" style="856" bestFit="1" customWidth="1"/>
    <col min="18" max="16384" width="9.140625" style="856"/>
  </cols>
  <sheetData>
    <row r="1" spans="1:9" x14ac:dyDescent="0.25">
      <c r="A1" s="2001"/>
      <c r="B1" s="2001"/>
    </row>
    <row r="2" spans="1:9" x14ac:dyDescent="0.25">
      <c r="E2" s="857"/>
      <c r="F2" s="857"/>
      <c r="G2" s="857"/>
    </row>
    <row r="3" spans="1:9" x14ac:dyDescent="0.25">
      <c r="E3" s="857"/>
      <c r="F3" s="857"/>
      <c r="G3" s="857"/>
    </row>
    <row r="4" spans="1:9" ht="31.5" x14ac:dyDescent="0.5">
      <c r="B4" s="1224" t="s">
        <v>155</v>
      </c>
      <c r="C4" s="857"/>
    </row>
    <row r="5" spans="1:9" x14ac:dyDescent="0.25">
      <c r="B5" s="279"/>
      <c r="C5" s="279"/>
      <c r="D5" s="276"/>
      <c r="E5" s="276"/>
      <c r="F5" s="276"/>
      <c r="G5" s="276"/>
      <c r="H5" s="276"/>
    </row>
    <row r="6" spans="1:9" x14ac:dyDescent="0.25">
      <c r="B6" s="279"/>
      <c r="C6" s="276"/>
      <c r="D6" s="276"/>
      <c r="E6" s="276"/>
      <c r="F6" s="276"/>
      <c r="G6" s="276"/>
    </row>
    <row r="7" spans="1:9" x14ac:dyDescent="0.25">
      <c r="B7" s="279"/>
      <c r="C7" s="276"/>
      <c r="D7" s="276"/>
      <c r="E7" s="276"/>
      <c r="F7" s="276"/>
      <c r="G7" s="276"/>
    </row>
    <row r="8" spans="1:9" x14ac:dyDescent="0.25">
      <c r="B8" s="279"/>
      <c r="C8" s="276"/>
      <c r="D8" s="276"/>
      <c r="E8" s="276"/>
      <c r="F8" s="276"/>
      <c r="G8" s="276"/>
    </row>
    <row r="9" spans="1:9" x14ac:dyDescent="0.25">
      <c r="B9" s="279"/>
      <c r="C9" s="276"/>
      <c r="D9" s="276"/>
      <c r="E9" s="276"/>
      <c r="F9" s="276"/>
      <c r="G9" s="276"/>
    </row>
    <row r="10" spans="1:9" x14ac:dyDescent="0.25">
      <c r="B10" s="276"/>
      <c r="C10" s="276"/>
      <c r="D10" s="276"/>
      <c r="E10" s="276"/>
      <c r="F10" s="276"/>
      <c r="G10" s="276"/>
    </row>
    <row r="11" spans="1:9" x14ac:dyDescent="0.25">
      <c r="B11" s="276"/>
      <c r="C11" s="276"/>
      <c r="D11" s="276"/>
      <c r="E11" s="276"/>
      <c r="F11" s="276"/>
      <c r="G11" s="276"/>
      <c r="H11" s="276"/>
    </row>
    <row r="12" spans="1:9" ht="25.5" x14ac:dyDescent="0.25">
      <c r="C12" s="1430" t="s">
        <v>505</v>
      </c>
      <c r="D12" s="1430" t="s">
        <v>507</v>
      </c>
      <c r="E12" s="1430" t="s">
        <v>506</v>
      </c>
      <c r="F12" s="708" t="s">
        <v>635</v>
      </c>
      <c r="G12" s="1430" t="s">
        <v>503</v>
      </c>
      <c r="H12" s="708" t="s">
        <v>536</v>
      </c>
      <c r="I12" s="276"/>
    </row>
    <row r="13" spans="1:9" ht="20.100000000000001" customHeight="1" x14ac:dyDescent="0.25">
      <c r="B13" s="856" t="s">
        <v>159</v>
      </c>
      <c r="C13" s="632">
        <f>C75</f>
        <v>3.15E-2</v>
      </c>
      <c r="D13" s="632">
        <f>MAX(C63:C75)</f>
        <v>7.1099999999999997E-2</v>
      </c>
      <c r="E13" s="632">
        <f>MIN(C63:C75)</f>
        <v>2.2200000000000001E-2</v>
      </c>
      <c r="F13" s="516">
        <f>C63</f>
        <v>2.2200000000000001E-2</v>
      </c>
      <c r="G13" s="276"/>
      <c r="H13" s="1289">
        <f>C75</f>
        <v>3.15E-2</v>
      </c>
      <c r="I13" s="276"/>
    </row>
    <row r="14" spans="1:9" ht="20.100000000000001" customHeight="1" x14ac:dyDescent="0.25">
      <c r="B14" s="856" t="s">
        <v>453</v>
      </c>
      <c r="C14" s="1290">
        <f>D75</f>
        <v>1.7986798138101179</v>
      </c>
      <c r="D14" s="1290">
        <f>MAX(D62:D75)</f>
        <v>1.7986798138101179</v>
      </c>
      <c r="E14" s="1290">
        <f>MIN(D62:D75)</f>
        <v>1</v>
      </c>
      <c r="F14" s="516"/>
      <c r="G14" s="701"/>
      <c r="H14" s="700"/>
      <c r="I14" s="276"/>
    </row>
    <row r="15" spans="1:9" ht="20.100000000000001" customHeight="1" x14ac:dyDescent="0.25">
      <c r="C15" s="1267"/>
      <c r="D15" s="1267"/>
      <c r="E15" s="1267"/>
      <c r="F15" s="701"/>
      <c r="G15" s="701"/>
      <c r="H15" s="700"/>
      <c r="I15" s="276"/>
    </row>
    <row r="16" spans="1:9" ht="20.100000000000001" customHeight="1" x14ac:dyDescent="0.25">
      <c r="B16" s="856" t="s">
        <v>161</v>
      </c>
      <c r="C16" s="632">
        <f>E75</f>
        <v>0.01</v>
      </c>
      <c r="D16" s="632">
        <f>MAX(E63:E75)</f>
        <v>7.6300000000000007E-2</v>
      </c>
      <c r="E16" s="632">
        <f>MIN(E63:E75)</f>
        <v>0.01</v>
      </c>
      <c r="F16" s="516">
        <f>E63</f>
        <v>5.0599999999999999E-2</v>
      </c>
      <c r="G16" s="701"/>
      <c r="H16" s="1289">
        <f>E75</f>
        <v>0.01</v>
      </c>
      <c r="I16" s="276"/>
    </row>
    <row r="17" spans="2:9" ht="20.100000000000001" customHeight="1" x14ac:dyDescent="0.25">
      <c r="B17" s="856" t="s">
        <v>162</v>
      </c>
      <c r="C17" s="1290">
        <f>F75</f>
        <v>1.7729842710584454</v>
      </c>
      <c r="D17" s="1290">
        <f>MAX(F62:F75)</f>
        <v>1.7729842710584454</v>
      </c>
      <c r="E17" s="1267">
        <f>MIN(F62:F75)</f>
        <v>1</v>
      </c>
      <c r="F17" s="701"/>
      <c r="G17" s="701"/>
      <c r="H17" s="700"/>
      <c r="I17" s="276"/>
    </row>
    <row r="18" spans="2:9" ht="20.100000000000001" customHeight="1" x14ac:dyDescent="0.25">
      <c r="C18" s="1267"/>
      <c r="D18" s="1267"/>
      <c r="E18" s="1267"/>
      <c r="F18" s="701"/>
      <c r="G18" s="701"/>
      <c r="H18" s="700"/>
      <c r="I18" s="276"/>
    </row>
    <row r="19" spans="2:9" ht="20.100000000000001" customHeight="1" x14ac:dyDescent="0.25">
      <c r="B19" s="856" t="s">
        <v>163</v>
      </c>
      <c r="C19" s="632">
        <f>G75</f>
        <v>2.1299999999999999E-2</v>
      </c>
      <c r="D19" s="632">
        <f>MAX(G63:G75)</f>
        <v>4.4999999999999998E-2</v>
      </c>
      <c r="E19" s="632">
        <f>MIN(G63:G75)</f>
        <v>-2.7099999999999999E-2</v>
      </c>
      <c r="F19" s="516">
        <f>G63</f>
        <v>-2.7099999999999999E-2</v>
      </c>
      <c r="G19" s="516"/>
      <c r="H19" s="1289">
        <f>G75</f>
        <v>2.1299999999999999E-2</v>
      </c>
      <c r="I19" s="276"/>
    </row>
    <row r="20" spans="2:9" ht="20.100000000000001" customHeight="1" x14ac:dyDescent="0.25">
      <c r="B20" s="856" t="s">
        <v>164</v>
      </c>
      <c r="C20" s="1290">
        <f>H75</f>
        <v>1.0110166877610547</v>
      </c>
      <c r="D20" s="1290">
        <f>MAX(H62:H75)</f>
        <v>1.0110166877610547</v>
      </c>
      <c r="E20" s="1290">
        <f>MIN(H62:H75)</f>
        <v>0.91819210925405226</v>
      </c>
      <c r="F20" s="279"/>
      <c r="G20" s="276"/>
      <c r="H20" s="707"/>
      <c r="I20" s="276"/>
    </row>
    <row r="21" spans="2:9" x14ac:dyDescent="0.25">
      <c r="C21" s="276"/>
      <c r="D21" s="276"/>
      <c r="E21" s="276"/>
      <c r="F21" s="279"/>
      <c r="G21" s="276"/>
      <c r="H21" s="276"/>
      <c r="I21" s="276"/>
    </row>
    <row r="22" spans="2:9" x14ac:dyDescent="0.25">
      <c r="C22" s="276"/>
      <c r="D22" s="276"/>
      <c r="E22" s="276"/>
      <c r="F22" s="279"/>
      <c r="G22" s="276"/>
      <c r="H22" s="276"/>
      <c r="I22" s="276"/>
    </row>
    <row r="23" spans="2:9" x14ac:dyDescent="0.25">
      <c r="C23" s="276"/>
      <c r="D23" s="276"/>
      <c r="E23" s="276"/>
      <c r="F23" s="279"/>
      <c r="G23" s="276"/>
      <c r="H23" s="276"/>
      <c r="I23" s="276"/>
    </row>
    <row r="24" spans="2:9" x14ac:dyDescent="0.25">
      <c r="C24" s="276"/>
      <c r="D24" s="276"/>
      <c r="E24" s="276"/>
      <c r="F24" s="279"/>
      <c r="G24" s="276"/>
      <c r="H24" s="276"/>
      <c r="I24" s="276"/>
    </row>
    <row r="25" spans="2:9" x14ac:dyDescent="0.25">
      <c r="C25" s="276"/>
      <c r="D25" s="276"/>
      <c r="E25" s="276"/>
      <c r="F25" s="279"/>
      <c r="G25" s="276"/>
      <c r="H25" s="276"/>
      <c r="I25" s="276"/>
    </row>
    <row r="26" spans="2:9" x14ac:dyDescent="0.25">
      <c r="C26" s="276"/>
      <c r="D26" s="276"/>
      <c r="E26" s="276"/>
      <c r="F26" s="279"/>
      <c r="G26" s="276"/>
      <c r="H26" s="276"/>
      <c r="I26" s="276"/>
    </row>
    <row r="27" spans="2:9" x14ac:dyDescent="0.25">
      <c r="C27" s="276"/>
      <c r="D27" s="276"/>
      <c r="E27" s="276"/>
      <c r="F27" s="279"/>
      <c r="G27" s="276"/>
      <c r="H27" s="276"/>
      <c r="I27" s="276"/>
    </row>
    <row r="28" spans="2:9" x14ac:dyDescent="0.25">
      <c r="C28" s="276"/>
      <c r="D28" s="276"/>
      <c r="E28" s="276"/>
      <c r="F28" s="279"/>
      <c r="G28" s="276"/>
      <c r="H28" s="276"/>
      <c r="I28" s="276"/>
    </row>
    <row r="29" spans="2:9" x14ac:dyDescent="0.25">
      <c r="C29" s="276"/>
      <c r="D29" s="276"/>
      <c r="E29" s="276"/>
      <c r="F29" s="279"/>
      <c r="G29" s="276"/>
      <c r="H29" s="276"/>
      <c r="I29" s="276"/>
    </row>
    <row r="30" spans="2:9" x14ac:dyDescent="0.25">
      <c r="C30" s="276"/>
      <c r="D30" s="276"/>
      <c r="E30" s="276"/>
      <c r="F30" s="279"/>
      <c r="G30" s="276"/>
      <c r="H30" s="276"/>
      <c r="I30" s="276"/>
    </row>
    <row r="31" spans="2:9" x14ac:dyDescent="0.25">
      <c r="C31" s="276"/>
      <c r="D31" s="276"/>
      <c r="E31" s="276"/>
      <c r="F31" s="279"/>
      <c r="G31" s="276"/>
      <c r="H31" s="276"/>
      <c r="I31" s="276"/>
    </row>
    <row r="32" spans="2:9" x14ac:dyDescent="0.25">
      <c r="C32" s="276"/>
      <c r="D32" s="276"/>
      <c r="E32" s="276"/>
      <c r="F32" s="279"/>
      <c r="G32" s="276"/>
      <c r="H32" s="276"/>
      <c r="I32" s="276"/>
    </row>
    <row r="33" spans="1:9" x14ac:dyDescent="0.25">
      <c r="C33" s="276"/>
      <c r="D33" s="276"/>
      <c r="E33" s="276"/>
      <c r="F33" s="279"/>
      <c r="G33" s="276"/>
      <c r="H33" s="276"/>
      <c r="I33" s="276"/>
    </row>
    <row r="34" spans="1:9" x14ac:dyDescent="0.25">
      <c r="C34" s="276"/>
      <c r="D34" s="276"/>
      <c r="E34" s="276"/>
      <c r="F34" s="279"/>
      <c r="G34" s="276"/>
      <c r="H34" s="276"/>
      <c r="I34" s="276"/>
    </row>
    <row r="35" spans="1:9" x14ac:dyDescent="0.25">
      <c r="A35" s="396"/>
      <c r="C35" s="276"/>
      <c r="D35" s="276"/>
      <c r="E35" s="276"/>
      <c r="F35" s="279"/>
      <c r="G35" s="276"/>
      <c r="H35" s="276"/>
      <c r="I35" s="276"/>
    </row>
    <row r="36" spans="1:9" x14ac:dyDescent="0.25">
      <c r="A36" s="396"/>
      <c r="C36" s="276"/>
      <c r="D36" s="276"/>
      <c r="E36" s="276"/>
      <c r="F36" s="279"/>
      <c r="G36" s="276"/>
      <c r="H36" s="276"/>
      <c r="I36" s="276"/>
    </row>
    <row r="37" spans="1:9" x14ac:dyDescent="0.25">
      <c r="A37" s="396" t="b">
        <v>0</v>
      </c>
      <c r="C37" s="276"/>
      <c r="D37" s="276"/>
      <c r="E37" s="276"/>
      <c r="F37" s="279"/>
      <c r="G37" s="276"/>
      <c r="H37" s="276"/>
      <c r="I37" s="276"/>
    </row>
    <row r="38" spans="1:9" x14ac:dyDescent="0.25">
      <c r="A38" s="396"/>
      <c r="C38" s="276"/>
      <c r="D38" s="276"/>
      <c r="E38" s="276"/>
      <c r="F38" s="279"/>
      <c r="G38" s="276"/>
      <c r="H38" s="276"/>
      <c r="I38" s="276"/>
    </row>
    <row r="39" spans="1:9" x14ac:dyDescent="0.25">
      <c r="A39" s="396"/>
      <c r="B39" s="1331"/>
      <c r="C39" s="629" t="str">
        <f t="shared" ref="C39:H39" si="0">IF($A$37=TRUE,C61,"")</f>
        <v/>
      </c>
      <c r="D39" s="629" t="str">
        <f t="shared" si="0"/>
        <v/>
      </c>
      <c r="E39" s="629" t="str">
        <f t="shared" si="0"/>
        <v/>
      </c>
      <c r="F39" s="629" t="str">
        <f t="shared" si="0"/>
        <v/>
      </c>
      <c r="G39" s="629" t="str">
        <f t="shared" si="0"/>
        <v/>
      </c>
      <c r="H39" s="629" t="str">
        <f t="shared" si="0"/>
        <v/>
      </c>
    </row>
    <row r="40" spans="1:9" x14ac:dyDescent="0.25">
      <c r="B40" s="628" t="str">
        <f t="shared" ref="B40:H53" si="1">IF($A$37=TRUE,B62,"")</f>
        <v/>
      </c>
      <c r="C40" s="1331"/>
      <c r="D40" s="1290" t="str">
        <f t="shared" si="1"/>
        <v/>
      </c>
      <c r="E40" s="1331"/>
      <c r="F40" s="1290" t="str">
        <f t="shared" si="1"/>
        <v/>
      </c>
      <c r="G40" s="1331"/>
      <c r="H40" s="1290" t="str">
        <f t="shared" si="1"/>
        <v/>
      </c>
    </row>
    <row r="41" spans="1:9" x14ac:dyDescent="0.25">
      <c r="B41" s="628" t="str">
        <f>IF($A$37=TRUE,B63,"")</f>
        <v/>
      </c>
      <c r="C41" s="632" t="str">
        <f t="shared" si="1"/>
        <v/>
      </c>
      <c r="D41" s="1290" t="str">
        <f t="shared" si="1"/>
        <v/>
      </c>
      <c r="E41" s="632" t="str">
        <f t="shared" si="1"/>
        <v/>
      </c>
      <c r="F41" s="1290" t="str">
        <f t="shared" si="1"/>
        <v/>
      </c>
      <c r="G41" s="632" t="str">
        <f t="shared" si="1"/>
        <v/>
      </c>
      <c r="H41" s="1290" t="str">
        <f t="shared" si="1"/>
        <v/>
      </c>
    </row>
    <row r="42" spans="1:9" x14ac:dyDescent="0.25">
      <c r="B42" s="628" t="str">
        <f t="shared" si="1"/>
        <v/>
      </c>
      <c r="C42" s="632" t="str">
        <f t="shared" si="1"/>
        <v/>
      </c>
      <c r="D42" s="1290" t="str">
        <f t="shared" si="1"/>
        <v/>
      </c>
      <c r="E42" s="632" t="str">
        <f t="shared" si="1"/>
        <v/>
      </c>
      <c r="F42" s="1290" t="str">
        <f t="shared" si="1"/>
        <v/>
      </c>
      <c r="G42" s="632" t="str">
        <f t="shared" si="1"/>
        <v/>
      </c>
      <c r="H42" s="1290" t="str">
        <f t="shared" si="1"/>
        <v/>
      </c>
    </row>
    <row r="43" spans="1:9" x14ac:dyDescent="0.25">
      <c r="B43" s="628" t="str">
        <f t="shared" si="1"/>
        <v/>
      </c>
      <c r="C43" s="632" t="str">
        <f t="shared" si="1"/>
        <v/>
      </c>
      <c r="D43" s="1290" t="str">
        <f t="shared" si="1"/>
        <v/>
      </c>
      <c r="E43" s="632" t="str">
        <f t="shared" si="1"/>
        <v/>
      </c>
      <c r="F43" s="1290" t="str">
        <f t="shared" si="1"/>
        <v/>
      </c>
      <c r="G43" s="632" t="str">
        <f t="shared" si="1"/>
        <v/>
      </c>
      <c r="H43" s="1290" t="str">
        <f t="shared" si="1"/>
        <v/>
      </c>
    </row>
    <row r="44" spans="1:9" x14ac:dyDescent="0.25">
      <c r="B44" s="628" t="str">
        <f t="shared" si="1"/>
        <v/>
      </c>
      <c r="C44" s="632" t="str">
        <f t="shared" si="1"/>
        <v/>
      </c>
      <c r="D44" s="1290" t="str">
        <f t="shared" si="1"/>
        <v/>
      </c>
      <c r="E44" s="632" t="str">
        <f t="shared" si="1"/>
        <v/>
      </c>
      <c r="F44" s="1290" t="str">
        <f t="shared" si="1"/>
        <v/>
      </c>
      <c r="G44" s="632" t="str">
        <f t="shared" si="1"/>
        <v/>
      </c>
      <c r="H44" s="1290" t="str">
        <f t="shared" si="1"/>
        <v/>
      </c>
    </row>
    <row r="45" spans="1:9" x14ac:dyDescent="0.25">
      <c r="B45" s="628" t="str">
        <f t="shared" si="1"/>
        <v/>
      </c>
      <c r="C45" s="632" t="str">
        <f t="shared" si="1"/>
        <v/>
      </c>
      <c r="D45" s="1290" t="str">
        <f t="shared" si="1"/>
        <v/>
      </c>
      <c r="E45" s="632" t="str">
        <f t="shared" si="1"/>
        <v/>
      </c>
      <c r="F45" s="1290" t="str">
        <f t="shared" si="1"/>
        <v/>
      </c>
      <c r="G45" s="632" t="str">
        <f t="shared" si="1"/>
        <v/>
      </c>
      <c r="H45" s="1290" t="str">
        <f t="shared" si="1"/>
        <v/>
      </c>
    </row>
    <row r="46" spans="1:9" x14ac:dyDescent="0.25">
      <c r="B46" s="628" t="str">
        <f t="shared" si="1"/>
        <v/>
      </c>
      <c r="C46" s="632" t="str">
        <f t="shared" si="1"/>
        <v/>
      </c>
      <c r="D46" s="1290" t="str">
        <f t="shared" si="1"/>
        <v/>
      </c>
      <c r="E46" s="632" t="str">
        <f t="shared" si="1"/>
        <v/>
      </c>
      <c r="F46" s="1290" t="str">
        <f t="shared" si="1"/>
        <v/>
      </c>
      <c r="G46" s="632" t="str">
        <f t="shared" si="1"/>
        <v/>
      </c>
      <c r="H46" s="1290" t="str">
        <f t="shared" si="1"/>
        <v/>
      </c>
    </row>
    <row r="47" spans="1:9" x14ac:dyDescent="0.25">
      <c r="B47" s="628" t="str">
        <f t="shared" si="1"/>
        <v/>
      </c>
      <c r="C47" s="632" t="str">
        <f t="shared" si="1"/>
        <v/>
      </c>
      <c r="D47" s="1290" t="str">
        <f t="shared" si="1"/>
        <v/>
      </c>
      <c r="E47" s="632" t="str">
        <f t="shared" si="1"/>
        <v/>
      </c>
      <c r="F47" s="1290" t="str">
        <f t="shared" si="1"/>
        <v/>
      </c>
      <c r="G47" s="632" t="str">
        <f t="shared" si="1"/>
        <v/>
      </c>
      <c r="H47" s="1290" t="str">
        <f t="shared" si="1"/>
        <v/>
      </c>
    </row>
    <row r="48" spans="1:9" x14ac:dyDescent="0.25">
      <c r="B48" s="628" t="str">
        <f t="shared" si="1"/>
        <v/>
      </c>
      <c r="C48" s="632" t="str">
        <f t="shared" si="1"/>
        <v/>
      </c>
      <c r="D48" s="1290" t="str">
        <f t="shared" si="1"/>
        <v/>
      </c>
      <c r="E48" s="632" t="str">
        <f t="shared" si="1"/>
        <v/>
      </c>
      <c r="F48" s="1290" t="str">
        <f t="shared" si="1"/>
        <v/>
      </c>
      <c r="G48" s="632" t="str">
        <f t="shared" si="1"/>
        <v/>
      </c>
      <c r="H48" s="1290" t="str">
        <f t="shared" si="1"/>
        <v/>
      </c>
    </row>
    <row r="49" spans="1:18" x14ac:dyDescent="0.25">
      <c r="B49" s="628" t="str">
        <f t="shared" si="1"/>
        <v/>
      </c>
      <c r="C49" s="632" t="str">
        <f t="shared" si="1"/>
        <v/>
      </c>
      <c r="D49" s="1290" t="str">
        <f t="shared" si="1"/>
        <v/>
      </c>
      <c r="E49" s="632" t="str">
        <f t="shared" si="1"/>
        <v/>
      </c>
      <c r="F49" s="1290" t="str">
        <f t="shared" si="1"/>
        <v/>
      </c>
      <c r="G49" s="632" t="str">
        <f t="shared" si="1"/>
        <v/>
      </c>
      <c r="H49" s="1290" t="str">
        <f t="shared" si="1"/>
        <v/>
      </c>
    </row>
    <row r="50" spans="1:18" x14ac:dyDescent="0.25">
      <c r="B50" s="628" t="str">
        <f t="shared" si="1"/>
        <v/>
      </c>
      <c r="C50" s="632" t="str">
        <f t="shared" si="1"/>
        <v/>
      </c>
      <c r="D50" s="1290" t="str">
        <f t="shared" si="1"/>
        <v/>
      </c>
      <c r="E50" s="632" t="str">
        <f t="shared" si="1"/>
        <v/>
      </c>
      <c r="F50" s="1290" t="str">
        <f t="shared" si="1"/>
        <v/>
      </c>
      <c r="G50" s="632" t="str">
        <f t="shared" si="1"/>
        <v/>
      </c>
      <c r="H50" s="1290" t="str">
        <f t="shared" si="1"/>
        <v/>
      </c>
    </row>
    <row r="51" spans="1:18" x14ac:dyDescent="0.25">
      <c r="B51" s="628" t="str">
        <f t="shared" si="1"/>
        <v/>
      </c>
      <c r="C51" s="632" t="str">
        <f t="shared" si="1"/>
        <v/>
      </c>
      <c r="D51" s="1290" t="str">
        <f t="shared" si="1"/>
        <v/>
      </c>
      <c r="E51" s="632" t="str">
        <f t="shared" si="1"/>
        <v/>
      </c>
      <c r="F51" s="1290" t="str">
        <f t="shared" si="1"/>
        <v/>
      </c>
      <c r="G51" s="632" t="str">
        <f t="shared" si="1"/>
        <v/>
      </c>
      <c r="H51" s="1290" t="str">
        <f t="shared" si="1"/>
        <v/>
      </c>
    </row>
    <row r="52" spans="1:18" x14ac:dyDescent="0.25">
      <c r="B52" s="628" t="str">
        <f t="shared" si="1"/>
        <v/>
      </c>
      <c r="C52" s="632" t="str">
        <f t="shared" si="1"/>
        <v/>
      </c>
      <c r="D52" s="1290" t="str">
        <f t="shared" si="1"/>
        <v/>
      </c>
      <c r="E52" s="632" t="str">
        <f t="shared" si="1"/>
        <v/>
      </c>
      <c r="F52" s="1290" t="str">
        <f t="shared" si="1"/>
        <v/>
      </c>
      <c r="G52" s="632" t="str">
        <f t="shared" si="1"/>
        <v/>
      </c>
      <c r="H52" s="1290" t="str">
        <f t="shared" si="1"/>
        <v/>
      </c>
    </row>
    <row r="53" spans="1:18" x14ac:dyDescent="0.25">
      <c r="B53" s="628" t="str">
        <f t="shared" si="1"/>
        <v/>
      </c>
      <c r="C53" s="632" t="str">
        <f t="shared" si="1"/>
        <v/>
      </c>
      <c r="D53" s="1290" t="str">
        <f t="shared" si="1"/>
        <v/>
      </c>
      <c r="E53" s="632" t="str">
        <f t="shared" si="1"/>
        <v/>
      </c>
      <c r="F53" s="1290" t="str">
        <f t="shared" si="1"/>
        <v/>
      </c>
      <c r="G53" s="632" t="str">
        <f t="shared" si="1"/>
        <v/>
      </c>
      <c r="H53" s="1290" t="str">
        <f t="shared" si="1"/>
        <v/>
      </c>
    </row>
    <row r="54" spans="1:18" x14ac:dyDescent="0.25">
      <c r="A54" s="376"/>
      <c r="B54" s="376"/>
      <c r="C54" s="380"/>
      <c r="D54" s="380"/>
      <c r="E54" s="380"/>
      <c r="F54" s="379"/>
      <c r="G54" s="380"/>
      <c r="H54" s="380"/>
      <c r="I54" s="380"/>
      <c r="J54" s="233"/>
      <c r="K54" s="233"/>
    </row>
    <row r="55" spans="1:18" x14ac:dyDescent="0.25">
      <c r="A55" s="376"/>
      <c r="B55" s="376"/>
      <c r="C55" s="380"/>
      <c r="D55" s="380"/>
      <c r="E55" s="380"/>
      <c r="F55" s="379"/>
      <c r="G55" s="380"/>
      <c r="H55" s="380"/>
      <c r="I55" s="380"/>
      <c r="J55" s="233"/>
      <c r="K55" s="233"/>
    </row>
    <row r="56" spans="1:18" x14ac:dyDescent="0.25">
      <c r="A56" s="376"/>
      <c r="B56" s="259"/>
      <c r="C56" s="380"/>
      <c r="D56" s="380"/>
      <c r="E56" s="380"/>
      <c r="F56" s="379"/>
      <c r="G56" s="380"/>
      <c r="H56" s="380"/>
      <c r="I56" s="380"/>
      <c r="J56" s="233"/>
      <c r="K56" s="233"/>
    </row>
    <row r="57" spans="1:18" x14ac:dyDescent="0.25">
      <c r="A57" s="376"/>
      <c r="B57" s="259"/>
      <c r="C57" s="380"/>
      <c r="D57" s="380"/>
      <c r="E57" s="380"/>
      <c r="F57" s="379"/>
      <c r="G57" s="380"/>
      <c r="H57" s="380"/>
      <c r="I57" s="380"/>
      <c r="J57" s="233"/>
      <c r="K57" s="233"/>
    </row>
    <row r="58" spans="1:18" x14ac:dyDescent="0.25">
      <c r="A58" s="376"/>
      <c r="B58" s="259"/>
      <c r="C58" s="380"/>
      <c r="D58" s="380"/>
      <c r="E58" s="380"/>
      <c r="F58" s="379"/>
      <c r="G58" s="380"/>
      <c r="H58" s="380"/>
      <c r="I58" s="380"/>
      <c r="J58" s="233"/>
      <c r="K58" s="233"/>
    </row>
    <row r="59" spans="1:18" x14ac:dyDescent="0.25">
      <c r="A59" s="375"/>
      <c r="B59" s="547"/>
      <c r="C59" s="1018"/>
      <c r="D59" s="1018"/>
      <c r="E59" s="1018"/>
      <c r="F59" s="1018"/>
      <c r="G59" s="1018"/>
      <c r="H59" s="1018"/>
      <c r="I59" s="1018"/>
      <c r="J59" s="669"/>
      <c r="K59" s="669"/>
      <c r="L59" s="547"/>
      <c r="M59" s="547"/>
      <c r="N59" s="547"/>
      <c r="O59" s="547"/>
      <c r="P59" s="547"/>
      <c r="Q59" s="547"/>
      <c r="R59" s="547"/>
    </row>
    <row r="60" spans="1:18" ht="23.25" customHeight="1" x14ac:dyDescent="0.25">
      <c r="A60" s="375"/>
      <c r="B60" s="547"/>
      <c r="C60" s="1018"/>
      <c r="D60" s="1018"/>
      <c r="E60" s="1018"/>
      <c r="F60" s="1018"/>
      <c r="G60" s="1018"/>
      <c r="H60" s="1018"/>
      <c r="I60" s="1018"/>
      <c r="J60" s="669"/>
      <c r="K60" s="669"/>
      <c r="L60" s="547"/>
      <c r="M60" s="547"/>
      <c r="N60" s="547"/>
      <c r="O60" s="547"/>
      <c r="P60" s="547"/>
      <c r="Q60" s="547"/>
      <c r="R60" s="547"/>
    </row>
    <row r="61" spans="1:18" ht="25.5" x14ac:dyDescent="0.25">
      <c r="A61" s="375"/>
      <c r="B61" s="1342"/>
      <c r="C61" s="1343" t="s">
        <v>621</v>
      </c>
      <c r="D61" s="1344" t="s">
        <v>623</v>
      </c>
      <c r="E61" s="1343" t="s">
        <v>620</v>
      </c>
      <c r="F61" s="1344" t="s">
        <v>624</v>
      </c>
      <c r="G61" s="1343" t="s">
        <v>622</v>
      </c>
      <c r="H61" s="809" t="s">
        <v>625</v>
      </c>
      <c r="I61" s="809"/>
      <c r="J61" s="669"/>
      <c r="K61" s="669"/>
      <c r="L61" s="547"/>
      <c r="M61" s="547"/>
      <c r="N61" s="547"/>
      <c r="O61" s="547"/>
      <c r="P61" s="547"/>
      <c r="Q61" s="547"/>
      <c r="R61" s="547"/>
    </row>
    <row r="62" spans="1:18" x14ac:dyDescent="0.25">
      <c r="A62" s="375"/>
      <c r="B62" s="1342" t="s">
        <v>68</v>
      </c>
      <c r="C62" s="1342"/>
      <c r="D62" s="1345">
        <v>1</v>
      </c>
      <c r="E62" s="1342"/>
      <c r="F62" s="1345">
        <v>1</v>
      </c>
      <c r="G62" s="1342"/>
      <c r="H62" s="1345">
        <v>1</v>
      </c>
      <c r="I62" s="809"/>
      <c r="J62" s="669"/>
      <c r="K62" s="669"/>
      <c r="L62" s="547"/>
      <c r="M62" s="547"/>
      <c r="N62" s="547"/>
      <c r="O62" s="547"/>
      <c r="P62" s="547"/>
      <c r="Q62" s="547"/>
      <c r="R62" s="547"/>
    </row>
    <row r="63" spans="1:18" x14ac:dyDescent="0.25">
      <c r="A63" s="375"/>
      <c r="B63" s="1343" t="s">
        <v>69</v>
      </c>
      <c r="C63" s="1346">
        <v>2.2200000000000001E-2</v>
      </c>
      <c r="D63" s="1345">
        <f>D62*(1+C63)</f>
        <v>1.0222</v>
      </c>
      <c r="E63" s="1346">
        <v>5.0599999999999999E-2</v>
      </c>
      <c r="F63" s="1345">
        <f>F62*(1+E63)</f>
        <v>1.0506</v>
      </c>
      <c r="G63" s="1346">
        <v>-2.7099999999999999E-2</v>
      </c>
      <c r="H63" s="1345">
        <f>H62*(1+G63)</f>
        <v>0.97289999999999999</v>
      </c>
      <c r="I63" s="809"/>
      <c r="J63" s="669"/>
      <c r="K63" s="669"/>
      <c r="L63" s="547"/>
      <c r="M63" s="547"/>
      <c r="N63" s="547"/>
      <c r="O63" s="547"/>
      <c r="P63" s="547"/>
      <c r="Q63" s="547"/>
      <c r="R63" s="547"/>
    </row>
    <row r="64" spans="1:18" x14ac:dyDescent="0.25">
      <c r="A64" s="375"/>
      <c r="B64" s="1343" t="s">
        <v>70</v>
      </c>
      <c r="C64" s="1346">
        <v>2.2599999999999999E-2</v>
      </c>
      <c r="D64" s="1345">
        <f t="shared" ref="D64:D75" si="2">D63*(1+C64)</f>
        <v>1.0453017199999999</v>
      </c>
      <c r="E64" s="1346">
        <v>1.55E-2</v>
      </c>
      <c r="F64" s="1345">
        <f t="shared" ref="F64:F75" si="3">F63*(1+E64)</f>
        <v>1.0668843000000001</v>
      </c>
      <c r="G64" s="1346">
        <v>6.8999999999999999E-3</v>
      </c>
      <c r="H64" s="1345">
        <f t="shared" ref="H64:H75" si="4">H63*(1+G64)</f>
        <v>0.9796130099999999</v>
      </c>
      <c r="I64" s="809"/>
      <c r="J64" s="669"/>
      <c r="K64" s="669"/>
      <c r="L64" s="547"/>
      <c r="M64" s="547"/>
      <c r="N64" s="547"/>
      <c r="O64" s="547"/>
      <c r="P64" s="547"/>
      <c r="Q64" s="547"/>
      <c r="R64" s="547"/>
    </row>
    <row r="65" spans="1:18" x14ac:dyDescent="0.25">
      <c r="A65" s="375"/>
      <c r="B65" s="1343" t="s">
        <v>71</v>
      </c>
      <c r="C65" s="1346">
        <v>3.7400000000000003E-2</v>
      </c>
      <c r="D65" s="1345">
        <f t="shared" si="2"/>
        <v>1.0843960043279999</v>
      </c>
      <c r="E65" s="1346">
        <v>6.0999999999999999E-2</v>
      </c>
      <c r="F65" s="1345">
        <f t="shared" si="3"/>
        <v>1.1319642423</v>
      </c>
      <c r="G65" s="1346">
        <v>-2.2200000000000001E-2</v>
      </c>
      <c r="H65" s="1345">
        <f t="shared" si="4"/>
        <v>0.9578656011779999</v>
      </c>
      <c r="I65" s="809"/>
      <c r="J65" s="669"/>
      <c r="K65" s="669"/>
      <c r="L65" s="547"/>
      <c r="M65" s="547"/>
      <c r="N65" s="547"/>
      <c r="O65" s="547"/>
      <c r="P65" s="547"/>
      <c r="Q65" s="547"/>
      <c r="R65" s="547"/>
    </row>
    <row r="66" spans="1:18" x14ac:dyDescent="0.25">
      <c r="A66" s="375"/>
      <c r="B66" s="1343" t="s">
        <v>72</v>
      </c>
      <c r="C66" s="1346">
        <v>5.7799999999999997E-2</v>
      </c>
      <c r="D66" s="1345">
        <f t="shared" si="2"/>
        <v>1.1470740933781582</v>
      </c>
      <c r="E66" s="1346">
        <v>7.0599999999999996E-2</v>
      </c>
      <c r="F66" s="1345">
        <f t="shared" si="3"/>
        <v>1.2118809178063801</v>
      </c>
      <c r="G66" s="1346">
        <v>-1.1900000000000001E-2</v>
      </c>
      <c r="H66" s="1345">
        <f t="shared" si="4"/>
        <v>0.94646700052398169</v>
      </c>
      <c r="I66" s="809"/>
      <c r="J66" s="669"/>
      <c r="K66" s="669"/>
      <c r="L66" s="547"/>
      <c r="M66" s="547"/>
      <c r="N66" s="547"/>
      <c r="O66" s="547"/>
      <c r="P66" s="547"/>
      <c r="Q66" s="547"/>
      <c r="R66" s="547"/>
    </row>
    <row r="67" spans="1:18" ht="23.25" customHeight="1" x14ac:dyDescent="0.35">
      <c r="A67" s="375"/>
      <c r="B67" s="1343" t="s">
        <v>73</v>
      </c>
      <c r="C67" s="1346">
        <v>4.9299999999999997E-2</v>
      </c>
      <c r="D67" s="1345">
        <f t="shared" si="2"/>
        <v>1.2036248461817014</v>
      </c>
      <c r="E67" s="1346">
        <v>7.6300000000000007E-2</v>
      </c>
      <c r="F67" s="1345">
        <f t="shared" si="3"/>
        <v>1.304347431835007</v>
      </c>
      <c r="G67" s="1346">
        <v>-2.5100000000000001E-2</v>
      </c>
      <c r="H67" s="1345">
        <f t="shared" si="4"/>
        <v>0.92271067881082969</v>
      </c>
      <c r="I67" s="1347"/>
      <c r="J67" s="1318"/>
      <c r="K67" s="669"/>
      <c r="L67" s="547"/>
      <c r="M67" s="547"/>
      <c r="N67" s="547"/>
      <c r="O67" s="547"/>
      <c r="P67" s="547"/>
      <c r="Q67" s="547"/>
      <c r="R67" s="547"/>
    </row>
    <row r="68" spans="1:18" ht="23.25" x14ac:dyDescent="0.35">
      <c r="A68" s="375"/>
      <c r="B68" s="1343" t="s">
        <v>74</v>
      </c>
      <c r="C68" s="1346">
        <v>6.4399999999999999E-2</v>
      </c>
      <c r="D68" s="1345">
        <f t="shared" si="2"/>
        <v>1.281138286275803</v>
      </c>
      <c r="E68" s="1346">
        <v>6.5000000000000002E-2</v>
      </c>
      <c r="F68" s="1345">
        <f t="shared" si="3"/>
        <v>1.3891300149042825</v>
      </c>
      <c r="G68" s="1346">
        <v>-4.1999999999999997E-3</v>
      </c>
      <c r="H68" s="1345">
        <f t="shared" si="4"/>
        <v>0.91883529395982422</v>
      </c>
      <c r="I68" s="1348"/>
      <c r="J68" s="1318"/>
      <c r="K68" s="669"/>
      <c r="L68" s="547"/>
      <c r="M68" s="547"/>
      <c r="N68" s="547"/>
      <c r="O68" s="547"/>
      <c r="P68" s="547"/>
      <c r="Q68" s="547"/>
      <c r="R68" s="547"/>
    </row>
    <row r="69" spans="1:18" ht="23.25" x14ac:dyDescent="0.35">
      <c r="A69" s="375"/>
      <c r="B69" s="1343" t="s">
        <v>75</v>
      </c>
      <c r="C69" s="1346">
        <v>7.1099999999999997E-2</v>
      </c>
      <c r="D69" s="1345">
        <f t="shared" si="2"/>
        <v>1.3722272184300124</v>
      </c>
      <c r="E69" s="1346">
        <v>7.1900000000000006E-2</v>
      </c>
      <c r="F69" s="1345">
        <f t="shared" si="3"/>
        <v>1.4890084629759004</v>
      </c>
      <c r="G69" s="1346">
        <v>-6.9999999999999999E-4</v>
      </c>
      <c r="H69" s="1345">
        <f t="shared" si="4"/>
        <v>0.91819210925405226</v>
      </c>
      <c r="I69" s="1348"/>
      <c r="J69" s="1318"/>
      <c r="K69" s="669"/>
      <c r="L69" s="547"/>
      <c r="M69" s="547"/>
      <c r="N69" s="547"/>
      <c r="O69" s="547"/>
      <c r="P69" s="547"/>
      <c r="Q69" s="547"/>
      <c r="R69" s="547"/>
    </row>
    <row r="70" spans="1:18" ht="23.25" x14ac:dyDescent="0.35">
      <c r="A70" s="375"/>
      <c r="B70" s="1343" t="s">
        <v>76</v>
      </c>
      <c r="C70" s="1346">
        <v>6.5000000000000002E-2</v>
      </c>
      <c r="D70" s="1345">
        <f t="shared" si="2"/>
        <v>1.461421987627963</v>
      </c>
      <c r="E70" s="1346">
        <v>1.9199999999999998E-2</v>
      </c>
      <c r="F70" s="1345">
        <f t="shared" si="3"/>
        <v>1.5175974254650377</v>
      </c>
      <c r="G70" s="1346">
        <v>4.4999999999999998E-2</v>
      </c>
      <c r="H70" s="1345">
        <f t="shared" si="4"/>
        <v>0.95951075417048459</v>
      </c>
      <c r="I70" s="1348"/>
      <c r="J70" s="1318"/>
      <c r="K70" s="669"/>
      <c r="L70" s="547"/>
      <c r="M70" s="547"/>
      <c r="N70" s="547"/>
      <c r="O70" s="547"/>
      <c r="P70" s="547"/>
      <c r="Q70" s="547"/>
      <c r="R70" s="547"/>
    </row>
    <row r="71" spans="1:18" ht="23.25" x14ac:dyDescent="0.35">
      <c r="A71" s="375"/>
      <c r="B71" s="1343" t="s">
        <v>4</v>
      </c>
      <c r="C71" s="1346">
        <v>3.6600000000000001E-2</v>
      </c>
      <c r="D71" s="1345">
        <f t="shared" si="2"/>
        <v>1.5149100323751465</v>
      </c>
      <c r="E71" s="1346">
        <v>3.8800000000000001E-2</v>
      </c>
      <c r="F71" s="1345">
        <f t="shared" si="3"/>
        <v>1.5764802055730811</v>
      </c>
      <c r="G71" s="1346">
        <v>-2.0999999999999999E-3</v>
      </c>
      <c r="H71" s="1345">
        <f t="shared" si="4"/>
        <v>0.95749578158672655</v>
      </c>
      <c r="I71" s="1348"/>
      <c r="J71" s="1318"/>
      <c r="K71" s="669"/>
      <c r="L71" s="547"/>
      <c r="M71" s="547"/>
      <c r="N71" s="547"/>
      <c r="O71" s="547"/>
      <c r="P71" s="547"/>
      <c r="Q71" s="547"/>
      <c r="R71" s="547"/>
    </row>
    <row r="72" spans="1:18" ht="23.25" x14ac:dyDescent="0.35">
      <c r="A72" s="1349"/>
      <c r="B72" s="1343" t="s">
        <v>5</v>
      </c>
      <c r="C72" s="1346">
        <v>5.7299999999999997E-2</v>
      </c>
      <c r="D72" s="1345">
        <f t="shared" si="2"/>
        <v>1.6017143772302422</v>
      </c>
      <c r="E72" s="1346">
        <v>4.2299999999999997E-2</v>
      </c>
      <c r="F72" s="1345">
        <f t="shared" si="3"/>
        <v>1.6431653182688224</v>
      </c>
      <c r="G72" s="1346">
        <v>1.44E-2</v>
      </c>
      <c r="H72" s="1345">
        <f t="shared" si="4"/>
        <v>0.97128372084157533</v>
      </c>
      <c r="I72" s="1348"/>
      <c r="J72" s="1318"/>
      <c r="K72" s="669"/>
      <c r="L72" s="547"/>
      <c r="M72" s="547"/>
      <c r="N72" s="547"/>
      <c r="O72" s="547"/>
      <c r="P72" s="547"/>
      <c r="Q72" s="547"/>
      <c r="R72" s="547"/>
    </row>
    <row r="73" spans="1:18" ht="23.25" x14ac:dyDescent="0.35">
      <c r="A73" s="375"/>
      <c r="B73" s="1343" t="s">
        <v>6</v>
      </c>
      <c r="C73" s="1346">
        <v>4.1099999999999998E-2</v>
      </c>
      <c r="D73" s="1345">
        <f t="shared" si="2"/>
        <v>1.6675448381344051</v>
      </c>
      <c r="E73" s="1346">
        <v>5.4300000000000001E-2</v>
      </c>
      <c r="F73" s="1345">
        <f t="shared" si="3"/>
        <v>1.7323891950508195</v>
      </c>
      <c r="G73" s="1346">
        <v>-1.2500000000000001E-2</v>
      </c>
      <c r="H73" s="1345">
        <f t="shared" si="4"/>
        <v>0.95914267433105571</v>
      </c>
      <c r="I73" s="1348"/>
      <c r="J73" s="1318"/>
      <c r="K73" s="669"/>
      <c r="L73" s="547"/>
      <c r="M73" s="547"/>
      <c r="N73" s="547"/>
      <c r="O73" s="547"/>
      <c r="P73" s="547"/>
      <c r="Q73" s="547"/>
      <c r="R73" s="547"/>
    </row>
    <row r="74" spans="1:18" ht="23.25" customHeight="1" x14ac:dyDescent="0.25">
      <c r="A74" s="375"/>
      <c r="B74" s="1343" t="s">
        <v>7</v>
      </c>
      <c r="C74" s="1346">
        <v>4.5699999999999998E-2</v>
      </c>
      <c r="D74" s="1345">
        <f t="shared" si="2"/>
        <v>1.7437516372371475</v>
      </c>
      <c r="E74" s="1346">
        <v>1.3299999999999999E-2</v>
      </c>
      <c r="F74" s="1345">
        <f t="shared" si="3"/>
        <v>1.7554299713449955</v>
      </c>
      <c r="G74" s="1346">
        <v>3.2099999999999997E-2</v>
      </c>
      <c r="H74" s="1345">
        <f t="shared" si="4"/>
        <v>0.98993115417708266</v>
      </c>
      <c r="I74" s="1348"/>
      <c r="J74" s="669"/>
      <c r="K74" s="669"/>
      <c r="L74" s="547"/>
      <c r="M74" s="547"/>
      <c r="N74" s="547"/>
      <c r="O74" s="547"/>
      <c r="P74" s="547"/>
      <c r="Q74" s="547"/>
      <c r="R74" s="547"/>
    </row>
    <row r="75" spans="1:18" x14ac:dyDescent="0.25">
      <c r="A75" s="375"/>
      <c r="B75" s="1343" t="s">
        <v>489</v>
      </c>
      <c r="C75" s="1346">
        <v>3.15E-2</v>
      </c>
      <c r="D75" s="1345">
        <f t="shared" si="2"/>
        <v>1.7986798138101179</v>
      </c>
      <c r="E75" s="1346">
        <v>0.01</v>
      </c>
      <c r="F75" s="1345">
        <f t="shared" si="3"/>
        <v>1.7729842710584454</v>
      </c>
      <c r="G75" s="1346">
        <v>2.1299999999999999E-2</v>
      </c>
      <c r="H75" s="1345">
        <f t="shared" si="4"/>
        <v>1.0110166877610547</v>
      </c>
      <c r="I75" s="1348"/>
      <c r="J75" s="669"/>
      <c r="K75" s="669"/>
      <c r="L75" s="547"/>
      <c r="M75" s="547"/>
      <c r="N75" s="547"/>
      <c r="O75" s="547"/>
      <c r="P75" s="547"/>
      <c r="Q75" s="547"/>
      <c r="R75" s="547"/>
    </row>
    <row r="76" spans="1:18" x14ac:dyDescent="0.25">
      <c r="A76" s="375"/>
      <c r="B76" s="1445"/>
      <c r="C76" s="1339"/>
      <c r="D76" s="1339"/>
      <c r="E76" s="1340"/>
      <c r="F76" s="1339"/>
      <c r="G76" s="1340"/>
      <c r="H76" s="1340"/>
      <c r="I76" s="1339"/>
      <c r="J76" s="669"/>
      <c r="K76" s="669"/>
      <c r="L76" s="547"/>
      <c r="M76" s="547"/>
      <c r="N76" s="547"/>
      <c r="O76" s="547"/>
      <c r="P76" s="547"/>
      <c r="Q76" s="547"/>
      <c r="R76" s="547"/>
    </row>
    <row r="77" spans="1:18" x14ac:dyDescent="0.25">
      <c r="A77" s="375"/>
      <c r="B77" s="1445"/>
      <c r="C77" s="1339"/>
      <c r="D77" s="1339"/>
      <c r="E77" s="1340"/>
      <c r="F77" s="1339"/>
      <c r="G77" s="1340"/>
      <c r="H77" s="1340"/>
      <c r="I77" s="1339"/>
      <c r="J77" s="669"/>
      <c r="K77" s="669"/>
      <c r="L77" s="547"/>
      <c r="M77" s="547"/>
      <c r="N77" s="547"/>
      <c r="O77" s="547"/>
      <c r="P77" s="547"/>
      <c r="Q77" s="547"/>
      <c r="R77" s="547"/>
    </row>
    <row r="78" spans="1:18" x14ac:dyDescent="0.25">
      <c r="A78" s="375"/>
      <c r="B78" s="1445"/>
      <c r="C78" s="1339"/>
      <c r="D78" s="1339"/>
      <c r="E78" s="1340"/>
      <c r="F78" s="1339"/>
      <c r="G78" s="1340"/>
      <c r="H78" s="1340"/>
      <c r="I78" s="1339"/>
      <c r="J78" s="669"/>
      <c r="K78" s="669"/>
      <c r="L78" s="547"/>
      <c r="M78" s="547"/>
      <c r="N78" s="547"/>
      <c r="O78" s="547"/>
      <c r="P78" s="547"/>
      <c r="Q78" s="547"/>
      <c r="R78" s="547"/>
    </row>
    <row r="79" spans="1:18" x14ac:dyDescent="0.25">
      <c r="A79" s="375"/>
      <c r="B79" s="1445"/>
      <c r="C79" s="1339"/>
      <c r="D79" s="1339"/>
      <c r="E79" s="1340"/>
      <c r="F79" s="1339"/>
      <c r="G79" s="1340"/>
      <c r="H79" s="1340"/>
      <c r="I79" s="1339"/>
      <c r="J79" s="669"/>
      <c r="K79" s="669"/>
      <c r="L79" s="547"/>
      <c r="M79" s="547"/>
      <c r="N79" s="547"/>
      <c r="O79" s="547"/>
      <c r="P79" s="547"/>
      <c r="Q79" s="547"/>
      <c r="R79" s="547"/>
    </row>
    <row r="80" spans="1:18" ht="23.25" x14ac:dyDescent="0.35">
      <c r="A80" s="375"/>
      <c r="B80" s="809"/>
      <c r="C80" s="1018"/>
      <c r="D80" s="1018"/>
      <c r="E80" s="1018"/>
      <c r="F80" s="1340"/>
      <c r="G80" s="1018"/>
      <c r="H80" s="1018"/>
      <c r="I80" s="1341"/>
      <c r="J80" s="669"/>
      <c r="K80" s="669"/>
      <c r="L80" s="547"/>
      <c r="M80" s="547"/>
      <c r="N80" s="547"/>
      <c r="O80" s="547"/>
      <c r="P80" s="547"/>
      <c r="Q80" s="547"/>
      <c r="R80" s="547"/>
    </row>
    <row r="81" spans="1:18" ht="23.25" customHeight="1" x14ac:dyDescent="0.25">
      <c r="A81" s="375"/>
      <c r="B81" s="809"/>
      <c r="C81" s="1018"/>
      <c r="D81" s="1018"/>
      <c r="E81" s="1018"/>
      <c r="F81" s="1018"/>
      <c r="G81" s="1018"/>
      <c r="H81" s="1018"/>
      <c r="I81" s="375"/>
      <c r="J81" s="669"/>
      <c r="K81" s="669"/>
      <c r="L81" s="547"/>
      <c r="M81" s="547"/>
      <c r="N81" s="547"/>
      <c r="O81" s="547"/>
      <c r="P81" s="547"/>
      <c r="Q81" s="547"/>
      <c r="R81" s="547"/>
    </row>
    <row r="82" spans="1:18" x14ac:dyDescent="0.25">
      <c r="A82" s="375"/>
      <c r="B82" s="809"/>
      <c r="C82" s="1018"/>
      <c r="D82" s="1018"/>
      <c r="E82" s="1018"/>
      <c r="F82" s="1018"/>
      <c r="G82" s="1018"/>
      <c r="H82" s="1018"/>
      <c r="I82" s="375"/>
      <c r="J82" s="669"/>
      <c r="K82" s="669"/>
      <c r="L82" s="547"/>
      <c r="M82" s="547"/>
      <c r="N82" s="547"/>
      <c r="O82" s="547"/>
      <c r="P82" s="547"/>
      <c r="Q82" s="547"/>
      <c r="R82" s="547"/>
    </row>
    <row r="83" spans="1:18" x14ac:dyDescent="0.25">
      <c r="A83" s="375"/>
      <c r="B83" s="809"/>
      <c r="C83" s="1018"/>
      <c r="D83" s="1018"/>
      <c r="E83" s="1018"/>
      <c r="F83" s="1018"/>
      <c r="G83" s="1018"/>
      <c r="H83" s="1018"/>
      <c r="I83" s="375"/>
      <c r="J83" s="669"/>
      <c r="K83" s="669"/>
      <c r="L83" s="547"/>
      <c r="M83" s="547"/>
      <c r="N83" s="547"/>
      <c r="O83" s="547"/>
      <c r="P83" s="547"/>
      <c r="Q83" s="547"/>
      <c r="R83" s="547"/>
    </row>
    <row r="84" spans="1:18" x14ac:dyDescent="0.25">
      <c r="A84" s="375"/>
      <c r="B84" s="809"/>
      <c r="C84" s="1018"/>
      <c r="D84" s="1018"/>
      <c r="E84" s="1018"/>
      <c r="F84" s="1018"/>
      <c r="G84" s="1018"/>
      <c r="H84" s="1018"/>
      <c r="I84" s="375"/>
      <c r="J84" s="669"/>
      <c r="K84" s="669"/>
      <c r="L84" s="547"/>
      <c r="M84" s="547"/>
      <c r="N84" s="547"/>
      <c r="O84" s="547"/>
      <c r="P84" s="547"/>
      <c r="Q84" s="547"/>
      <c r="R84" s="547"/>
    </row>
    <row r="85" spans="1:18" x14ac:dyDescent="0.25">
      <c r="A85" s="375"/>
      <c r="B85" s="809"/>
      <c r="C85" s="1018"/>
      <c r="D85" s="1018"/>
      <c r="E85" s="1018"/>
      <c r="F85" s="1018"/>
      <c r="G85" s="1018"/>
      <c r="H85" s="1018"/>
      <c r="I85" s="375"/>
      <c r="J85" s="669"/>
      <c r="K85" s="669"/>
      <c r="L85" s="547"/>
      <c r="M85" s="547"/>
      <c r="N85" s="547"/>
      <c r="O85" s="547"/>
      <c r="P85" s="547"/>
      <c r="Q85" s="547"/>
      <c r="R85" s="547"/>
    </row>
    <row r="86" spans="1:18" x14ac:dyDescent="0.25">
      <c r="A86" s="375"/>
      <c r="B86" s="809"/>
      <c r="C86" s="1018"/>
      <c r="D86" s="1018"/>
      <c r="E86" s="1018"/>
      <c r="F86" s="1018"/>
      <c r="G86" s="1018"/>
      <c r="H86" s="1018"/>
      <c r="I86" s="375"/>
      <c r="J86" s="669"/>
      <c r="K86" s="669"/>
      <c r="L86" s="547"/>
      <c r="M86" s="547"/>
      <c r="N86" s="547"/>
      <c r="O86" s="547"/>
      <c r="P86" s="547"/>
      <c r="Q86" s="547"/>
      <c r="R86" s="547"/>
    </row>
    <row r="87" spans="1:18" x14ac:dyDescent="0.25">
      <c r="A87" s="375"/>
      <c r="B87" s="809"/>
      <c r="C87" s="1018"/>
      <c r="D87" s="1018"/>
      <c r="E87" s="1018"/>
      <c r="F87" s="1018"/>
      <c r="G87" s="1018"/>
      <c r="H87" s="1018"/>
      <c r="I87" s="375"/>
      <c r="J87" s="669"/>
      <c r="K87" s="669"/>
      <c r="L87" s="547"/>
      <c r="M87" s="547"/>
      <c r="N87" s="547"/>
      <c r="O87" s="547"/>
      <c r="P87" s="547"/>
      <c r="Q87" s="547"/>
      <c r="R87" s="547"/>
    </row>
    <row r="88" spans="1:18" x14ac:dyDescent="0.25">
      <c r="A88" s="375"/>
      <c r="B88" s="809"/>
      <c r="C88" s="1018"/>
      <c r="D88" s="1018"/>
      <c r="E88" s="1018"/>
      <c r="F88" s="1018"/>
      <c r="G88" s="1018"/>
      <c r="H88" s="1018"/>
      <c r="I88" s="375"/>
      <c r="J88" s="669"/>
      <c r="K88" s="669"/>
      <c r="L88" s="547"/>
      <c r="M88" s="547"/>
      <c r="N88" s="547"/>
      <c r="O88" s="547"/>
      <c r="P88" s="547"/>
      <c r="Q88" s="547"/>
      <c r="R88" s="547"/>
    </row>
    <row r="89" spans="1:18" ht="23.25" customHeight="1" x14ac:dyDescent="0.25">
      <c r="A89" s="375"/>
      <c r="B89" s="809"/>
      <c r="C89" s="1018"/>
      <c r="D89" s="1018"/>
      <c r="E89" s="1018"/>
      <c r="F89" s="1018"/>
      <c r="G89" s="1018"/>
      <c r="H89" s="1018"/>
      <c r="I89" s="375"/>
      <c r="J89" s="669"/>
      <c r="K89" s="669"/>
      <c r="L89" s="547"/>
      <c r="M89" s="547"/>
      <c r="N89" s="547"/>
      <c r="O89" s="547"/>
      <c r="P89" s="547"/>
      <c r="Q89" s="547"/>
      <c r="R89" s="547"/>
    </row>
    <row r="90" spans="1:18" x14ac:dyDescent="0.25">
      <c r="A90" s="375"/>
      <c r="B90" s="809"/>
      <c r="C90" s="1018"/>
      <c r="D90" s="1018"/>
      <c r="E90" s="1018"/>
      <c r="F90" s="1018"/>
      <c r="G90" s="1018"/>
      <c r="H90" s="1018"/>
      <c r="I90" s="375"/>
      <c r="J90" s="669"/>
      <c r="K90" s="669"/>
      <c r="L90" s="547"/>
      <c r="M90" s="547"/>
      <c r="N90" s="547"/>
      <c r="O90" s="547"/>
      <c r="P90" s="547"/>
      <c r="Q90" s="547"/>
      <c r="R90" s="547"/>
    </row>
    <row r="91" spans="1:18" x14ac:dyDescent="0.25">
      <c r="A91" s="375"/>
      <c r="B91" s="809"/>
      <c r="C91" s="1018"/>
      <c r="D91" s="1018"/>
      <c r="E91" s="1018"/>
      <c r="F91" s="1018"/>
      <c r="G91" s="1018"/>
      <c r="H91" s="1018"/>
      <c r="I91" s="375"/>
      <c r="J91" s="669"/>
      <c r="K91" s="669"/>
      <c r="L91" s="547"/>
      <c r="M91" s="547"/>
      <c r="N91" s="547"/>
      <c r="O91" s="547"/>
      <c r="P91" s="547"/>
      <c r="Q91" s="547"/>
      <c r="R91" s="547"/>
    </row>
    <row r="92" spans="1:18" x14ac:dyDescent="0.25">
      <c r="A92" s="375"/>
      <c r="B92" s="809"/>
      <c r="C92" s="1018"/>
      <c r="D92" s="1018"/>
      <c r="E92" s="1018"/>
      <c r="F92" s="1018"/>
      <c r="G92" s="1018"/>
      <c r="H92" s="1018"/>
      <c r="I92" s="375"/>
      <c r="J92" s="669"/>
      <c r="K92" s="669"/>
      <c r="L92" s="547"/>
      <c r="M92" s="547"/>
      <c r="N92" s="547"/>
      <c r="O92" s="547"/>
      <c r="P92" s="547"/>
      <c r="Q92" s="547"/>
      <c r="R92" s="547"/>
    </row>
    <row r="93" spans="1:18" x14ac:dyDescent="0.25">
      <c r="A93" s="375"/>
      <c r="B93" s="809"/>
      <c r="C93" s="1018"/>
      <c r="D93" s="1018"/>
      <c r="E93" s="1018"/>
      <c r="F93" s="1018"/>
      <c r="G93" s="1018"/>
      <c r="H93" s="1018"/>
      <c r="I93" s="375"/>
      <c r="J93" s="669"/>
      <c r="K93" s="669"/>
      <c r="L93" s="547"/>
      <c r="M93" s="547"/>
      <c r="N93" s="547"/>
      <c r="O93" s="547"/>
      <c r="P93" s="547"/>
      <c r="Q93" s="547"/>
      <c r="R93" s="547"/>
    </row>
    <row r="94" spans="1:18" x14ac:dyDescent="0.25">
      <c r="A94" s="375"/>
      <c r="B94" s="809"/>
      <c r="C94" s="1018"/>
      <c r="D94" s="1018"/>
      <c r="E94" s="1018"/>
      <c r="F94" s="1018"/>
      <c r="G94" s="1018"/>
      <c r="H94" s="1018"/>
      <c r="I94" s="375"/>
      <c r="J94" s="669"/>
      <c r="K94" s="669"/>
      <c r="L94" s="547"/>
      <c r="M94" s="547"/>
      <c r="N94" s="547"/>
      <c r="O94" s="547"/>
      <c r="P94" s="547"/>
      <c r="Q94" s="547"/>
      <c r="R94" s="547"/>
    </row>
    <row r="95" spans="1:18" x14ac:dyDescent="0.25">
      <c r="A95" s="375"/>
      <c r="B95" s="809"/>
      <c r="C95" s="1018"/>
      <c r="D95" s="1018"/>
      <c r="E95" s="1018"/>
      <c r="F95" s="1018"/>
      <c r="G95" s="1018"/>
      <c r="H95" s="1018"/>
      <c r="I95" s="375"/>
      <c r="J95" s="669"/>
      <c r="K95" s="669"/>
      <c r="L95" s="547"/>
      <c r="M95" s="547"/>
      <c r="N95" s="547"/>
      <c r="O95" s="547"/>
      <c r="P95" s="547"/>
      <c r="Q95" s="547"/>
      <c r="R95" s="547"/>
    </row>
    <row r="96" spans="1:18" x14ac:dyDescent="0.25">
      <c r="A96" s="375"/>
      <c r="B96" s="809"/>
      <c r="C96" s="1018"/>
      <c r="D96" s="1018"/>
      <c r="E96" s="1018"/>
      <c r="F96" s="1018"/>
      <c r="G96" s="1018"/>
      <c r="H96" s="1018"/>
      <c r="I96" s="375"/>
      <c r="J96" s="669"/>
      <c r="K96" s="669"/>
      <c r="L96" s="547"/>
      <c r="M96" s="547"/>
      <c r="N96" s="547"/>
      <c r="O96" s="547"/>
      <c r="P96" s="547"/>
      <c r="Q96" s="547"/>
      <c r="R96" s="547"/>
    </row>
    <row r="97" spans="1:18" x14ac:dyDescent="0.25">
      <c r="A97" s="375"/>
      <c r="B97" s="809"/>
      <c r="C97" s="1018"/>
      <c r="D97" s="1018"/>
      <c r="E97" s="1018"/>
      <c r="F97" s="1018"/>
      <c r="G97" s="1018"/>
      <c r="H97" s="1018"/>
      <c r="I97" s="375"/>
      <c r="J97" s="669"/>
      <c r="K97" s="669"/>
      <c r="L97" s="547"/>
      <c r="M97" s="547"/>
      <c r="N97" s="547"/>
      <c r="O97" s="547"/>
      <c r="P97" s="547"/>
      <c r="Q97" s="547"/>
      <c r="R97" s="547"/>
    </row>
    <row r="98" spans="1:18" x14ac:dyDescent="0.25">
      <c r="A98" s="375"/>
      <c r="B98" s="809"/>
      <c r="C98" s="1018"/>
      <c r="D98" s="1018"/>
      <c r="E98" s="1018"/>
      <c r="F98" s="1018"/>
      <c r="G98" s="1018"/>
      <c r="H98" s="1018"/>
      <c r="I98" s="375"/>
      <c r="J98" s="669"/>
      <c r="K98" s="669"/>
      <c r="L98" s="547"/>
      <c r="M98" s="547"/>
      <c r="N98" s="547"/>
      <c r="O98" s="547"/>
      <c r="P98" s="547"/>
      <c r="Q98" s="547"/>
      <c r="R98" s="547"/>
    </row>
    <row r="99" spans="1:18" x14ac:dyDescent="0.25">
      <c r="A99" s="375"/>
      <c r="B99" s="809"/>
      <c r="C99" s="1018"/>
      <c r="D99" s="1018"/>
      <c r="E99" s="1018"/>
      <c r="F99" s="1018"/>
      <c r="G99" s="1018"/>
      <c r="H99" s="1018"/>
      <c r="I99" s="375"/>
      <c r="J99" s="669"/>
      <c r="K99" s="669"/>
      <c r="L99" s="547"/>
      <c r="M99" s="547"/>
      <c r="N99" s="547"/>
      <c r="O99" s="547"/>
      <c r="P99" s="547"/>
      <c r="Q99" s="547"/>
      <c r="R99" s="547"/>
    </row>
    <row r="100" spans="1:18" x14ac:dyDescent="0.25">
      <c r="A100" s="375"/>
      <c r="B100" s="809"/>
      <c r="C100" s="1018"/>
      <c r="D100" s="1018"/>
      <c r="E100" s="1018"/>
      <c r="F100" s="1018"/>
      <c r="G100" s="1018"/>
      <c r="H100" s="1018"/>
      <c r="I100" s="375"/>
      <c r="J100" s="669"/>
      <c r="K100" s="669"/>
      <c r="L100" s="547"/>
      <c r="M100" s="547"/>
      <c r="N100" s="547"/>
      <c r="O100" s="547"/>
      <c r="P100" s="547"/>
      <c r="Q100" s="547"/>
      <c r="R100" s="547"/>
    </row>
    <row r="101" spans="1:18" x14ac:dyDescent="0.25">
      <c r="A101" s="375"/>
      <c r="B101" s="809"/>
      <c r="C101" s="1018"/>
      <c r="D101" s="1018"/>
      <c r="E101" s="1018"/>
      <c r="F101" s="1018"/>
      <c r="G101" s="1018"/>
      <c r="H101" s="1018"/>
      <c r="I101" s="375"/>
      <c r="J101" s="669"/>
      <c r="K101" s="669"/>
      <c r="L101" s="547"/>
      <c r="M101" s="547"/>
      <c r="N101" s="547"/>
      <c r="O101" s="547"/>
      <c r="P101" s="547"/>
      <c r="Q101" s="547"/>
      <c r="R101" s="547"/>
    </row>
    <row r="102" spans="1:18" x14ac:dyDescent="0.25">
      <c r="A102" s="375"/>
      <c r="B102" s="809"/>
      <c r="C102" s="1018"/>
      <c r="D102" s="1018"/>
      <c r="E102" s="1018"/>
      <c r="F102" s="1018"/>
      <c r="G102" s="1018"/>
      <c r="H102" s="1018"/>
      <c r="I102" s="375"/>
      <c r="J102" s="669"/>
      <c r="K102" s="669"/>
      <c r="L102" s="547"/>
      <c r="M102" s="547"/>
      <c r="N102" s="547"/>
      <c r="O102" s="547"/>
      <c r="P102" s="547"/>
      <c r="Q102" s="547"/>
      <c r="R102" s="547"/>
    </row>
    <row r="103" spans="1:18" x14ac:dyDescent="0.25">
      <c r="A103" s="375"/>
      <c r="B103" s="809"/>
      <c r="C103" s="1018"/>
      <c r="D103" s="1018"/>
      <c r="E103" s="1018"/>
      <c r="F103" s="1018"/>
      <c r="G103" s="1018"/>
      <c r="H103" s="1018"/>
      <c r="I103" s="375"/>
      <c r="J103" s="669"/>
      <c r="K103" s="669"/>
      <c r="L103" s="547"/>
      <c r="M103" s="547"/>
      <c r="N103" s="547"/>
      <c r="O103" s="547"/>
      <c r="P103" s="547"/>
      <c r="Q103" s="547"/>
      <c r="R103" s="547"/>
    </row>
    <row r="104" spans="1:18" x14ac:dyDescent="0.25">
      <c r="A104" s="375"/>
      <c r="B104" s="809"/>
      <c r="C104" s="1018"/>
      <c r="D104" s="1018"/>
      <c r="E104" s="1018"/>
      <c r="F104" s="1018"/>
      <c r="G104" s="1018"/>
      <c r="H104" s="1018"/>
      <c r="I104" s="375"/>
      <c r="J104" s="669"/>
      <c r="K104" s="669"/>
      <c r="L104" s="547"/>
      <c r="M104" s="547"/>
      <c r="N104" s="547"/>
      <c r="O104" s="547"/>
      <c r="P104" s="547"/>
      <c r="Q104" s="547"/>
      <c r="R104" s="547"/>
    </row>
    <row r="105" spans="1:18" x14ac:dyDescent="0.25">
      <c r="A105" s="375"/>
      <c r="B105" s="809"/>
      <c r="C105" s="1018"/>
      <c r="D105" s="1018"/>
      <c r="E105" s="1018"/>
      <c r="F105" s="1018"/>
      <c r="G105" s="1018"/>
      <c r="H105" s="1018"/>
      <c r="I105" s="375"/>
      <c r="J105" s="669"/>
      <c r="K105" s="669"/>
      <c r="L105" s="547"/>
      <c r="M105" s="547"/>
      <c r="N105" s="547"/>
      <c r="O105" s="547"/>
      <c r="P105" s="547"/>
      <c r="Q105" s="547"/>
      <c r="R105" s="547"/>
    </row>
    <row r="106" spans="1:18" x14ac:dyDescent="0.25">
      <c r="A106" s="375"/>
      <c r="B106" s="809"/>
      <c r="C106" s="1018"/>
      <c r="D106" s="1018"/>
      <c r="E106" s="1018"/>
      <c r="F106" s="1018"/>
      <c r="G106" s="1018"/>
      <c r="H106" s="1018"/>
      <c r="I106" s="375"/>
      <c r="J106" s="669"/>
      <c r="K106" s="669"/>
      <c r="L106" s="547"/>
      <c r="M106" s="547"/>
      <c r="N106" s="547"/>
      <c r="O106" s="547"/>
      <c r="P106" s="547"/>
      <c r="Q106" s="547"/>
      <c r="R106" s="547"/>
    </row>
    <row r="107" spans="1:18" x14ac:dyDescent="0.25">
      <c r="A107" s="375"/>
      <c r="B107" s="809"/>
      <c r="C107" s="1018"/>
      <c r="D107" s="1018"/>
      <c r="E107" s="1018"/>
      <c r="F107" s="1018"/>
      <c r="G107" s="1018"/>
      <c r="H107" s="1018"/>
      <c r="I107" s="375"/>
      <c r="J107" s="669"/>
      <c r="K107" s="669"/>
      <c r="L107" s="547"/>
      <c r="M107" s="547"/>
      <c r="N107" s="547"/>
      <c r="O107" s="547"/>
      <c r="P107" s="547"/>
      <c r="Q107" s="547"/>
      <c r="R107" s="547"/>
    </row>
    <row r="108" spans="1:18" x14ac:dyDescent="0.25">
      <c r="A108" s="375"/>
      <c r="B108" s="809"/>
      <c r="C108" s="1018"/>
      <c r="D108" s="1018"/>
      <c r="E108" s="1018"/>
      <c r="F108" s="1018"/>
      <c r="G108" s="1018"/>
      <c r="H108" s="1018"/>
      <c r="I108" s="375"/>
      <c r="J108" s="669"/>
      <c r="K108" s="669"/>
      <c r="L108" s="547"/>
      <c r="M108" s="547"/>
      <c r="N108" s="547"/>
      <c r="O108" s="547"/>
      <c r="P108" s="547"/>
      <c r="Q108" s="547"/>
      <c r="R108" s="547"/>
    </row>
    <row r="109" spans="1:18" x14ac:dyDescent="0.25">
      <c r="A109" s="375"/>
      <c r="B109" s="809"/>
      <c r="C109" s="1018"/>
      <c r="D109" s="1018"/>
      <c r="E109" s="1018"/>
      <c r="F109" s="1018"/>
      <c r="G109" s="1018"/>
      <c r="H109" s="1018"/>
      <c r="I109" s="375"/>
      <c r="J109" s="669"/>
      <c r="K109" s="669"/>
      <c r="L109" s="547"/>
      <c r="M109" s="547"/>
      <c r="N109" s="547"/>
      <c r="O109" s="547"/>
      <c r="P109" s="547"/>
      <c r="Q109" s="547"/>
      <c r="R109" s="547"/>
    </row>
    <row r="110" spans="1:18" x14ac:dyDescent="0.25">
      <c r="A110" s="375"/>
      <c r="B110" s="809"/>
      <c r="C110" s="1018"/>
      <c r="D110" s="1018"/>
      <c r="E110" s="1018"/>
      <c r="F110" s="1018"/>
      <c r="G110" s="1018"/>
      <c r="H110" s="1018"/>
      <c r="I110" s="375"/>
      <c r="J110" s="669"/>
      <c r="K110" s="669"/>
      <c r="L110" s="547"/>
      <c r="M110" s="547"/>
      <c r="N110" s="547"/>
      <c r="O110" s="547"/>
      <c r="P110" s="547"/>
      <c r="Q110" s="547"/>
      <c r="R110" s="547"/>
    </row>
    <row r="111" spans="1:18" x14ac:dyDescent="0.25">
      <c r="A111" s="375"/>
      <c r="B111" s="809"/>
      <c r="C111" s="1018"/>
      <c r="D111" s="1018"/>
      <c r="E111" s="1018"/>
      <c r="F111" s="1018"/>
      <c r="G111" s="1018"/>
      <c r="H111" s="1018"/>
      <c r="I111" s="375"/>
      <c r="J111" s="669"/>
      <c r="K111" s="669"/>
      <c r="L111" s="547"/>
      <c r="M111" s="547"/>
      <c r="N111" s="547"/>
      <c r="O111" s="547"/>
      <c r="P111" s="547"/>
      <c r="Q111" s="547"/>
      <c r="R111" s="547"/>
    </row>
    <row r="112" spans="1:18" x14ac:dyDescent="0.25">
      <c r="A112" s="375"/>
      <c r="B112" s="809"/>
      <c r="C112" s="1018"/>
      <c r="D112" s="1018"/>
      <c r="E112" s="1018"/>
      <c r="F112" s="1018"/>
      <c r="G112" s="1018"/>
      <c r="H112" s="1018"/>
      <c r="I112" s="375"/>
      <c r="J112" s="669"/>
      <c r="K112" s="669"/>
      <c r="L112" s="547"/>
      <c r="M112" s="547"/>
      <c r="N112" s="547"/>
      <c r="O112" s="547"/>
      <c r="P112" s="547"/>
      <c r="Q112" s="547"/>
      <c r="R112" s="547"/>
    </row>
    <row r="113" spans="1:18" x14ac:dyDescent="0.25">
      <c r="A113" s="375"/>
      <c r="B113" s="809"/>
      <c r="C113" s="1018"/>
      <c r="D113" s="1018"/>
      <c r="E113" s="1018"/>
      <c r="F113" s="1018"/>
      <c r="G113" s="1018"/>
      <c r="H113" s="1018"/>
      <c r="I113" s="375"/>
      <c r="J113" s="669"/>
      <c r="K113" s="669"/>
      <c r="L113" s="547"/>
      <c r="M113" s="547"/>
      <c r="N113" s="547"/>
      <c r="O113" s="547"/>
      <c r="P113" s="547"/>
      <c r="Q113" s="547"/>
      <c r="R113" s="547"/>
    </row>
    <row r="114" spans="1:18" x14ac:dyDescent="0.25">
      <c r="A114" s="375"/>
      <c r="B114" s="809"/>
      <c r="C114" s="1018"/>
      <c r="D114" s="1018"/>
      <c r="E114" s="1018"/>
      <c r="F114" s="1018"/>
      <c r="G114" s="1018"/>
      <c r="H114" s="1018"/>
      <c r="I114" s="375"/>
      <c r="J114" s="669"/>
      <c r="K114" s="669"/>
      <c r="L114" s="547"/>
      <c r="M114" s="547"/>
      <c r="N114" s="547"/>
      <c r="O114" s="547"/>
      <c r="P114" s="547"/>
      <c r="Q114" s="547"/>
      <c r="R114" s="547"/>
    </row>
    <row r="115" spans="1:18" x14ac:dyDescent="0.25">
      <c r="A115" s="375"/>
      <c r="B115" s="809"/>
      <c r="C115" s="1018"/>
      <c r="D115" s="1018"/>
      <c r="E115" s="1018"/>
      <c r="F115" s="1018"/>
      <c r="G115" s="1018"/>
      <c r="H115" s="1018"/>
      <c r="I115" s="375"/>
      <c r="J115" s="669"/>
      <c r="K115" s="669"/>
      <c r="L115" s="547"/>
      <c r="M115" s="547"/>
      <c r="N115" s="547"/>
      <c r="O115" s="547"/>
      <c r="P115" s="547"/>
      <c r="Q115" s="547"/>
      <c r="R115" s="547"/>
    </row>
    <row r="116" spans="1:18" x14ac:dyDescent="0.25">
      <c r="A116" s="375"/>
      <c r="B116" s="809"/>
      <c r="C116" s="1018"/>
      <c r="D116" s="1018"/>
      <c r="E116" s="1018"/>
      <c r="F116" s="1018"/>
      <c r="G116" s="1018"/>
      <c r="H116" s="1018"/>
      <c r="I116" s="375"/>
      <c r="J116" s="669"/>
      <c r="K116" s="669"/>
      <c r="L116" s="547"/>
      <c r="M116" s="547"/>
      <c r="N116" s="547"/>
      <c r="O116" s="547"/>
      <c r="P116" s="547"/>
      <c r="Q116" s="547"/>
      <c r="R116" s="547"/>
    </row>
    <row r="117" spans="1:18" x14ac:dyDescent="0.25">
      <c r="A117" s="375"/>
      <c r="B117" s="809"/>
      <c r="C117" s="1018"/>
      <c r="D117" s="1018"/>
      <c r="E117" s="1018"/>
      <c r="F117" s="1018"/>
      <c r="G117" s="1018"/>
      <c r="H117" s="1018"/>
      <c r="I117" s="375"/>
      <c r="J117" s="669"/>
      <c r="K117" s="669"/>
      <c r="L117" s="547"/>
      <c r="M117" s="547"/>
      <c r="N117" s="547"/>
      <c r="O117" s="547"/>
      <c r="P117" s="547"/>
      <c r="Q117" s="547"/>
      <c r="R117" s="547"/>
    </row>
    <row r="118" spans="1:18" x14ac:dyDescent="0.25">
      <c r="A118" s="375"/>
      <c r="B118" s="809"/>
      <c r="C118" s="1018"/>
      <c r="D118" s="1018"/>
      <c r="E118" s="1018"/>
      <c r="F118" s="1018"/>
      <c r="G118" s="1018"/>
      <c r="H118" s="1018"/>
      <c r="I118" s="375"/>
      <c r="J118" s="669"/>
      <c r="K118" s="669"/>
      <c r="L118" s="547"/>
      <c r="M118" s="547"/>
      <c r="N118" s="547"/>
      <c r="O118" s="547"/>
      <c r="P118" s="547"/>
      <c r="Q118" s="547"/>
      <c r="R118" s="547"/>
    </row>
    <row r="119" spans="1:18" x14ac:dyDescent="0.25">
      <c r="A119" s="375"/>
      <c r="B119" s="809"/>
      <c r="C119" s="1018"/>
      <c r="D119" s="1018"/>
      <c r="E119" s="1018"/>
      <c r="F119" s="1018"/>
      <c r="G119" s="1018"/>
      <c r="H119" s="1018"/>
      <c r="I119" s="375"/>
      <c r="J119" s="669"/>
      <c r="K119" s="669"/>
      <c r="L119" s="547"/>
      <c r="M119" s="547"/>
      <c r="N119" s="547"/>
      <c r="O119" s="547"/>
      <c r="P119" s="547"/>
      <c r="Q119" s="547"/>
      <c r="R119" s="547"/>
    </row>
    <row r="120" spans="1:18" x14ac:dyDescent="0.25">
      <c r="A120" s="375"/>
      <c r="B120" s="809"/>
      <c r="C120" s="1018"/>
      <c r="D120" s="1018"/>
      <c r="E120" s="1018"/>
      <c r="F120" s="1018"/>
      <c r="G120" s="1018"/>
      <c r="H120" s="1018"/>
      <c r="I120" s="375"/>
      <c r="J120" s="669"/>
      <c r="K120" s="669"/>
      <c r="L120" s="547"/>
      <c r="M120" s="547"/>
      <c r="N120" s="547"/>
      <c r="O120" s="547"/>
      <c r="P120" s="547"/>
      <c r="Q120" s="547"/>
      <c r="R120" s="547"/>
    </row>
    <row r="121" spans="1:18" x14ac:dyDescent="0.25">
      <c r="A121" s="375"/>
      <c r="B121" s="809"/>
      <c r="C121" s="1018"/>
      <c r="D121" s="1018"/>
      <c r="E121" s="1018"/>
      <c r="F121" s="1018"/>
      <c r="G121" s="1018"/>
      <c r="H121" s="1018"/>
      <c r="I121" s="375"/>
      <c r="J121" s="669"/>
      <c r="K121" s="669"/>
      <c r="L121" s="547"/>
      <c r="M121" s="547"/>
      <c r="N121" s="547"/>
      <c r="O121" s="547"/>
      <c r="P121" s="547"/>
      <c r="Q121" s="547"/>
      <c r="R121" s="547"/>
    </row>
    <row r="122" spans="1:18" x14ac:dyDescent="0.25">
      <c r="A122" s="375"/>
      <c r="B122" s="809"/>
      <c r="C122" s="1018"/>
      <c r="D122" s="1018"/>
      <c r="E122" s="1018"/>
      <c r="F122" s="1018"/>
      <c r="G122" s="1018"/>
      <c r="H122" s="1018"/>
      <c r="I122" s="375"/>
      <c r="J122" s="669"/>
      <c r="K122" s="669"/>
      <c r="L122" s="547"/>
      <c r="M122" s="547"/>
      <c r="N122" s="547"/>
      <c r="O122" s="547"/>
      <c r="P122" s="547"/>
      <c r="Q122" s="547"/>
      <c r="R122" s="547"/>
    </row>
    <row r="123" spans="1:18" x14ac:dyDescent="0.25">
      <c r="A123" s="375"/>
      <c r="B123" s="809"/>
      <c r="C123" s="1018"/>
      <c r="D123" s="1018"/>
      <c r="E123" s="1018"/>
      <c r="F123" s="1018"/>
      <c r="G123" s="1018"/>
      <c r="H123" s="1018"/>
      <c r="I123" s="375"/>
      <c r="J123" s="669"/>
      <c r="K123" s="669"/>
      <c r="L123" s="547"/>
      <c r="M123" s="547"/>
      <c r="N123" s="547"/>
      <c r="O123" s="547"/>
      <c r="P123" s="547"/>
      <c r="Q123" s="547"/>
      <c r="R123" s="547"/>
    </row>
    <row r="124" spans="1:18" x14ac:dyDescent="0.25">
      <c r="A124" s="375"/>
      <c r="B124" s="809"/>
      <c r="C124" s="1018"/>
      <c r="D124" s="1018"/>
      <c r="E124" s="1018"/>
      <c r="F124" s="1018"/>
      <c r="G124" s="1018"/>
      <c r="H124" s="1018"/>
      <c r="I124" s="375"/>
      <c r="J124" s="669"/>
      <c r="K124" s="669"/>
      <c r="L124" s="547"/>
      <c r="M124" s="547"/>
      <c r="N124" s="547"/>
      <c r="O124" s="547"/>
      <c r="P124" s="547"/>
      <c r="Q124" s="547"/>
      <c r="R124" s="547"/>
    </row>
    <row r="125" spans="1:18" x14ac:dyDescent="0.25">
      <c r="A125" s="375"/>
      <c r="B125" s="809"/>
      <c r="C125" s="1018"/>
      <c r="D125" s="1018"/>
      <c r="E125" s="1018"/>
      <c r="F125" s="1018"/>
      <c r="G125" s="1018"/>
      <c r="H125" s="1018"/>
      <c r="I125" s="375"/>
      <c r="J125" s="669"/>
      <c r="K125" s="669"/>
      <c r="L125" s="547"/>
      <c r="M125" s="547"/>
      <c r="N125" s="547"/>
      <c r="O125" s="547"/>
      <c r="P125" s="547"/>
      <c r="Q125" s="547"/>
      <c r="R125" s="547"/>
    </row>
    <row r="126" spans="1:18" x14ac:dyDescent="0.25">
      <c r="A126" s="375"/>
      <c r="B126" s="809"/>
      <c r="C126" s="1018"/>
      <c r="D126" s="1018"/>
      <c r="E126" s="1018"/>
      <c r="F126" s="1018"/>
      <c r="G126" s="1018"/>
      <c r="H126" s="1018"/>
      <c r="I126" s="375"/>
      <c r="J126" s="669"/>
      <c r="K126" s="669"/>
      <c r="L126" s="547"/>
      <c r="M126" s="547"/>
      <c r="N126" s="547"/>
      <c r="O126" s="547"/>
      <c r="P126" s="547"/>
      <c r="Q126" s="547"/>
      <c r="R126" s="547"/>
    </row>
    <row r="127" spans="1:18" x14ac:dyDescent="0.25">
      <c r="A127" s="375"/>
      <c r="B127" s="809"/>
      <c r="C127" s="1018"/>
      <c r="D127" s="1018"/>
      <c r="E127" s="1018"/>
      <c r="F127" s="1018"/>
      <c r="G127" s="1018"/>
      <c r="H127" s="1018"/>
      <c r="I127" s="375"/>
      <c r="J127" s="669"/>
      <c r="K127" s="669"/>
      <c r="L127" s="547"/>
      <c r="M127" s="547"/>
      <c r="N127" s="547"/>
      <c r="O127" s="547"/>
      <c r="P127" s="547"/>
      <c r="Q127" s="547"/>
      <c r="R127" s="547"/>
    </row>
    <row r="128" spans="1:18" x14ac:dyDescent="0.25">
      <c r="A128" s="375"/>
      <c r="B128" s="809"/>
      <c r="C128" s="1018"/>
      <c r="D128" s="1018"/>
      <c r="E128" s="1018"/>
      <c r="F128" s="1018"/>
      <c r="G128" s="1018"/>
      <c r="H128" s="1018"/>
      <c r="I128" s="375"/>
      <c r="J128" s="669"/>
      <c r="K128" s="669"/>
      <c r="L128" s="547"/>
      <c r="M128" s="547"/>
      <c r="N128" s="547"/>
      <c r="O128" s="547"/>
      <c r="P128" s="547"/>
      <c r="Q128" s="547"/>
      <c r="R128" s="547"/>
    </row>
    <row r="129" spans="1:11" x14ac:dyDescent="0.25">
      <c r="A129" s="376"/>
      <c r="B129" s="383"/>
      <c r="C129" s="380"/>
      <c r="D129" s="380"/>
      <c r="E129" s="380"/>
      <c r="F129" s="380"/>
      <c r="G129" s="380"/>
      <c r="H129" s="380"/>
      <c r="I129" s="376"/>
      <c r="J129" s="233"/>
      <c r="K129" s="233"/>
    </row>
    <row r="130" spans="1:11" x14ac:dyDescent="0.25">
      <c r="A130" s="376"/>
      <c r="B130" s="383"/>
      <c r="C130" s="380"/>
      <c r="D130" s="380"/>
      <c r="E130" s="380"/>
      <c r="F130" s="380"/>
      <c r="G130" s="380"/>
      <c r="H130" s="380"/>
      <c r="I130" s="376"/>
      <c r="J130" s="233"/>
      <c r="K130" s="233"/>
    </row>
    <row r="131" spans="1:11" x14ac:dyDescent="0.25">
      <c r="A131" s="376"/>
      <c r="B131" s="383"/>
      <c r="C131" s="380"/>
      <c r="D131" s="380"/>
      <c r="E131" s="380"/>
      <c r="F131" s="380"/>
      <c r="G131" s="380"/>
      <c r="H131" s="380"/>
      <c r="I131" s="376"/>
      <c r="J131" s="233"/>
      <c r="K131" s="233"/>
    </row>
    <row r="132" spans="1:11" x14ac:dyDescent="0.25">
      <c r="A132" s="376"/>
      <c r="B132" s="383"/>
      <c r="C132" s="380"/>
      <c r="D132" s="380"/>
      <c r="E132" s="380"/>
      <c r="F132" s="380"/>
      <c r="G132" s="380"/>
      <c r="H132" s="380"/>
      <c r="I132" s="376"/>
      <c r="J132" s="233"/>
      <c r="K132" s="233"/>
    </row>
    <row r="133" spans="1:11" x14ac:dyDescent="0.25">
      <c r="A133" s="376"/>
      <c r="B133" s="383"/>
      <c r="C133" s="380"/>
      <c r="D133" s="380"/>
      <c r="E133" s="380"/>
      <c r="F133" s="380"/>
      <c r="G133" s="380"/>
      <c r="H133" s="380"/>
      <c r="I133" s="376"/>
      <c r="J133" s="233"/>
      <c r="K133" s="233"/>
    </row>
    <row r="134" spans="1:11" x14ac:dyDescent="0.25">
      <c r="A134" s="376"/>
      <c r="B134" s="383"/>
      <c r="C134" s="380"/>
      <c r="D134" s="380"/>
      <c r="E134" s="380"/>
      <c r="F134" s="380"/>
      <c r="G134" s="380"/>
      <c r="H134" s="380"/>
      <c r="I134" s="376"/>
      <c r="J134" s="233"/>
      <c r="K134" s="233"/>
    </row>
    <row r="135" spans="1:11" x14ac:dyDescent="0.25">
      <c r="A135" s="376"/>
      <c r="B135" s="383"/>
      <c r="C135" s="380"/>
      <c r="D135" s="380"/>
      <c r="E135" s="380"/>
      <c r="F135" s="380"/>
      <c r="G135" s="380"/>
      <c r="H135" s="380"/>
      <c r="I135" s="376"/>
      <c r="J135" s="233"/>
      <c r="K135" s="233"/>
    </row>
    <row r="136" spans="1:11" x14ac:dyDescent="0.25">
      <c r="A136" s="376"/>
      <c r="B136" s="383"/>
      <c r="C136" s="380"/>
      <c r="D136" s="380"/>
      <c r="E136" s="380"/>
      <c r="F136" s="380"/>
      <c r="G136" s="380"/>
      <c r="H136" s="380"/>
      <c r="I136" s="376"/>
      <c r="J136" s="233"/>
      <c r="K136" s="233"/>
    </row>
    <row r="137" spans="1:11" x14ac:dyDescent="0.25">
      <c r="A137" s="376"/>
      <c r="B137" s="383"/>
      <c r="C137" s="380"/>
      <c r="D137" s="380"/>
      <c r="E137" s="380"/>
      <c r="F137" s="380"/>
      <c r="G137" s="380"/>
      <c r="H137" s="380"/>
      <c r="I137" s="376"/>
      <c r="J137" s="233"/>
      <c r="K137" s="233"/>
    </row>
    <row r="138" spans="1:11" x14ac:dyDescent="0.25">
      <c r="A138" s="376"/>
      <c r="B138" s="383"/>
      <c r="C138" s="380"/>
      <c r="D138" s="380"/>
      <c r="E138" s="380"/>
      <c r="F138" s="380"/>
      <c r="G138" s="380"/>
      <c r="H138" s="380"/>
      <c r="I138" s="376"/>
      <c r="J138" s="233"/>
      <c r="K138" s="233"/>
    </row>
    <row r="139" spans="1:11" x14ac:dyDescent="0.25">
      <c r="A139" s="376"/>
      <c r="B139" s="383"/>
      <c r="C139" s="380"/>
      <c r="D139" s="380"/>
      <c r="E139" s="380"/>
      <c r="F139" s="380"/>
      <c r="G139" s="380"/>
      <c r="H139" s="380"/>
      <c r="I139" s="376"/>
      <c r="J139" s="233"/>
      <c r="K139" s="233"/>
    </row>
    <row r="140" spans="1:11" x14ac:dyDescent="0.25">
      <c r="A140" s="233"/>
      <c r="B140" s="259"/>
      <c r="C140" s="233"/>
      <c r="D140" s="233"/>
      <c r="E140" s="233"/>
      <c r="F140" s="233"/>
      <c r="G140" s="233"/>
      <c r="H140" s="233"/>
      <c r="I140" s="233"/>
      <c r="J140" s="233"/>
      <c r="K140" s="233"/>
    </row>
    <row r="141" spans="1:11" x14ac:dyDescent="0.25">
      <c r="A141" s="233"/>
      <c r="B141" s="259"/>
      <c r="C141" s="233"/>
      <c r="D141" s="233"/>
      <c r="E141" s="233"/>
      <c r="F141" s="233"/>
      <c r="G141" s="233"/>
      <c r="H141" s="233"/>
      <c r="I141" s="233"/>
      <c r="J141" s="233"/>
      <c r="K141" s="233"/>
    </row>
    <row r="142" spans="1:11" x14ac:dyDescent="0.25">
      <c r="A142" s="233"/>
      <c r="B142" s="233"/>
      <c r="C142" s="233"/>
      <c r="D142" s="233"/>
      <c r="E142" s="233"/>
      <c r="F142" s="233"/>
      <c r="G142" s="233"/>
      <c r="H142" s="233"/>
      <c r="I142" s="233"/>
      <c r="J142" s="233"/>
      <c r="K142" s="233"/>
    </row>
    <row r="143" spans="1:11" x14ac:dyDescent="0.25">
      <c r="A143" s="233"/>
      <c r="B143" s="233"/>
      <c r="C143" s="233"/>
      <c r="D143" s="233"/>
      <c r="E143" s="233"/>
      <c r="F143" s="233"/>
      <c r="G143" s="233"/>
      <c r="H143" s="233"/>
      <c r="I143" s="233"/>
      <c r="J143" s="233"/>
      <c r="K143" s="233"/>
    </row>
    <row r="144" spans="1:11" x14ac:dyDescent="0.25">
      <c r="A144" s="233"/>
      <c r="B144" s="233"/>
      <c r="C144" s="233"/>
      <c r="D144" s="233"/>
      <c r="E144" s="233"/>
      <c r="F144" s="233"/>
      <c r="G144" s="233"/>
      <c r="H144" s="233"/>
      <c r="I144" s="233"/>
      <c r="J144" s="233"/>
      <c r="K144" s="233"/>
    </row>
    <row r="145" spans="1:11" x14ac:dyDescent="0.25">
      <c r="A145" s="233"/>
      <c r="B145" s="233"/>
      <c r="C145" s="233"/>
      <c r="D145" s="233"/>
      <c r="E145" s="233"/>
      <c r="F145" s="233"/>
      <c r="G145" s="233"/>
      <c r="H145" s="233"/>
      <c r="I145" s="233"/>
      <c r="J145" s="233"/>
      <c r="K145" s="233"/>
    </row>
    <row r="146" spans="1:11" x14ac:dyDescent="0.25">
      <c r="A146" s="233"/>
      <c r="B146" s="233"/>
      <c r="C146" s="233"/>
      <c r="D146" s="233"/>
      <c r="E146" s="233"/>
      <c r="F146" s="233"/>
      <c r="G146" s="233"/>
      <c r="H146" s="233"/>
      <c r="I146" s="233"/>
      <c r="J146" s="233"/>
      <c r="K146" s="233"/>
    </row>
    <row r="147" spans="1:11" x14ac:dyDescent="0.25">
      <c r="A147" s="233"/>
      <c r="B147" s="233"/>
      <c r="C147" s="233"/>
      <c r="D147" s="233"/>
      <c r="E147" s="233"/>
      <c r="F147" s="233"/>
      <c r="G147" s="233"/>
      <c r="H147" s="233"/>
      <c r="I147" s="233"/>
      <c r="J147" s="233"/>
      <c r="K147" s="233"/>
    </row>
    <row r="148" spans="1:11" x14ac:dyDescent="0.25">
      <c r="A148" s="233"/>
      <c r="B148" s="233"/>
      <c r="C148" s="233"/>
      <c r="D148" s="233"/>
      <c r="E148" s="233"/>
      <c r="F148" s="233"/>
      <c r="G148" s="233"/>
      <c r="H148" s="233"/>
      <c r="I148" s="233"/>
      <c r="J148" s="233"/>
      <c r="K148" s="233"/>
    </row>
    <row r="149" spans="1:11" x14ac:dyDescent="0.25">
      <c r="A149" s="233"/>
      <c r="B149" s="233"/>
      <c r="C149" s="233"/>
      <c r="D149" s="233"/>
      <c r="E149" s="233"/>
      <c r="F149" s="233"/>
      <c r="G149" s="233"/>
      <c r="H149" s="233"/>
      <c r="I149" s="233"/>
      <c r="J149" s="233"/>
      <c r="K149" s="233"/>
    </row>
  </sheetData>
  <customSheetViews>
    <customSheetView guid="{9EA95E61-FCA5-4867-AEB4-B8C24058ACDD}" showGridLines="0" showRowCol="0">
      <selection activeCell="G28" sqref="G28"/>
      <pageMargins left="0.7" right="0.7" top="0.75" bottom="0.75" header="0.3" footer="0.3"/>
      <pageSetup paperSize="9" orientation="portrait" r:id="rId1"/>
    </customSheetView>
  </customSheetViews>
  <mergeCells count="1">
    <mergeCell ref="A1:B1"/>
  </mergeCells>
  <pageMargins left="0.7" right="0.7" top="0.75" bottom="0.75"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32100" r:id="rId5" name="Check Box 4">
              <controlPr defaultSize="0" autoFill="0" autoLine="0" autoPict="0">
                <anchor moveWithCells="1">
                  <from>
                    <xdr:col>1</xdr:col>
                    <xdr:colOff>9525</xdr:colOff>
                    <xdr:row>36</xdr:row>
                    <xdr:rowOff>0</xdr:rowOff>
                  </from>
                  <to>
                    <xdr:col>1</xdr:col>
                    <xdr:colOff>1724025</xdr:colOff>
                    <xdr:row>37</xdr:row>
                    <xdr:rowOff>28575</xdr:rowOff>
                  </to>
                </anchor>
              </controlPr>
            </control>
          </mc:Choice>
        </mc:AlternateContent>
      </controls>
    </mc:Choice>
  </mc:AlternateContent>
  <extLst>
    <ext xmlns:x14="http://schemas.microsoft.com/office/spreadsheetml/2009/9/main" uri="{05C60535-1F16-4fd2-B633-F4F36F0B64E0}">
      <x14:sparklineGroups xmlns:xm="http://schemas.microsoft.com/office/excel/2006/main">
        <x14:sparklineGroup manualMax="0" manualMin="0" type="stacked" displayEmptyCellsAs="gap" negative="1">
          <x14:colorSeries rgb="FF376092"/>
          <x14:colorNegative rgb="FFD00000"/>
          <x14:colorAxis rgb="FF000000"/>
          <x14:colorMarkers rgb="FFD00000"/>
          <x14:colorFirst rgb="FFD00000"/>
          <x14:colorLast rgb="FFD00000"/>
          <x14:colorHigh rgb="FFD00000"/>
          <x14:colorLow rgb="FFD00000"/>
          <x14:sparklines>
            <x14:sparkline>
              <xm:f>Productivity_growth!I68:I79</xm:f>
              <xm:sqref>F20</xm:sqref>
            </x14:sparkline>
            <x14:sparkline>
              <xm:f>Productivity_growth!I69:I80</xm:f>
              <xm:sqref>F21</xm:sqref>
            </x14:sparkline>
            <x14:sparkline>
              <xm:f>Productivity_growth!I70:I81</xm:f>
              <xm:sqref>F22</xm:sqref>
            </x14:sparkline>
            <x14:sparkline>
              <xm:f>Productivity_growth!I71:I82</xm:f>
              <xm:sqref>F23</xm:sqref>
            </x14:sparkline>
            <x14:sparkline>
              <xm:f>Productivity_growth!I72:I83</xm:f>
              <xm:sqref>F24</xm:sqref>
            </x14:sparkline>
            <x14:sparkline>
              <xm:f>Productivity_growth!I73:I84</xm:f>
              <xm:sqref>F25</xm:sqref>
            </x14:sparkline>
            <x14:sparkline>
              <xm:f>Productivity_growth!I74:I85</xm:f>
              <xm:sqref>F26</xm:sqref>
            </x14:sparkline>
            <x14:sparkline>
              <xm:f>Productivity_growth!I75:I86</xm:f>
              <xm:sqref>F27</xm:sqref>
            </x14:sparkline>
            <x14:sparkline>
              <xm:f>Productivity_growth!I76:I87</xm:f>
              <xm:sqref>F28</xm:sqref>
            </x14:sparkline>
            <x14:sparkline>
              <xm:f>Productivity_growth!I77:I88</xm:f>
              <xm:sqref>F29</xm:sqref>
            </x14:sparkline>
            <x14:sparkline>
              <xm:f>Productivity_growth!I78:I89</xm:f>
              <xm:sqref>F30</xm:sqref>
            </x14:sparkline>
            <x14:sparkline>
              <xm:f>Productivity_growth!I79:I90</xm:f>
              <xm:sqref>F31</xm:sqref>
            </x14:sparkline>
            <x14:sparkline>
              <xm:f>Productivity_growth!I80:I91</xm:f>
              <xm:sqref>F32</xm:sqref>
            </x14:sparkline>
            <x14:sparkline>
              <xm:f>Productivity_growth!I69:I80</xm:f>
              <xm:sqref>F33</xm:sqref>
            </x14:sparkline>
            <x14:sparkline>
              <xm:f>Productivity_growth!I70:I81</xm:f>
              <xm:sqref>F34</xm:sqref>
            </x14:sparkline>
            <x14:sparkline>
              <xm:f>Productivity_growth!I71:I82</xm:f>
              <xm:sqref>F35</xm:sqref>
            </x14:sparkline>
            <x14:sparkline>
              <xm:f>Productivity_growth!I72:I83</xm:f>
              <xm:sqref>F36</xm:sqref>
            </x14:sparkline>
            <x14:sparkline>
              <xm:f>Productivity_growth!I73:I84</xm:f>
              <xm:sqref>F37</xm:sqref>
            </x14:sparkline>
            <x14:sparkline>
              <xm:f>Productivity_growth!I74:I85</xm:f>
              <xm:sqref>F38</xm:sqref>
            </x14:sparkline>
            <x14:sparkline>
              <xm:f>Productivity_growth!I74:I85</xm:f>
              <xm:sqref>F54</xm:sqref>
            </x14:sparkline>
            <x14:sparkline>
              <xm:f>Productivity_growth!I75:I86</xm:f>
              <xm:sqref>F55</xm:sqref>
            </x14:sparkline>
            <x14:sparkline>
              <xm:f>Productivity_growth!I76:I87</xm:f>
              <xm:sqref>F56</xm:sqref>
            </x14:sparkline>
            <x14:sparkline>
              <xm:f>Productivity_growth!I77:I88</xm:f>
              <xm:sqref>F57</xm:sqref>
            </x14:sparkline>
            <x14:sparkline>
              <xm:f>Productivity_growth!I78:I89</xm:f>
              <xm:sqref>F58</xm:sqref>
            </x14:sparkline>
            <x14:sparkline>
              <xm:f>Productivity_growth!I79:I90</xm:f>
              <xm:sqref>F59</xm:sqref>
            </x14:sparkline>
            <x14:sparkline>
              <xm:f>Productivity_growth!I80:I91</xm:f>
              <xm:sqref>F60</xm:sqref>
            </x14:sparkline>
          </x14:sparklines>
        </x14:sparklineGroup>
        <x14:sparklineGroup manualMax="0" manualMin="0" type="stacked" displayEmptyCellsAs="gap" negative="1">
          <x14:colorSeries rgb="FF376092"/>
          <x14:colorNegative rgb="FFD00000"/>
          <x14:colorAxis rgb="FF000000"/>
          <x14:colorMarkers rgb="FFD00000"/>
          <x14:colorFirst rgb="FFD00000"/>
          <x14:colorLast rgb="FFD00000"/>
          <x14:colorHigh rgb="FFD00000"/>
          <x14:colorLow rgb="FFD00000"/>
          <x14:sparklines>
            <x14:sparkline>
              <xm:f>Productivity_growth!I74:I79</xm:f>
              <xm:sqref>I80</xm:sqref>
            </x14:sparkline>
          </x14:sparklines>
        </x14:sparklineGroup>
      </x14:sparklineGroup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F30"/>
  <sheetViews>
    <sheetView showGridLines="0" showRowColHeaders="0" zoomScaleNormal="100" workbookViewId="0">
      <selection activeCell="B9" sqref="B9"/>
    </sheetView>
  </sheetViews>
  <sheetFormatPr defaultRowHeight="15" x14ac:dyDescent="0.25"/>
  <cols>
    <col min="2" max="2" width="150.7109375" customWidth="1"/>
  </cols>
  <sheetData>
    <row r="1" spans="1:6" x14ac:dyDescent="0.25">
      <c r="A1" s="1898"/>
      <c r="B1" s="1898"/>
    </row>
    <row r="4" spans="1:6" ht="36" x14ac:dyDescent="0.55000000000000004">
      <c r="B4" s="684" t="s">
        <v>335</v>
      </c>
    </row>
    <row r="5" spans="1:6" ht="15.75" x14ac:dyDescent="0.25">
      <c r="B5" s="1482" t="s">
        <v>335</v>
      </c>
    </row>
    <row r="6" spans="1:6" ht="23.25" x14ac:dyDescent="0.35">
      <c r="A6" s="10"/>
      <c r="B6" s="888" t="s">
        <v>333</v>
      </c>
      <c r="C6" s="11"/>
      <c r="D6" s="11"/>
      <c r="E6" s="10"/>
      <c r="F6" s="10"/>
    </row>
    <row r="7" spans="1:6" ht="23.25" x14ac:dyDescent="0.35">
      <c r="A7" s="10"/>
      <c r="B7" s="888" t="s">
        <v>326</v>
      </c>
      <c r="C7" s="11"/>
      <c r="D7" s="11"/>
      <c r="E7" s="10"/>
      <c r="F7" s="10"/>
    </row>
    <row r="8" spans="1:6" ht="32.25" x14ac:dyDescent="0.4">
      <c r="A8" s="10"/>
      <c r="B8" s="888" t="s">
        <v>327</v>
      </c>
      <c r="C8" s="1"/>
      <c r="D8" s="1"/>
    </row>
    <row r="9" spans="1:6" ht="32.25" x14ac:dyDescent="0.4">
      <c r="B9" s="888" t="s">
        <v>325</v>
      </c>
      <c r="C9" s="1"/>
      <c r="D9" s="1"/>
    </row>
    <row r="10" spans="1:6" ht="23.25" x14ac:dyDescent="0.35">
      <c r="A10" s="10"/>
      <c r="B10" s="888" t="s">
        <v>328</v>
      </c>
      <c r="C10" s="268"/>
      <c r="D10" s="11"/>
      <c r="E10" s="11"/>
    </row>
    <row r="11" spans="1:6" ht="23.25" x14ac:dyDescent="0.35">
      <c r="A11" s="10"/>
      <c r="B11" s="888" t="s">
        <v>330</v>
      </c>
      <c r="C11" s="11"/>
      <c r="D11" s="11"/>
    </row>
    <row r="12" spans="1:6" ht="23.25" x14ac:dyDescent="0.35">
      <c r="A12" s="10"/>
      <c r="B12" s="888" t="s">
        <v>329</v>
      </c>
      <c r="C12" s="11"/>
      <c r="D12" s="11"/>
    </row>
    <row r="13" spans="1:6" ht="32.25" x14ac:dyDescent="0.4">
      <c r="A13" s="10"/>
      <c r="B13" s="888" t="s">
        <v>331</v>
      </c>
      <c r="C13" s="1"/>
      <c r="D13" s="1"/>
    </row>
    <row r="14" spans="1:6" ht="32.25" x14ac:dyDescent="0.4">
      <c r="B14" s="889" t="s">
        <v>332</v>
      </c>
      <c r="C14" s="1"/>
      <c r="D14" s="1"/>
    </row>
    <row r="15" spans="1:6" ht="18" customHeight="1" x14ac:dyDescent="0.4">
      <c r="B15" s="856" t="s">
        <v>537</v>
      </c>
      <c r="C15" s="8"/>
      <c r="D15" s="1"/>
      <c r="E15" s="1"/>
    </row>
    <row r="16" spans="1:6" ht="18" customHeight="1" x14ac:dyDescent="0.4">
      <c r="B16" s="1481" t="s">
        <v>538</v>
      </c>
      <c r="C16" s="8"/>
      <c r="D16" s="1"/>
      <c r="E16" s="1"/>
    </row>
    <row r="17" spans="2:5" ht="18" customHeight="1" x14ac:dyDescent="0.4">
      <c r="B17" s="8"/>
      <c r="C17" s="1"/>
      <c r="D17" s="1"/>
      <c r="E17" s="1"/>
    </row>
    <row r="18" spans="2:5" ht="32.25" x14ac:dyDescent="0.4">
      <c r="C18" s="1"/>
      <c r="D18" s="1"/>
      <c r="E18" s="1"/>
    </row>
    <row r="30" spans="2:5" ht="44.25" x14ac:dyDescent="0.55000000000000004">
      <c r="B30" s="3"/>
    </row>
  </sheetData>
  <customSheetViews>
    <customSheetView guid="{9EA95E61-FCA5-4867-AEB4-B8C24058ACDD}" showGridLines="0" showRowCol="0">
      <selection activeCell="B20" sqref="B20"/>
      <pageMargins left="0.7" right="0.7" top="0.75" bottom="0.75" header="0.3" footer="0.3"/>
      <pageSetup paperSize="9" orientation="portrait" r:id="rId1"/>
    </customSheetView>
  </customSheetViews>
  <mergeCells count="1">
    <mergeCell ref="A1:B1"/>
  </mergeCells>
  <hyperlinks>
    <hyperlink ref="B6" r:id="rId2"/>
    <hyperlink ref="B7" r:id="rId3"/>
    <hyperlink ref="B8" r:id="rId4"/>
    <hyperlink ref="B9" r:id="rId5"/>
    <hyperlink ref="B10" r:id="rId6"/>
    <hyperlink ref="B12" r:id="rId7"/>
    <hyperlink ref="B13" r:id="rId8"/>
    <hyperlink ref="B14" r:id="rId9"/>
    <hyperlink ref="B11" r:id="rId10"/>
  </hyperlinks>
  <pageMargins left="0.7" right="0.7" top="0.75" bottom="0.75" header="0.3" footer="0.3"/>
  <pageSetup paperSize="9" orientation="portrait" r:id="rId11"/>
  <drawing r:id="rId1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G38"/>
  <sheetViews>
    <sheetView showGridLines="0" showRowColHeaders="0" zoomScaleNormal="100" workbookViewId="0">
      <selection activeCell="B9" sqref="B9"/>
    </sheetView>
  </sheetViews>
  <sheetFormatPr defaultRowHeight="15" x14ac:dyDescent="0.25"/>
  <cols>
    <col min="1" max="1" width="9.140625" style="233"/>
    <col min="2" max="2" width="18.140625" style="233" bestFit="1" customWidth="1"/>
    <col min="3" max="3" width="35.140625" style="233" bestFit="1" customWidth="1"/>
    <col min="4" max="16384" width="9.140625" style="233"/>
  </cols>
  <sheetData>
    <row r="1" spans="1:7" x14ac:dyDescent="0.25">
      <c r="B1" s="658"/>
      <c r="C1" s="658"/>
    </row>
    <row r="4" spans="1:7" ht="36" x14ac:dyDescent="0.55000000000000004">
      <c r="B4" s="684" t="s">
        <v>324</v>
      </c>
    </row>
    <row r="5" spans="1:7" ht="36" x14ac:dyDescent="0.55000000000000004">
      <c r="B5" s="684"/>
    </row>
    <row r="6" spans="1:7" x14ac:dyDescent="0.25">
      <c r="B6" s="276" t="s">
        <v>640</v>
      </c>
      <c r="C6" s="276"/>
      <c r="E6" s="1304"/>
    </row>
    <row r="7" spans="1:7" x14ac:dyDescent="0.25">
      <c r="B7" s="276" t="s">
        <v>368</v>
      </c>
      <c r="C7" s="276"/>
    </row>
    <row r="8" spans="1:7" x14ac:dyDescent="0.25">
      <c r="B8" s="276"/>
      <c r="C8" s="276"/>
    </row>
    <row r="9" spans="1:7" x14ac:dyDescent="0.25">
      <c r="B9" s="276"/>
      <c r="C9" s="276"/>
    </row>
    <row r="10" spans="1:7" ht="18" customHeight="1" x14ac:dyDescent="0.25">
      <c r="B10" s="702" t="s">
        <v>369</v>
      </c>
      <c r="C10" s="702" t="s">
        <v>370</v>
      </c>
    </row>
    <row r="11" spans="1:7" ht="18" customHeight="1" x14ac:dyDescent="0.25">
      <c r="B11" s="276" t="s">
        <v>340</v>
      </c>
      <c r="C11" s="276" t="s">
        <v>396</v>
      </c>
    </row>
    <row r="12" spans="1:7" ht="18" customHeight="1" x14ac:dyDescent="0.5">
      <c r="B12" s="293" t="s">
        <v>339</v>
      </c>
      <c r="C12" s="276" t="s">
        <v>397</v>
      </c>
      <c r="D12" s="690"/>
      <c r="E12" s="690"/>
      <c r="F12" s="660"/>
    </row>
    <row r="13" spans="1:7" ht="18" customHeight="1" x14ac:dyDescent="0.35">
      <c r="B13" s="293" t="s">
        <v>337</v>
      </c>
      <c r="C13" s="293" t="s">
        <v>338</v>
      </c>
      <c r="D13" s="10"/>
      <c r="E13" s="10"/>
      <c r="F13" s="10"/>
      <c r="G13" s="10"/>
    </row>
    <row r="14" spans="1:7" ht="18" customHeight="1" x14ac:dyDescent="0.35">
      <c r="A14" s="10"/>
      <c r="B14" s="293" t="s">
        <v>247</v>
      </c>
      <c r="C14" s="293" t="s">
        <v>407</v>
      </c>
      <c r="D14" s="10"/>
      <c r="E14" s="10"/>
      <c r="F14" s="10"/>
      <c r="G14" s="10"/>
    </row>
    <row r="15" spans="1:7" ht="18" customHeight="1" x14ac:dyDescent="0.35">
      <c r="A15" s="10"/>
      <c r="B15" s="276" t="s">
        <v>336</v>
      </c>
      <c r="C15" s="276" t="s">
        <v>403</v>
      </c>
      <c r="D15" s="10"/>
      <c r="E15" s="10"/>
      <c r="F15" s="10"/>
      <c r="G15" s="10"/>
    </row>
    <row r="16" spans="1:7" ht="18" customHeight="1" x14ac:dyDescent="0.5">
      <c r="A16" s="10"/>
      <c r="B16" s="276" t="s">
        <v>341</v>
      </c>
      <c r="C16" s="276" t="s">
        <v>342</v>
      </c>
      <c r="D16" s="690"/>
      <c r="E16" s="690"/>
    </row>
    <row r="17" spans="1:5" ht="18" customHeight="1" x14ac:dyDescent="0.5">
      <c r="A17" s="10"/>
      <c r="B17" s="276" t="s">
        <v>139</v>
      </c>
      <c r="C17" s="276" t="s">
        <v>405</v>
      </c>
      <c r="D17" s="690"/>
      <c r="E17" s="690"/>
    </row>
    <row r="18" spans="1:5" ht="18" customHeight="1" x14ac:dyDescent="0.35">
      <c r="B18" s="293" t="s">
        <v>92</v>
      </c>
      <c r="C18" s="276" t="s">
        <v>404</v>
      </c>
      <c r="D18" s="10"/>
      <c r="E18" s="10"/>
    </row>
    <row r="19" spans="1:5" ht="18" customHeight="1" x14ac:dyDescent="0.35">
      <c r="A19" s="10"/>
      <c r="B19" s="604" t="s">
        <v>371</v>
      </c>
      <c r="C19" s="293" t="s">
        <v>402</v>
      </c>
      <c r="D19" s="10"/>
      <c r="E19" s="10"/>
    </row>
    <row r="20" spans="1:5" ht="18" customHeight="1" x14ac:dyDescent="0.35">
      <c r="A20" s="10"/>
      <c r="B20" s="276" t="s">
        <v>248</v>
      </c>
      <c r="C20" s="276" t="s">
        <v>408</v>
      </c>
      <c r="D20" s="10"/>
      <c r="E20" s="10"/>
    </row>
    <row r="21" spans="1:5" ht="18" customHeight="1" x14ac:dyDescent="0.5">
      <c r="A21" s="10"/>
      <c r="B21" s="276" t="s">
        <v>660</v>
      </c>
      <c r="C21" s="276" t="s">
        <v>661</v>
      </c>
      <c r="D21" s="690"/>
      <c r="E21" s="690"/>
    </row>
    <row r="22" spans="1:5" ht="18" customHeight="1" x14ac:dyDescent="0.5">
      <c r="A22" s="10"/>
      <c r="D22" s="690"/>
      <c r="E22" s="690"/>
    </row>
    <row r="23" spans="1:5" ht="18" customHeight="1" x14ac:dyDescent="0.5">
      <c r="A23" s="10"/>
      <c r="B23" s="9"/>
      <c r="D23" s="690"/>
      <c r="E23" s="690"/>
    </row>
    <row r="24" spans="1:5" ht="18" customHeight="1" x14ac:dyDescent="0.5">
      <c r="D24" s="690"/>
      <c r="E24" s="690"/>
    </row>
    <row r="25" spans="1:5" ht="18" customHeight="1" x14ac:dyDescent="0.5">
      <c r="B25" s="690"/>
      <c r="C25" s="690"/>
      <c r="D25" s="690"/>
      <c r="E25" s="690"/>
    </row>
    <row r="26" spans="1:5" ht="33.75" x14ac:dyDescent="0.5">
      <c r="C26" s="690"/>
      <c r="D26" s="690"/>
      <c r="E26" s="690"/>
    </row>
    <row r="38" spans="2:2" ht="46.5" x14ac:dyDescent="0.7">
      <c r="B38" s="683"/>
    </row>
  </sheetData>
  <sortState ref="B6:C12">
    <sortCondition ref="B6"/>
  </sortState>
  <customSheetViews>
    <customSheetView guid="{9EA95E61-FCA5-4867-AEB4-B8C24058ACDD}" showGridLines="0" showRowCol="0">
      <selection activeCell="G32" sqref="G32"/>
      <pageMargins left="0.7" right="0.7" top="0.75" bottom="0.75" header="0.3" footer="0.3"/>
      <pageSetup paperSize="9" orientation="portrait" r:id="rId1"/>
    </customSheetView>
  </customSheetViews>
  <pageMargins left="0.7" right="0.7" top="0.75" bottom="0.75" header="0.3" footer="0.3"/>
  <pageSetup paperSize="9" orientation="portrait" r:id="rId2"/>
  <drawing r:id="rId3"/>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dimension ref="A1:U93"/>
  <sheetViews>
    <sheetView showRowColHeaders="0" topLeftCell="A7" zoomScaleNormal="100" workbookViewId="0">
      <selection activeCell="C29" sqref="C29"/>
    </sheetView>
  </sheetViews>
  <sheetFormatPr defaultRowHeight="15" x14ac:dyDescent="0.25"/>
  <cols>
    <col min="2" max="2" width="18" customWidth="1"/>
    <col min="3" max="9" width="12" customWidth="1"/>
    <col min="10" max="10" width="28.28515625" customWidth="1"/>
    <col min="11" max="11" width="32.7109375" customWidth="1"/>
    <col min="12" max="12" width="16.28515625" customWidth="1"/>
    <col min="13" max="13" width="26.28515625" bestFit="1" customWidth="1"/>
    <col min="14" max="14" width="16.28515625" bestFit="1" customWidth="1"/>
    <col min="15" max="15" width="22.5703125" bestFit="1" customWidth="1"/>
    <col min="16" max="16" width="21.28515625" bestFit="1" customWidth="1"/>
    <col min="17" max="17" width="22.28515625" bestFit="1" customWidth="1"/>
  </cols>
  <sheetData>
    <row r="1" spans="1:21" x14ac:dyDescent="0.25">
      <c r="A1" s="1898" t="s">
        <v>323</v>
      </c>
      <c r="B1" s="1898"/>
    </row>
    <row r="4" spans="1:21" ht="30" x14ac:dyDescent="0.4">
      <c r="B4" s="2" t="s">
        <v>375</v>
      </c>
    </row>
    <row r="5" spans="1:21" x14ac:dyDescent="0.25">
      <c r="B5" s="274"/>
      <c r="C5" s="276"/>
      <c r="D5" s="276"/>
      <c r="E5" s="276"/>
      <c r="F5" s="276"/>
      <c r="G5" s="276"/>
      <c r="H5" s="276"/>
    </row>
    <row r="6" spans="1:21" x14ac:dyDescent="0.25">
      <c r="B6" s="293" t="s">
        <v>379</v>
      </c>
      <c r="C6" s="293"/>
      <c r="D6" s="293"/>
      <c r="E6" s="276"/>
      <c r="F6" s="276"/>
      <c r="G6" s="276"/>
      <c r="H6" s="276"/>
      <c r="R6" s="8"/>
      <c r="S6" s="8"/>
      <c r="T6" s="8"/>
      <c r="U6" s="8"/>
    </row>
    <row r="7" spans="1:21" x14ac:dyDescent="0.25">
      <c r="B7" s="293"/>
      <c r="C7" s="293"/>
      <c r="D7" s="293">
        <v>1</v>
      </c>
      <c r="E7" s="276"/>
      <c r="F7" s="276"/>
      <c r="G7" s="276"/>
      <c r="H7" s="276"/>
      <c r="R7" s="8"/>
      <c r="S7" s="8"/>
      <c r="T7" s="8"/>
      <c r="U7" s="8"/>
    </row>
    <row r="8" spans="1:21" x14ac:dyDescent="0.25">
      <c r="B8" s="293"/>
      <c r="C8" s="293"/>
      <c r="D8" s="293"/>
      <c r="E8" s="276"/>
      <c r="F8" s="276"/>
      <c r="G8" s="276"/>
      <c r="H8" s="276"/>
      <c r="R8" s="8"/>
      <c r="S8" s="8"/>
      <c r="T8" s="8"/>
      <c r="U8" s="8"/>
    </row>
    <row r="9" spans="1:21" x14ac:dyDescent="0.25">
      <c r="B9" s="293"/>
      <c r="C9" s="293"/>
      <c r="D9" s="293"/>
      <c r="E9" s="276"/>
      <c r="F9" s="276"/>
      <c r="G9" s="276"/>
      <c r="H9" s="276"/>
      <c r="R9" s="8"/>
      <c r="S9" s="8"/>
      <c r="T9" s="8"/>
      <c r="U9" s="8"/>
    </row>
    <row r="10" spans="1:21" x14ac:dyDescent="0.25">
      <c r="B10" s="293"/>
      <c r="C10" s="293"/>
      <c r="D10" s="293"/>
      <c r="E10" s="276"/>
      <c r="F10" s="276"/>
      <c r="G10" s="276"/>
      <c r="H10" s="276"/>
      <c r="R10" s="8"/>
      <c r="S10" s="8"/>
      <c r="T10" s="8"/>
      <c r="U10" s="8"/>
    </row>
    <row r="11" spans="1:21" x14ac:dyDescent="0.25">
      <c r="B11" s="293"/>
      <c r="C11" s="293"/>
      <c r="D11" s="293"/>
      <c r="E11" s="276"/>
      <c r="F11" s="276"/>
      <c r="G11" s="276"/>
      <c r="H11" s="276"/>
      <c r="R11" s="8"/>
      <c r="S11" s="8"/>
      <c r="T11" s="8"/>
      <c r="U11" s="8"/>
    </row>
    <row r="12" spans="1:21" x14ac:dyDescent="0.25">
      <c r="B12" s="293" t="s">
        <v>297</v>
      </c>
      <c r="C12" s="293">
        <v>11981995</v>
      </c>
      <c r="D12" s="293">
        <v>14214691</v>
      </c>
      <c r="E12" s="276">
        <v>15833718</v>
      </c>
      <c r="F12" s="276">
        <v>18565596</v>
      </c>
      <c r="G12" s="276">
        <v>20184852</v>
      </c>
      <c r="H12" s="276">
        <v>22017445</v>
      </c>
      <c r="I12">
        <v>23931309</v>
      </c>
      <c r="R12" s="8"/>
      <c r="S12" s="8"/>
      <c r="T12" s="8"/>
      <c r="U12" s="8"/>
    </row>
    <row r="13" spans="1:21" x14ac:dyDescent="0.25">
      <c r="B13" s="274"/>
      <c r="C13" s="274"/>
      <c r="D13" s="274"/>
      <c r="E13" s="274"/>
      <c r="F13" s="274"/>
      <c r="G13" s="274"/>
      <c r="H13" s="274"/>
      <c r="I13" s="8"/>
      <c r="R13" s="8"/>
      <c r="S13" s="8"/>
      <c r="T13" s="8"/>
      <c r="U13" s="8"/>
    </row>
    <row r="14" spans="1:21" x14ac:dyDescent="0.25">
      <c r="B14" s="274"/>
      <c r="C14" s="274"/>
      <c r="D14" s="274"/>
      <c r="E14" s="274"/>
      <c r="F14" s="274"/>
      <c r="G14" s="274"/>
      <c r="H14" s="274"/>
      <c r="I14" s="8"/>
      <c r="J14">
        <v>3</v>
      </c>
      <c r="R14" s="8"/>
      <c r="S14" s="8"/>
      <c r="T14" s="8"/>
      <c r="U14" s="8"/>
    </row>
    <row r="15" spans="1:21" x14ac:dyDescent="0.25">
      <c r="B15" s="274"/>
      <c r="C15" s="274"/>
      <c r="D15" s="274"/>
      <c r="E15" s="274"/>
      <c r="F15" s="274"/>
      <c r="G15" s="274"/>
      <c r="H15" s="274"/>
      <c r="I15" s="8"/>
      <c r="R15" s="8"/>
      <c r="S15" s="8"/>
      <c r="T15" s="8"/>
      <c r="U15" s="8"/>
    </row>
    <row r="16" spans="1:21" x14ac:dyDescent="0.25">
      <c r="B16" s="274" t="s">
        <v>214</v>
      </c>
      <c r="C16" s="274" t="s">
        <v>192</v>
      </c>
      <c r="D16" s="274" t="s">
        <v>193</v>
      </c>
      <c r="E16" s="274" t="s">
        <v>194</v>
      </c>
      <c r="F16" s="274" t="s">
        <v>195</v>
      </c>
      <c r="G16" s="274" t="s">
        <v>196</v>
      </c>
      <c r="H16" s="274" t="s">
        <v>6</v>
      </c>
      <c r="I16" s="8" t="s">
        <v>7</v>
      </c>
      <c r="R16" s="8"/>
      <c r="S16" s="8"/>
      <c r="T16" s="8"/>
      <c r="U16" s="8"/>
    </row>
    <row r="17" spans="1:21" x14ac:dyDescent="0.25">
      <c r="B17" s="274" t="s">
        <v>215</v>
      </c>
      <c r="C17" s="274">
        <v>31334252.480110005</v>
      </c>
      <c r="D17" s="274">
        <v>33926746.314999998</v>
      </c>
      <c r="E17" s="274">
        <v>35177509.125</v>
      </c>
      <c r="F17" s="274">
        <v>36539983.701629996</v>
      </c>
      <c r="G17" s="274">
        <v>39213453.649081036</v>
      </c>
      <c r="H17" s="274">
        <v>42145100.102129996</v>
      </c>
      <c r="I17" s="8">
        <v>43513839</v>
      </c>
      <c r="J17">
        <f>C17/C27</f>
        <v>0.82000890608516352</v>
      </c>
      <c r="K17">
        <f t="shared" ref="K17:O24" si="0">D17/D27</f>
        <v>0.85854933495649211</v>
      </c>
      <c r="L17">
        <f t="shared" si="0"/>
        <v>0.89374985851557864</v>
      </c>
      <c r="M17">
        <f t="shared" si="0"/>
        <v>0.92446405985302782</v>
      </c>
      <c r="N17">
        <f t="shared" si="0"/>
        <v>0.9517686714348732</v>
      </c>
      <c r="O17">
        <f t="shared" si="0"/>
        <v>0.97093136095156707</v>
      </c>
      <c r="P17">
        <f t="shared" ref="P17:P24" si="1">I17/I27</f>
        <v>1</v>
      </c>
      <c r="R17" s="8"/>
      <c r="S17" s="8"/>
      <c r="T17" s="8"/>
      <c r="U17" s="8"/>
    </row>
    <row r="18" spans="1:21" x14ac:dyDescent="0.25">
      <c r="B18" s="274" t="s">
        <v>216</v>
      </c>
      <c r="C18" s="274">
        <v>1557282.4487299998</v>
      </c>
      <c r="D18" s="274">
        <v>1459935.5</v>
      </c>
      <c r="E18" s="274">
        <v>1185244</v>
      </c>
      <c r="F18" s="274">
        <v>1354520.29837</v>
      </c>
      <c r="G18" s="274">
        <v>1895451.8837600001</v>
      </c>
      <c r="H18" s="274">
        <v>2195295.3909299998</v>
      </c>
      <c r="I18" s="8">
        <v>2127889</v>
      </c>
      <c r="J18">
        <f t="shared" ref="J18:J24" si="2">C18/C28</f>
        <v>0.93301957651469847</v>
      </c>
      <c r="K18">
        <f t="shared" si="0"/>
        <v>1.0133233616058415</v>
      </c>
      <c r="L18">
        <f t="shared" si="0"/>
        <v>1.0878658630048472</v>
      </c>
      <c r="M18">
        <f t="shared" si="0"/>
        <v>1.0374918414074443</v>
      </c>
      <c r="N18">
        <f t="shared" si="0"/>
        <v>0.95301421777443041</v>
      </c>
      <c r="O18">
        <f t="shared" si="0"/>
        <v>0.92480567620738297</v>
      </c>
      <c r="P18">
        <f t="shared" si="1"/>
        <v>1</v>
      </c>
      <c r="R18" s="8"/>
      <c r="S18" s="8"/>
      <c r="T18" s="8"/>
      <c r="U18" s="8"/>
    </row>
    <row r="19" spans="1:21" x14ac:dyDescent="0.25">
      <c r="B19" s="274" t="s">
        <v>217</v>
      </c>
      <c r="C19" s="274"/>
      <c r="D19" s="274">
        <v>10271344</v>
      </c>
      <c r="E19" s="274">
        <v>11378727</v>
      </c>
      <c r="F19" s="274">
        <v>13036200</v>
      </c>
      <c r="G19" s="274">
        <v>13991803</v>
      </c>
      <c r="H19" s="274">
        <v>14911074</v>
      </c>
      <c r="I19" s="8">
        <v>16077609</v>
      </c>
      <c r="J19">
        <f t="shared" si="2"/>
        <v>0</v>
      </c>
      <c r="K19">
        <f t="shared" si="0"/>
        <v>0.96444200480787012</v>
      </c>
      <c r="L19">
        <f t="shared" si="0"/>
        <v>0.97748139463543204</v>
      </c>
      <c r="M19">
        <f t="shared" si="0"/>
        <v>0.97523316403400284</v>
      </c>
      <c r="N19">
        <f t="shared" si="0"/>
        <v>0.98948372543825691</v>
      </c>
      <c r="O19">
        <f t="shared" si="0"/>
        <v>0.96650202183661793</v>
      </c>
      <c r="P19">
        <f t="shared" si="1"/>
        <v>1.0000003109916129</v>
      </c>
      <c r="R19" s="8"/>
      <c r="S19" s="8"/>
      <c r="T19" s="8"/>
      <c r="U19" s="8"/>
    </row>
    <row r="20" spans="1:21" x14ac:dyDescent="0.25">
      <c r="B20" s="274" t="s">
        <v>47</v>
      </c>
      <c r="C20" s="274">
        <v>5115514.2809764491</v>
      </c>
      <c r="D20" s="274">
        <v>5839664.3710000003</v>
      </c>
      <c r="E20" s="274">
        <v>6568362.6799999997</v>
      </c>
      <c r="F20" s="274">
        <v>7784592.0729</v>
      </c>
      <c r="G20" s="274">
        <v>7426030.9178999998</v>
      </c>
      <c r="H20" s="274">
        <v>7635390.1285600001</v>
      </c>
      <c r="I20" s="8">
        <v>8025361</v>
      </c>
      <c r="J20">
        <f t="shared" si="2"/>
        <v>1.5463901484072269</v>
      </c>
      <c r="K20">
        <f t="shared" si="0"/>
        <v>1.631794655621241</v>
      </c>
      <c r="L20">
        <f t="shared" si="0"/>
        <v>1.56737283158855</v>
      </c>
      <c r="M20">
        <f t="shared" si="0"/>
        <v>1.8136208485534422</v>
      </c>
      <c r="N20">
        <f t="shared" si="0"/>
        <v>1.8590322953320608</v>
      </c>
      <c r="O20">
        <f t="shared" si="0"/>
        <v>1.9290880057685249</v>
      </c>
      <c r="P20">
        <f t="shared" si="1"/>
        <v>2.0612869454617</v>
      </c>
      <c r="R20" s="8"/>
      <c r="S20" s="8"/>
      <c r="T20" s="8"/>
      <c r="U20" s="8"/>
    </row>
    <row r="21" spans="1:21" x14ac:dyDescent="0.25">
      <c r="A21" s="6"/>
      <c r="B21" s="274" t="s">
        <v>136</v>
      </c>
      <c r="C21" s="274">
        <v>8094174.9440000001</v>
      </c>
      <c r="D21" s="274">
        <v>8013483.2259999998</v>
      </c>
      <c r="E21" s="274">
        <v>8250323.8930000002</v>
      </c>
      <c r="F21" s="274">
        <v>8303500.9179999996</v>
      </c>
      <c r="G21" s="274">
        <v>8376264.432</v>
      </c>
      <c r="H21" s="274">
        <v>8621421.1300000008</v>
      </c>
      <c r="I21" s="8">
        <v>8880735.3440000005</v>
      </c>
      <c r="J21">
        <f t="shared" si="2"/>
        <v>1.3646999999999989</v>
      </c>
      <c r="K21">
        <f t="shared" si="0"/>
        <v>1.2301000000000004</v>
      </c>
      <c r="L21">
        <f t="shared" si="0"/>
        <v>1.1880999999999999</v>
      </c>
      <c r="M21">
        <f t="shared" si="0"/>
        <v>1.1139000000000006</v>
      </c>
      <c r="N21">
        <f t="shared" si="0"/>
        <v>1.0566000000000002</v>
      </c>
      <c r="O21">
        <f t="shared" si="0"/>
        <v>1.0169999999999999</v>
      </c>
      <c r="P21">
        <f t="shared" si="1"/>
        <v>1</v>
      </c>
      <c r="R21" s="8"/>
      <c r="S21" s="8"/>
      <c r="T21" s="8"/>
      <c r="U21" s="8"/>
    </row>
    <row r="22" spans="1:21" x14ac:dyDescent="0.25">
      <c r="A22" s="5"/>
      <c r="B22" s="274" t="s">
        <v>218</v>
      </c>
      <c r="C22" s="274">
        <v>9569836</v>
      </c>
      <c r="D22" s="274">
        <v>11162141</v>
      </c>
      <c r="E22" s="274">
        <v>11209422</v>
      </c>
      <c r="F22" s="274">
        <v>11697639</v>
      </c>
      <c r="G22" s="274">
        <v>12074672</v>
      </c>
      <c r="H22" s="274">
        <v>12683418</v>
      </c>
      <c r="I22" s="8">
        <v>12962081</v>
      </c>
      <c r="J22">
        <f t="shared" si="2"/>
        <v>0.82000890941447302</v>
      </c>
      <c r="K22">
        <f t="shared" si="0"/>
        <v>0.85854932815695328</v>
      </c>
      <c r="L22">
        <f t="shared" si="0"/>
        <v>0.89374985061138823</v>
      </c>
      <c r="M22">
        <f t="shared" si="0"/>
        <v>0.92503109538278672</v>
      </c>
      <c r="N22">
        <f t="shared" si="0"/>
        <v>0.95278203890582247</v>
      </c>
      <c r="O22">
        <f t="shared" si="0"/>
        <v>0.96993210475266722</v>
      </c>
      <c r="P22">
        <f t="shared" si="1"/>
        <v>1</v>
      </c>
      <c r="R22" s="8"/>
      <c r="S22" s="8"/>
      <c r="T22" s="8"/>
      <c r="U22" s="8"/>
    </row>
    <row r="23" spans="1:21" x14ac:dyDescent="0.25">
      <c r="A23" s="5"/>
      <c r="B23" s="274" t="s">
        <v>378</v>
      </c>
      <c r="C23" s="274">
        <v>278000</v>
      </c>
      <c r="D23" s="274">
        <v>262000</v>
      </c>
      <c r="E23" s="274">
        <v>229000</v>
      </c>
      <c r="F23" s="274">
        <v>226000</v>
      </c>
      <c r="G23" s="274">
        <v>242958</v>
      </c>
      <c r="H23" s="274">
        <v>241608</v>
      </c>
      <c r="I23" s="8">
        <v>212245</v>
      </c>
      <c r="J23">
        <f t="shared" si="2"/>
        <v>0.83941429233346354</v>
      </c>
      <c r="K23">
        <f t="shared" si="0"/>
        <v>0.87047262114980151</v>
      </c>
      <c r="L23">
        <f t="shared" si="0"/>
        <v>0.90268010813234401</v>
      </c>
      <c r="M23">
        <f t="shared" si="0"/>
        <v>0.928857831268182</v>
      </c>
      <c r="N23">
        <f t="shared" si="0"/>
        <v>0.96508518124298448</v>
      </c>
      <c r="O23">
        <f t="shared" si="0"/>
        <v>0.97087408975569023</v>
      </c>
      <c r="P23">
        <f t="shared" si="1"/>
        <v>0.99999854884895745</v>
      </c>
      <c r="R23" s="8"/>
      <c r="S23" s="8"/>
      <c r="T23" s="8"/>
      <c r="U23" s="8"/>
    </row>
    <row r="24" spans="1:21" x14ac:dyDescent="0.25">
      <c r="A24" s="5"/>
      <c r="B24" s="274" t="s">
        <v>220</v>
      </c>
      <c r="C24" s="274">
        <v>64707050.153816454</v>
      </c>
      <c r="D24" s="274">
        <v>70935314.412</v>
      </c>
      <c r="E24" s="274">
        <v>73998588.697999999</v>
      </c>
      <c r="F24" s="274">
        <v>78942435.990899995</v>
      </c>
      <c r="G24" s="274">
        <v>83220633.882741034</v>
      </c>
      <c r="H24" s="274">
        <v>88433306.751619995</v>
      </c>
      <c r="I24" s="8">
        <v>91799759.343999997</v>
      </c>
      <c r="J24">
        <f t="shared" si="2"/>
        <v>0.92398754211427647</v>
      </c>
      <c r="K24">
        <f t="shared" si="0"/>
        <v>0.9457731236197332</v>
      </c>
      <c r="L24">
        <f t="shared" si="0"/>
        <v>0.9734049953224202</v>
      </c>
      <c r="M24">
        <f t="shared" si="0"/>
        <v>1.0013737611163214</v>
      </c>
      <c r="N24">
        <f t="shared" si="0"/>
        <v>1.0127001628735577</v>
      </c>
      <c r="O24">
        <f t="shared" si="0"/>
        <v>1.0168330812171793</v>
      </c>
      <c r="P24">
        <f t="shared" si="1"/>
        <v>1.0471323931550542</v>
      </c>
      <c r="R24" s="8"/>
      <c r="S24" s="8"/>
      <c r="T24" s="8"/>
      <c r="U24" s="8"/>
    </row>
    <row r="25" spans="1:21" x14ac:dyDescent="0.25">
      <c r="A25" s="5"/>
      <c r="B25" s="274"/>
      <c r="C25" s="274"/>
      <c r="D25" s="274"/>
      <c r="E25" s="274"/>
      <c r="F25" s="274"/>
      <c r="G25" s="274"/>
      <c r="H25" s="274"/>
      <c r="I25" s="8"/>
      <c r="R25" s="8"/>
      <c r="S25" s="8"/>
      <c r="T25" s="8"/>
      <c r="U25" s="8"/>
    </row>
    <row r="26" spans="1:21" x14ac:dyDescent="0.25">
      <c r="A26" s="5"/>
      <c r="B26" s="274" t="s">
        <v>221</v>
      </c>
      <c r="C26" s="274"/>
      <c r="D26" s="274"/>
      <c r="E26" s="274"/>
      <c r="F26" s="274"/>
      <c r="G26" s="274"/>
      <c r="H26" s="274"/>
      <c r="I26" s="8"/>
      <c r="R26" s="8"/>
      <c r="S26" s="8"/>
      <c r="T26" s="8"/>
      <c r="U26" s="8"/>
    </row>
    <row r="27" spans="1:21" x14ac:dyDescent="0.25">
      <c r="A27" s="5"/>
      <c r="B27" s="274" t="s">
        <v>215</v>
      </c>
      <c r="C27" s="274">
        <v>38212088</v>
      </c>
      <c r="D27" s="274">
        <v>39516362</v>
      </c>
      <c r="E27" s="274">
        <v>39359457</v>
      </c>
      <c r="F27" s="274">
        <v>39525586</v>
      </c>
      <c r="G27" s="274">
        <v>41200614</v>
      </c>
      <c r="H27" s="274">
        <v>43406879</v>
      </c>
      <c r="I27" s="8">
        <v>43513839</v>
      </c>
      <c r="R27" s="8"/>
      <c r="S27" s="8"/>
      <c r="T27" s="8"/>
      <c r="U27" s="8"/>
    </row>
    <row r="28" spans="1:21" x14ac:dyDescent="0.25">
      <c r="A28" s="5"/>
      <c r="B28" s="274" t="s">
        <v>216</v>
      </c>
      <c r="C28" s="274">
        <v>1669078</v>
      </c>
      <c r="D28" s="274">
        <v>1440740</v>
      </c>
      <c r="E28" s="274">
        <v>1089513</v>
      </c>
      <c r="F28" s="274">
        <v>1305572</v>
      </c>
      <c r="G28" s="274">
        <v>1988902</v>
      </c>
      <c r="H28" s="274">
        <v>2373791</v>
      </c>
      <c r="I28" s="8">
        <v>2127889</v>
      </c>
    </row>
    <row r="29" spans="1:21" x14ac:dyDescent="0.25">
      <c r="A29" s="5"/>
      <c r="B29" s="274" t="s">
        <v>217</v>
      </c>
      <c r="C29" s="274">
        <v>8908327</v>
      </c>
      <c r="D29" s="274">
        <v>10650038</v>
      </c>
      <c r="E29" s="274">
        <v>11640863</v>
      </c>
      <c r="F29" s="274">
        <v>13367264.856002657</v>
      </c>
      <c r="G29" s="274">
        <v>14140508.469508</v>
      </c>
      <c r="H29" s="274">
        <v>15427876.675999999</v>
      </c>
      <c r="I29" s="8">
        <v>16077604</v>
      </c>
    </row>
    <row r="30" spans="1:21" x14ac:dyDescent="0.25">
      <c r="B30" s="274" t="s">
        <v>47</v>
      </c>
      <c r="C30" s="274">
        <v>3308036</v>
      </c>
      <c r="D30" s="274">
        <v>3578676</v>
      </c>
      <c r="E30" s="274">
        <v>4190683</v>
      </c>
      <c r="F30" s="274">
        <v>4292293</v>
      </c>
      <c r="G30" s="274">
        <v>3994568</v>
      </c>
      <c r="H30" s="274">
        <v>3958031</v>
      </c>
      <c r="I30" s="8">
        <v>3893374</v>
      </c>
    </row>
    <row r="31" spans="1:21" x14ac:dyDescent="0.25">
      <c r="B31" s="274" t="s">
        <v>136</v>
      </c>
      <c r="C31" s="274">
        <v>5931102.0326811802</v>
      </c>
      <c r="D31" s="274">
        <v>6514497.3790748697</v>
      </c>
      <c r="E31" s="274">
        <v>6944132.5587071804</v>
      </c>
      <c r="F31" s="274">
        <v>7454440.1813448202</v>
      </c>
      <c r="G31" s="274">
        <v>7927564.2930153301</v>
      </c>
      <c r="H31" s="274">
        <v>8477306.9124877099</v>
      </c>
      <c r="I31" s="8">
        <v>8880735.3440000005</v>
      </c>
    </row>
    <row r="32" spans="1:21" x14ac:dyDescent="0.25">
      <c r="B32" s="274" t="s">
        <v>218</v>
      </c>
      <c r="C32" s="274">
        <v>11670404.906738559</v>
      </c>
      <c r="D32" s="274">
        <v>13001164.445567448</v>
      </c>
      <c r="E32" s="274">
        <v>12542012.72574419</v>
      </c>
      <c r="F32" s="274">
        <v>12645671.111368861</v>
      </c>
      <c r="G32" s="274">
        <v>12673068.453165414</v>
      </c>
      <c r="H32" s="274">
        <v>13076603.958000001</v>
      </c>
      <c r="I32" s="8">
        <v>12962081</v>
      </c>
    </row>
    <row r="33" spans="2:9" x14ac:dyDescent="0.25">
      <c r="B33" s="274" t="s">
        <v>378</v>
      </c>
      <c r="C33" s="274">
        <v>331183.30547743692</v>
      </c>
      <c r="D33" s="274">
        <v>300985.91688492848</v>
      </c>
      <c r="E33" s="274">
        <v>253688.98454382003</v>
      </c>
      <c r="F33" s="274">
        <v>243309.57052000001</v>
      </c>
      <c r="G33" s="274">
        <v>251747.7262339491</v>
      </c>
      <c r="H33" s="274">
        <v>248856.16224529999</v>
      </c>
      <c r="I33" s="8">
        <v>212245.30799999999</v>
      </c>
    </row>
    <row r="34" spans="2:9" x14ac:dyDescent="0.25">
      <c r="B34" s="276" t="s">
        <v>220</v>
      </c>
      <c r="C34" s="276">
        <v>70030219.244897187</v>
      </c>
      <c r="D34" s="276">
        <v>75002463.741527244</v>
      </c>
      <c r="E34" s="276">
        <v>76020350.268995181</v>
      </c>
      <c r="F34" s="276">
        <v>78834136.719236344</v>
      </c>
      <c r="G34" s="276">
        <v>82176972.94192268</v>
      </c>
      <c r="H34" s="276">
        <v>86969344.708733022</v>
      </c>
      <c r="I34">
        <v>87667767.651999995</v>
      </c>
    </row>
    <row r="35" spans="2:9" x14ac:dyDescent="0.25">
      <c r="B35" s="276"/>
      <c r="C35" s="276"/>
      <c r="D35" s="276"/>
      <c r="E35" s="276"/>
      <c r="F35" s="276"/>
      <c r="G35" s="276"/>
      <c r="H35" s="276"/>
    </row>
    <row r="36" spans="2:9" x14ac:dyDescent="0.25">
      <c r="B36" s="276">
        <v>352459.1206072038</v>
      </c>
      <c r="C36" s="276">
        <v>240357.88846676395</v>
      </c>
      <c r="D36" s="276">
        <v>234905.74154348543</v>
      </c>
      <c r="E36" s="276">
        <v>212915.15710517598</v>
      </c>
      <c r="F36" s="276">
        <v>216219.52596260741</v>
      </c>
      <c r="G36" s="276">
        <v>241508.47221669985</v>
      </c>
      <c r="H36" s="276">
        <v>241607.92450999998</v>
      </c>
    </row>
    <row r="37" spans="2:9" x14ac:dyDescent="0.25">
      <c r="B37" s="276"/>
      <c r="C37" s="276"/>
      <c r="D37" s="276"/>
      <c r="E37" s="276"/>
      <c r="F37" s="276"/>
      <c r="G37" s="276"/>
      <c r="H37" s="276"/>
    </row>
    <row r="57" ht="23.25" customHeight="1" x14ac:dyDescent="0.25"/>
    <row r="64" ht="23.25" customHeight="1" x14ac:dyDescent="0.25"/>
    <row r="71" ht="23.25" customHeight="1" x14ac:dyDescent="0.25"/>
    <row r="78" ht="23.25" customHeight="1" x14ac:dyDescent="0.25"/>
    <row r="85" ht="23.25" customHeight="1" x14ac:dyDescent="0.25"/>
    <row r="93" ht="23.25" customHeight="1" x14ac:dyDescent="0.25"/>
  </sheetData>
  <mergeCells count="1">
    <mergeCell ref="A1:B1"/>
  </mergeCells>
  <hyperlinks>
    <hyperlink ref="A1:B1" location="'Table of contents'!A1" display="Return to the Table of Contents"/>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4817" r:id="rId4" name="Option Button 1">
              <controlPr defaultSize="0" autoFill="0" autoLine="0" autoPict="0" macro="[0]!OptionButton72_Click">
                <anchor moveWithCells="1">
                  <from>
                    <xdr:col>1</xdr:col>
                    <xdr:colOff>0</xdr:colOff>
                    <xdr:row>6</xdr:row>
                    <xdr:rowOff>0</xdr:rowOff>
                  </from>
                  <to>
                    <xdr:col>1</xdr:col>
                    <xdr:colOff>1000125</xdr:colOff>
                    <xdr:row>7</xdr:row>
                    <xdr:rowOff>19050</xdr:rowOff>
                  </to>
                </anchor>
              </controlPr>
            </control>
          </mc:Choice>
        </mc:AlternateContent>
        <mc:AlternateContent xmlns:mc="http://schemas.openxmlformats.org/markup-compatibility/2006">
          <mc:Choice Requires="x14">
            <control shapeId="34818" r:id="rId5" name="Option Button 2">
              <controlPr defaultSize="0" autoFill="0" autoLine="0" autoPict="0">
                <anchor moveWithCells="1">
                  <from>
                    <xdr:col>1</xdr:col>
                    <xdr:colOff>0</xdr:colOff>
                    <xdr:row>7</xdr:row>
                    <xdr:rowOff>19050</xdr:rowOff>
                  </from>
                  <to>
                    <xdr:col>1</xdr:col>
                    <xdr:colOff>1000125</xdr:colOff>
                    <xdr:row>8</xdr:row>
                    <xdr:rowOff>38100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F64"/>
  <sheetViews>
    <sheetView topLeftCell="S2" workbookViewId="0">
      <selection activeCell="J14" sqref="J14"/>
    </sheetView>
  </sheetViews>
  <sheetFormatPr defaultRowHeight="15" x14ac:dyDescent="0.25"/>
  <cols>
    <col min="4" max="4" width="39.85546875" customWidth="1"/>
    <col min="9" max="9" width="11" bestFit="1" customWidth="1"/>
    <col min="11" max="11" width="11" bestFit="1" customWidth="1"/>
    <col min="13" max="13" width="14.28515625" bestFit="1" customWidth="1"/>
    <col min="15" max="15" width="11" bestFit="1" customWidth="1"/>
    <col min="17" max="17" width="14.28515625" bestFit="1" customWidth="1"/>
    <col min="20" max="20" width="21.85546875" customWidth="1"/>
    <col min="21" max="21" width="13.7109375" bestFit="1" customWidth="1"/>
    <col min="22" max="22" width="16.28515625" customWidth="1"/>
    <col min="23" max="23" width="22.7109375" customWidth="1"/>
    <col min="24" max="24" width="18" customWidth="1"/>
  </cols>
  <sheetData>
    <row r="1" spans="1:26" ht="15.75" thickBot="1" x14ac:dyDescent="0.3">
      <c r="A1" s="1907" t="s">
        <v>135</v>
      </c>
      <c r="B1" s="1907"/>
      <c r="C1" s="1907"/>
      <c r="D1" s="1907"/>
    </row>
    <row r="2" spans="1:26" ht="39.75" thickBot="1" x14ac:dyDescent="0.3">
      <c r="A2" s="212" t="s">
        <v>1</v>
      </c>
      <c r="B2" s="213" t="s">
        <v>32</v>
      </c>
      <c r="C2" s="213" t="s">
        <v>2</v>
      </c>
      <c r="D2" s="214" t="s">
        <v>3</v>
      </c>
      <c r="I2" t="s">
        <v>68</v>
      </c>
      <c r="J2" t="s">
        <v>69</v>
      </c>
      <c r="K2" t="s">
        <v>70</v>
      </c>
      <c r="L2" t="s">
        <v>71</v>
      </c>
      <c r="M2" t="s">
        <v>72</v>
      </c>
      <c r="N2" t="s">
        <v>73</v>
      </c>
      <c r="O2" t="s">
        <v>74</v>
      </c>
      <c r="P2" t="s">
        <v>193</v>
      </c>
      <c r="Q2" t="s">
        <v>194</v>
      </c>
      <c r="T2" t="s">
        <v>4</v>
      </c>
      <c r="U2" t="s">
        <v>5</v>
      </c>
      <c r="V2" t="s">
        <v>6</v>
      </c>
      <c r="W2" t="s">
        <v>7</v>
      </c>
      <c r="X2" t="s">
        <v>489</v>
      </c>
    </row>
    <row r="3" spans="1:26" ht="15.75" thickTop="1" x14ac:dyDescent="0.25">
      <c r="A3" s="215" t="s">
        <v>4</v>
      </c>
      <c r="B3" s="216">
        <v>0</v>
      </c>
      <c r="C3" s="438">
        <v>82054</v>
      </c>
      <c r="D3" s="438">
        <v>6287894412</v>
      </c>
      <c r="H3" t="s">
        <v>222</v>
      </c>
    </row>
    <row r="4" spans="1:26" x14ac:dyDescent="0.25">
      <c r="A4" s="215"/>
      <c r="B4" s="216">
        <v>1</v>
      </c>
      <c r="C4" s="438">
        <v>430</v>
      </c>
      <c r="D4" s="438">
        <v>33457165</v>
      </c>
      <c r="H4" t="s">
        <v>223</v>
      </c>
      <c r="T4" s="218">
        <f>SUM(C3:C6)</f>
        <v>82790</v>
      </c>
      <c r="U4" s="225">
        <f>SUM(C18:C21)</f>
        <v>88647</v>
      </c>
      <c r="V4" s="225">
        <f>SUM(C33:C36)</f>
        <v>91604</v>
      </c>
      <c r="W4" s="225">
        <f>SUM(Z36:Z39)</f>
        <v>95077</v>
      </c>
      <c r="X4" s="225">
        <f>SUM(AA19:AA22)</f>
        <v>97367</v>
      </c>
    </row>
    <row r="5" spans="1:26" x14ac:dyDescent="0.25">
      <c r="A5" s="215"/>
      <c r="B5" s="216">
        <v>2</v>
      </c>
      <c r="C5" s="438">
        <v>38</v>
      </c>
      <c r="D5" s="438">
        <v>2630408</v>
      </c>
      <c r="H5" t="s">
        <v>33</v>
      </c>
      <c r="I5" s="588">
        <v>58745.97999999953</v>
      </c>
      <c r="J5" s="588">
        <v>60659.547999999602</v>
      </c>
      <c r="K5" s="588">
        <v>62484.347999999605</v>
      </c>
      <c r="L5" s="588">
        <v>64470.21900000146</v>
      </c>
      <c r="M5" s="356">
        <v>68260</v>
      </c>
      <c r="N5" s="356">
        <v>72260</v>
      </c>
      <c r="O5" s="356">
        <v>78462</v>
      </c>
      <c r="P5" s="356">
        <v>82568</v>
      </c>
      <c r="Q5" s="356">
        <v>85975.123000000007</v>
      </c>
      <c r="R5" s="356"/>
      <c r="S5" s="356"/>
      <c r="T5" s="217">
        <f>C8</f>
        <v>21149</v>
      </c>
      <c r="U5" s="217">
        <f>C23</f>
        <v>23084</v>
      </c>
      <c r="V5" s="217">
        <f>C38</f>
        <v>24489</v>
      </c>
      <c r="W5" s="217">
        <f>C53</f>
        <v>25056</v>
      </c>
      <c r="X5" s="225">
        <f>AA24</f>
        <v>24910</v>
      </c>
    </row>
    <row r="6" spans="1:26" ht="15.75" thickBot="1" x14ac:dyDescent="0.3">
      <c r="A6" s="215"/>
      <c r="B6" s="216">
        <v>8</v>
      </c>
      <c r="C6" s="438">
        <v>268</v>
      </c>
      <c r="D6" s="225">
        <v>7296824</v>
      </c>
      <c r="H6" t="s">
        <v>34</v>
      </c>
      <c r="I6" s="589">
        <v>61332.444999999963</v>
      </c>
      <c r="J6" s="589">
        <v>63087.233400000026</v>
      </c>
      <c r="K6" s="589">
        <v>62582.93</v>
      </c>
      <c r="L6" s="589">
        <v>64997.750999999931</v>
      </c>
      <c r="M6" s="564">
        <v>67107.280000000057</v>
      </c>
      <c r="N6" s="564">
        <v>69140.369999999923</v>
      </c>
      <c r="O6" s="564">
        <v>72005.770999999993</v>
      </c>
      <c r="P6" s="564">
        <v>72989.594800999999</v>
      </c>
      <c r="Q6" s="356">
        <v>76977.109339000002</v>
      </c>
      <c r="R6" s="356"/>
      <c r="S6" s="356"/>
      <c r="T6" s="217">
        <f t="shared" ref="T6:T13" si="0">C9</f>
        <v>237264</v>
      </c>
      <c r="U6" s="217">
        <f t="shared" ref="U6:U13" si="1">C24</f>
        <v>243018</v>
      </c>
      <c r="V6" s="217">
        <f t="shared" ref="V6:V13" si="2">C39</f>
        <v>262479</v>
      </c>
      <c r="W6" s="217">
        <f t="shared" ref="W6:W12" si="3">C54</f>
        <v>263723</v>
      </c>
      <c r="X6" s="225">
        <f t="shared" ref="X6:X13" si="4">AA25</f>
        <v>251615</v>
      </c>
    </row>
    <row r="7" spans="1:26" ht="27" thickBot="1" x14ac:dyDescent="0.3">
      <c r="A7" s="215"/>
      <c r="B7" s="216">
        <v>9</v>
      </c>
      <c r="C7" s="225">
        <v>3453</v>
      </c>
      <c r="D7" s="438">
        <v>177530230</v>
      </c>
      <c r="H7" t="s">
        <v>35</v>
      </c>
      <c r="I7" s="587">
        <v>27848.14</v>
      </c>
      <c r="J7" s="587">
        <v>28033.02</v>
      </c>
      <c r="K7" s="587">
        <v>28154.02</v>
      </c>
      <c r="L7" s="587">
        <v>28439.379999998062</v>
      </c>
      <c r="M7" s="495">
        <v>29155</v>
      </c>
      <c r="N7" s="495">
        <v>30084</v>
      </c>
      <c r="O7" s="495">
        <v>31021</v>
      </c>
      <c r="P7" s="495">
        <v>31901</v>
      </c>
      <c r="Q7" s="495">
        <v>33383.909999999902</v>
      </c>
      <c r="R7" s="495"/>
      <c r="S7" s="495"/>
      <c r="T7" s="217">
        <f t="shared" si="0"/>
        <v>101114</v>
      </c>
      <c r="U7" s="217">
        <f t="shared" si="1"/>
        <v>106406</v>
      </c>
      <c r="V7" s="217">
        <f t="shared" si="2"/>
        <v>112710</v>
      </c>
      <c r="W7" s="217">
        <f t="shared" si="3"/>
        <v>114786</v>
      </c>
      <c r="X7" s="225">
        <f t="shared" si="4"/>
        <v>117270</v>
      </c>
      <c r="Z7" s="213" t="s">
        <v>2</v>
      </c>
    </row>
    <row r="8" spans="1:26" ht="40.5" thickTop="1" thickBot="1" x14ac:dyDescent="0.3">
      <c r="A8" s="215"/>
      <c r="B8" s="216" t="s">
        <v>33</v>
      </c>
      <c r="C8" s="438">
        <v>21149</v>
      </c>
      <c r="D8" s="438">
        <v>661263250</v>
      </c>
      <c r="H8" t="s">
        <v>36</v>
      </c>
      <c r="I8" s="356" t="s">
        <v>413</v>
      </c>
      <c r="J8" s="356" t="s">
        <v>413</v>
      </c>
      <c r="K8" s="356" t="s">
        <v>413</v>
      </c>
      <c r="L8" s="356" t="s">
        <v>413</v>
      </c>
      <c r="M8" s="482"/>
      <c r="N8" s="482"/>
      <c r="O8" s="482"/>
      <c r="P8" s="482"/>
      <c r="Q8" s="482"/>
      <c r="R8" s="482"/>
      <c r="S8" s="482"/>
      <c r="T8" s="217">
        <f t="shared" si="0"/>
        <v>363344</v>
      </c>
      <c r="U8" s="217">
        <f t="shared" si="1"/>
        <v>369509</v>
      </c>
      <c r="V8" s="217">
        <f t="shared" si="2"/>
        <v>377308</v>
      </c>
      <c r="W8" s="217">
        <f t="shared" si="3"/>
        <v>377938</v>
      </c>
      <c r="X8" s="225">
        <f t="shared" si="4"/>
        <v>376835</v>
      </c>
      <c r="Z8" s="213" t="s">
        <v>471</v>
      </c>
    </row>
    <row r="9" spans="1:26" ht="15.75" thickTop="1" x14ac:dyDescent="0.25">
      <c r="A9" s="215"/>
      <c r="B9" s="216" t="s">
        <v>34</v>
      </c>
      <c r="C9" s="438">
        <v>237264</v>
      </c>
      <c r="D9" s="438">
        <v>5956031615</v>
      </c>
      <c r="H9" t="s">
        <v>37</v>
      </c>
      <c r="I9" s="590">
        <v>345914.4653689671</v>
      </c>
      <c r="J9" s="590">
        <v>351296.5331529564</v>
      </c>
      <c r="K9" s="590">
        <v>359622.04603895982</v>
      </c>
      <c r="L9" s="590">
        <v>373096.20859394554</v>
      </c>
      <c r="M9" s="565">
        <v>381588.88146992686</v>
      </c>
      <c r="N9" s="565">
        <v>396270.5</v>
      </c>
      <c r="O9" s="565">
        <v>412013.00334999996</v>
      </c>
      <c r="P9" s="565">
        <v>425043.77999999997</v>
      </c>
      <c r="Q9" s="565">
        <v>425982.81933300005</v>
      </c>
      <c r="R9" s="356"/>
      <c r="S9" s="356"/>
      <c r="T9" s="217">
        <f t="shared" si="0"/>
        <v>3176</v>
      </c>
      <c r="U9" s="217">
        <f t="shared" si="1"/>
        <v>2623</v>
      </c>
      <c r="V9" s="217">
        <f t="shared" si="2"/>
        <v>2533</v>
      </c>
      <c r="W9" s="217">
        <f t="shared" si="3"/>
        <v>2644</v>
      </c>
      <c r="X9" s="225">
        <f t="shared" si="4"/>
        <v>3024</v>
      </c>
    </row>
    <row r="10" spans="1:26" x14ac:dyDescent="0.25">
      <c r="A10" s="215"/>
      <c r="B10" s="216" t="s">
        <v>35</v>
      </c>
      <c r="C10" s="438">
        <v>101114</v>
      </c>
      <c r="D10" s="438">
        <v>1761360727</v>
      </c>
      <c r="H10" t="s">
        <v>38</v>
      </c>
      <c r="I10" s="591">
        <v>220330.54481898717</v>
      </c>
      <c r="J10" s="591">
        <v>226584.76190397676</v>
      </c>
      <c r="K10" s="591">
        <v>234683.19749797604</v>
      </c>
      <c r="L10" s="591">
        <v>249197.56431996552</v>
      </c>
      <c r="M10" s="564">
        <v>251457.81616399903</v>
      </c>
      <c r="N10" s="564">
        <v>263831.80971</v>
      </c>
      <c r="O10" s="564">
        <v>271346.93147000001</v>
      </c>
      <c r="P10" s="564">
        <v>278993.995</v>
      </c>
      <c r="Q10" s="564">
        <v>273202.03729799914</v>
      </c>
      <c r="R10" s="356"/>
      <c r="S10" s="356"/>
      <c r="T10" s="217">
        <f t="shared" si="0"/>
        <v>104866</v>
      </c>
      <c r="U10" s="217">
        <f t="shared" si="1"/>
        <v>111321</v>
      </c>
      <c r="V10" s="217">
        <f t="shared" si="2"/>
        <v>118935</v>
      </c>
      <c r="W10" s="217">
        <f t="shared" si="3"/>
        <v>123875</v>
      </c>
      <c r="X10" s="225">
        <f t="shared" si="4"/>
        <v>128133</v>
      </c>
    </row>
    <row r="11" spans="1:26" x14ac:dyDescent="0.25">
      <c r="A11" s="215"/>
      <c r="B11" s="216" t="s">
        <v>36</v>
      </c>
      <c r="C11" s="225">
        <v>363344</v>
      </c>
      <c r="D11" s="438">
        <v>10348164238</v>
      </c>
      <c r="H11" t="s">
        <v>39</v>
      </c>
      <c r="I11" s="592">
        <v>139468.98759300058</v>
      </c>
      <c r="J11" s="592">
        <v>142070.97782299842</v>
      </c>
      <c r="K11" s="592">
        <v>144048.07920999723</v>
      </c>
      <c r="L11" s="592">
        <v>149597.53656999589</v>
      </c>
      <c r="M11" s="564">
        <v>158026.01029999717</v>
      </c>
      <c r="N11" s="564">
        <v>167916.10314000002</v>
      </c>
      <c r="O11" s="564">
        <v>178098.19688999996</v>
      </c>
      <c r="P11" s="564">
        <v>186137.03699999998</v>
      </c>
      <c r="Q11" s="564">
        <v>177871.17167499999</v>
      </c>
      <c r="R11" s="356"/>
      <c r="S11" s="356"/>
      <c r="T11" s="217">
        <f t="shared" si="0"/>
        <v>36888</v>
      </c>
      <c r="U11" s="217">
        <f t="shared" si="1"/>
        <v>38735</v>
      </c>
      <c r="V11" s="217">
        <f t="shared" si="2"/>
        <v>40603</v>
      </c>
      <c r="W11" s="217">
        <f t="shared" si="3"/>
        <v>41539</v>
      </c>
      <c r="X11" s="225">
        <f t="shared" si="4"/>
        <v>54389</v>
      </c>
    </row>
    <row r="12" spans="1:26" x14ac:dyDescent="0.25">
      <c r="A12" s="215"/>
      <c r="B12" s="216" t="s">
        <v>37</v>
      </c>
      <c r="C12" s="225">
        <v>3176</v>
      </c>
      <c r="D12" s="438">
        <v>55388343</v>
      </c>
      <c r="H12" t="s">
        <v>40</v>
      </c>
      <c r="K12" s="563"/>
      <c r="T12" s="217">
        <f t="shared" si="0"/>
        <v>1056</v>
      </c>
      <c r="U12" s="217">
        <f t="shared" si="1"/>
        <v>555</v>
      </c>
      <c r="V12" s="217">
        <f t="shared" si="2"/>
        <v>428</v>
      </c>
      <c r="W12" s="217">
        <f t="shared" si="3"/>
        <v>56</v>
      </c>
      <c r="X12" s="225">
        <f t="shared" si="4"/>
        <v>14</v>
      </c>
    </row>
    <row r="13" spans="1:26" x14ac:dyDescent="0.25">
      <c r="A13" s="215"/>
      <c r="B13" s="216" t="s">
        <v>38</v>
      </c>
      <c r="C13" s="225">
        <v>104866</v>
      </c>
      <c r="D13" s="438">
        <v>3243362907</v>
      </c>
      <c r="H13" t="s">
        <v>41</v>
      </c>
      <c r="M13" s="563"/>
      <c r="T13" s="217">
        <f t="shared" si="0"/>
        <v>3273</v>
      </c>
      <c r="U13" s="217">
        <f t="shared" si="1"/>
        <v>3046</v>
      </c>
      <c r="V13" s="217">
        <f t="shared" si="2"/>
        <v>3038</v>
      </c>
      <c r="W13" s="217">
        <f>C61</f>
        <v>3299</v>
      </c>
      <c r="X13" s="225">
        <f t="shared" si="4"/>
        <v>3065</v>
      </c>
    </row>
    <row r="14" spans="1:26" x14ac:dyDescent="0.25">
      <c r="A14" s="215"/>
      <c r="B14" s="216" t="s">
        <v>39</v>
      </c>
      <c r="C14" s="225">
        <v>36888</v>
      </c>
      <c r="D14" s="438">
        <v>1121776209</v>
      </c>
    </row>
    <row r="15" spans="1:26" x14ac:dyDescent="0.25">
      <c r="A15" s="215"/>
      <c r="B15" s="216" t="s">
        <v>40</v>
      </c>
      <c r="C15" s="225">
        <v>1056</v>
      </c>
      <c r="D15" s="438">
        <v>35393429</v>
      </c>
      <c r="P15" s="563"/>
    </row>
    <row r="16" spans="1:26" ht="30" x14ac:dyDescent="0.25">
      <c r="A16" s="215"/>
      <c r="B16" s="216" t="s">
        <v>41</v>
      </c>
      <c r="C16" s="225">
        <v>3273</v>
      </c>
      <c r="D16" s="438">
        <v>0</v>
      </c>
      <c r="M16" s="562" t="s">
        <v>532</v>
      </c>
      <c r="N16" s="563"/>
    </row>
    <row r="17" spans="1:29" x14ac:dyDescent="0.25">
      <c r="A17" s="219"/>
      <c r="B17" s="220"/>
      <c r="C17" s="221"/>
      <c r="D17" s="222"/>
      <c r="T17" t="s">
        <v>4</v>
      </c>
      <c r="U17" t="s">
        <v>5</v>
      </c>
      <c r="V17" t="s">
        <v>6</v>
      </c>
      <c r="W17" t="s">
        <v>7</v>
      </c>
      <c r="X17" t="s">
        <v>489</v>
      </c>
    </row>
    <row r="18" spans="1:29" x14ac:dyDescent="0.25">
      <c r="A18" s="215" t="s">
        <v>5</v>
      </c>
      <c r="B18" s="216">
        <v>0</v>
      </c>
      <c r="C18" s="225">
        <v>87684</v>
      </c>
      <c r="D18" s="438">
        <v>6955115319</v>
      </c>
      <c r="H18" t="s">
        <v>222</v>
      </c>
    </row>
    <row r="19" spans="1:29" x14ac:dyDescent="0.25">
      <c r="A19" s="215"/>
      <c r="B19" s="216">
        <v>1</v>
      </c>
      <c r="C19">
        <v>361</v>
      </c>
      <c r="D19" s="438">
        <v>29640425</v>
      </c>
      <c r="G19" t="s">
        <v>226</v>
      </c>
      <c r="H19" t="s">
        <v>223</v>
      </c>
      <c r="T19" s="225">
        <f>SUM(D3:D6)</f>
        <v>6331278809</v>
      </c>
      <c r="U19" s="225">
        <f>SUM(D18:D21)</f>
        <v>7004251844</v>
      </c>
      <c r="V19" s="225">
        <f>SUM(D33:D36)</f>
        <v>7303800959</v>
      </c>
      <c r="W19" s="225">
        <f>SUM(D48:D51)</f>
        <v>7531285686</v>
      </c>
      <c r="X19" s="438">
        <f>SUM(AB19:AB22)</f>
        <v>7513143079</v>
      </c>
      <c r="Z19">
        <v>0</v>
      </c>
      <c r="AA19" s="225">
        <v>95659</v>
      </c>
      <c r="AB19" s="438">
        <v>7417414463</v>
      </c>
      <c r="AC19" s="438"/>
    </row>
    <row r="20" spans="1:29" x14ac:dyDescent="0.25">
      <c r="A20" s="215"/>
      <c r="B20" s="216">
        <v>2</v>
      </c>
      <c r="C20">
        <v>41</v>
      </c>
      <c r="D20" s="438">
        <v>3578516</v>
      </c>
      <c r="G20" t="s">
        <v>33</v>
      </c>
      <c r="H20" t="s">
        <v>33</v>
      </c>
      <c r="I20" s="482"/>
      <c r="J20" s="482"/>
      <c r="K20" s="482"/>
      <c r="L20" s="482"/>
      <c r="M20" s="482"/>
      <c r="O20" s="482">
        <v>5223083724.1891756</v>
      </c>
      <c r="P20" s="482">
        <v>5948290589.5459776</v>
      </c>
      <c r="Q20" s="482">
        <v>6901673313.4999952</v>
      </c>
      <c r="T20" s="218">
        <f>D8</f>
        <v>661263250</v>
      </c>
      <c r="U20" s="218">
        <f>D23</f>
        <v>758105594</v>
      </c>
      <c r="V20" s="218">
        <f>D38</f>
        <v>807194125</v>
      </c>
      <c r="W20" s="218">
        <f>D53</f>
        <v>827195906</v>
      </c>
      <c r="X20" s="438">
        <f>AB24</f>
        <v>831688361</v>
      </c>
      <c r="Z20">
        <v>1</v>
      </c>
      <c r="AA20">
        <v>548</v>
      </c>
      <c r="AB20" s="438">
        <v>45458890</v>
      </c>
    </row>
    <row r="21" spans="1:29" x14ac:dyDescent="0.25">
      <c r="A21" s="215"/>
      <c r="B21" s="216">
        <v>8</v>
      </c>
      <c r="C21">
        <v>561</v>
      </c>
      <c r="D21" s="438">
        <v>15917584</v>
      </c>
      <c r="G21" t="s">
        <v>34</v>
      </c>
      <c r="H21" t="s">
        <v>34</v>
      </c>
      <c r="I21" s="482"/>
      <c r="J21" s="482"/>
      <c r="K21" s="482"/>
      <c r="L21" s="482"/>
      <c r="M21" s="482"/>
      <c r="O21" s="482">
        <v>1215759943.0436401</v>
      </c>
      <c r="P21" s="482">
        <v>1324498114.0002797</v>
      </c>
      <c r="Q21" s="482">
        <v>1320406404.8879998</v>
      </c>
      <c r="T21" s="218">
        <f t="shared" ref="T21:T28" si="5">D9</f>
        <v>5956031615</v>
      </c>
      <c r="U21" s="218">
        <f t="shared" ref="U21:U28" si="6">D24</f>
        <v>6421954063</v>
      </c>
      <c r="V21" s="218">
        <f t="shared" ref="V21:V28" si="7">D39</f>
        <v>7143000250</v>
      </c>
      <c r="W21" s="218">
        <f t="shared" ref="W21:W28" si="8">D54</f>
        <v>7469296000</v>
      </c>
      <c r="X21" s="438">
        <f t="shared" ref="X21:X27" si="9">AB25</f>
        <v>7194524020</v>
      </c>
      <c r="Z21">
        <v>2</v>
      </c>
      <c r="AA21">
        <v>14</v>
      </c>
      <c r="AB21" s="438">
        <v>928248</v>
      </c>
    </row>
    <row r="22" spans="1:29" x14ac:dyDescent="0.25">
      <c r="A22" s="215"/>
      <c r="B22" s="216">
        <v>9</v>
      </c>
      <c r="C22" s="225">
        <v>3450</v>
      </c>
      <c r="D22" s="438">
        <v>254583719</v>
      </c>
      <c r="G22" t="s">
        <v>35</v>
      </c>
      <c r="H22" t="s">
        <v>35</v>
      </c>
      <c r="J22" s="482"/>
      <c r="L22" s="482"/>
      <c r="M22" s="482"/>
      <c r="O22">
        <v>2951673328.7995701</v>
      </c>
      <c r="P22" s="482">
        <v>3445474885.4398808</v>
      </c>
      <c r="Q22" s="482">
        <v>3491237058.75</v>
      </c>
      <c r="T22" s="218">
        <f t="shared" si="5"/>
        <v>1761360727</v>
      </c>
      <c r="U22" s="218">
        <f t="shared" si="6"/>
        <v>1948437219</v>
      </c>
      <c r="V22" s="218">
        <f t="shared" si="7"/>
        <v>2115180875</v>
      </c>
      <c r="W22" s="218">
        <f t="shared" si="8"/>
        <v>2216987813</v>
      </c>
      <c r="X22" s="438">
        <f t="shared" si="9"/>
        <v>2252299994</v>
      </c>
      <c r="Z22">
        <v>8</v>
      </c>
      <c r="AA22" s="225">
        <v>1146</v>
      </c>
      <c r="AB22" s="438">
        <v>49341478</v>
      </c>
    </row>
    <row r="23" spans="1:29" x14ac:dyDescent="0.25">
      <c r="A23" s="215"/>
      <c r="B23" s="216" t="s">
        <v>33</v>
      </c>
      <c r="C23" s="225">
        <v>23084</v>
      </c>
      <c r="D23" s="438">
        <v>758105594</v>
      </c>
      <c r="G23" t="s">
        <v>36</v>
      </c>
      <c r="H23" t="s">
        <v>36</v>
      </c>
      <c r="O23" t="s">
        <v>413</v>
      </c>
      <c r="P23" t="s">
        <v>413</v>
      </c>
      <c r="Q23" t="s">
        <v>413</v>
      </c>
      <c r="T23" s="218">
        <f t="shared" si="5"/>
        <v>10348164238</v>
      </c>
      <c r="U23" s="218">
        <f t="shared" si="6"/>
        <v>11020440530</v>
      </c>
      <c r="V23" s="218">
        <f t="shared" si="7"/>
        <v>11650604844</v>
      </c>
      <c r="W23" s="218">
        <f t="shared" si="8"/>
        <v>12010701373</v>
      </c>
      <c r="X23" s="438">
        <f t="shared" si="9"/>
        <v>11999125854</v>
      </c>
      <c r="Z23">
        <v>9</v>
      </c>
      <c r="AA23" s="225">
        <v>2031</v>
      </c>
      <c r="AB23" s="438">
        <v>156754571</v>
      </c>
    </row>
    <row r="24" spans="1:29" x14ac:dyDescent="0.25">
      <c r="A24" s="215"/>
      <c r="B24" s="216" t="s">
        <v>34</v>
      </c>
      <c r="C24" s="225">
        <v>243018</v>
      </c>
      <c r="D24" s="225">
        <v>6421954063</v>
      </c>
      <c r="G24" t="s">
        <v>37</v>
      </c>
      <c r="H24" t="s">
        <v>37</v>
      </c>
      <c r="I24" s="482"/>
      <c r="J24" s="482"/>
      <c r="K24" s="482"/>
      <c r="L24" s="482"/>
      <c r="M24" s="482"/>
      <c r="O24" s="482">
        <v>7857283612.9860535</v>
      </c>
      <c r="P24" s="482">
        <v>8567647132.6428967</v>
      </c>
      <c r="Q24" s="482">
        <v>9761031181.6829605</v>
      </c>
      <c r="T24" s="218">
        <f t="shared" si="5"/>
        <v>55388343</v>
      </c>
      <c r="U24" s="218">
        <f t="shared" si="6"/>
        <v>49969610</v>
      </c>
      <c r="V24" s="218">
        <f t="shared" si="7"/>
        <v>50866790</v>
      </c>
      <c r="W24" s="218">
        <f t="shared" si="8"/>
        <v>53823700</v>
      </c>
      <c r="X24" s="438">
        <f t="shared" si="9"/>
        <v>65209951</v>
      </c>
      <c r="Z24" t="s">
        <v>33</v>
      </c>
      <c r="AA24" s="225">
        <v>24910</v>
      </c>
      <c r="AB24" s="438">
        <v>831688361</v>
      </c>
    </row>
    <row r="25" spans="1:29" x14ac:dyDescent="0.25">
      <c r="A25" s="215"/>
      <c r="B25" s="216" t="s">
        <v>35</v>
      </c>
      <c r="C25" s="225">
        <v>106406</v>
      </c>
      <c r="D25" s="438">
        <v>1948437219</v>
      </c>
      <c r="G25" t="s">
        <v>38</v>
      </c>
      <c r="H25" t="s">
        <v>38</v>
      </c>
      <c r="I25" s="482"/>
      <c r="J25" s="482"/>
      <c r="K25" s="482"/>
      <c r="L25" s="482"/>
      <c r="M25" s="482"/>
      <c r="O25" s="482">
        <v>7366925661.7196856</v>
      </c>
      <c r="P25" s="482">
        <v>7592550137.883687</v>
      </c>
      <c r="Q25" s="482">
        <v>8563406807.5195885</v>
      </c>
      <c r="T25" s="218">
        <f t="shared" si="5"/>
        <v>3243362907</v>
      </c>
      <c r="U25" s="218">
        <f t="shared" si="6"/>
        <v>3495137805</v>
      </c>
      <c r="V25" s="218">
        <f t="shared" si="7"/>
        <v>3802187699</v>
      </c>
      <c r="W25" s="218">
        <f t="shared" si="8"/>
        <v>4055609924</v>
      </c>
      <c r="X25" s="438">
        <f t="shared" si="9"/>
        <v>4249593233</v>
      </c>
      <c r="Z25" t="s">
        <v>34</v>
      </c>
      <c r="AA25" s="225">
        <v>251615</v>
      </c>
      <c r="AB25" s="438">
        <v>7194524020</v>
      </c>
    </row>
    <row r="26" spans="1:29" x14ac:dyDescent="0.25">
      <c r="A26" s="215"/>
      <c r="B26" s="216" t="s">
        <v>36</v>
      </c>
      <c r="C26" s="225">
        <v>369509</v>
      </c>
      <c r="D26" s="438">
        <v>11020440530</v>
      </c>
      <c r="G26" t="s">
        <v>39</v>
      </c>
      <c r="H26" t="s">
        <v>39</v>
      </c>
      <c r="I26" s="482"/>
      <c r="J26" s="482"/>
      <c r="K26" s="482"/>
      <c r="L26" s="482"/>
      <c r="M26" s="482"/>
      <c r="O26" s="482">
        <v>5113525411.0440397</v>
      </c>
      <c r="P26" s="482">
        <v>5106911935.4897194</v>
      </c>
      <c r="Q26" s="482">
        <v>6099498020.1434803</v>
      </c>
      <c r="T26" s="218">
        <f t="shared" si="5"/>
        <v>1121776209</v>
      </c>
      <c r="U26" s="218">
        <f t="shared" si="6"/>
        <v>1195263582</v>
      </c>
      <c r="V26" s="218">
        <f t="shared" si="7"/>
        <v>1283066566</v>
      </c>
      <c r="W26" s="218">
        <f t="shared" si="8"/>
        <v>1346591230</v>
      </c>
      <c r="X26" s="438">
        <f t="shared" si="9"/>
        <v>1851360050</v>
      </c>
      <c r="Z26" t="s">
        <v>35</v>
      </c>
      <c r="AA26" s="225">
        <v>117270</v>
      </c>
      <c r="AB26" s="438">
        <v>2252299994</v>
      </c>
    </row>
    <row r="27" spans="1:29" x14ac:dyDescent="0.25">
      <c r="A27" s="215"/>
      <c r="B27" s="216" t="s">
        <v>37</v>
      </c>
      <c r="C27" s="225">
        <v>2623</v>
      </c>
      <c r="D27" s="438">
        <v>49969610</v>
      </c>
      <c r="G27" t="s">
        <v>40</v>
      </c>
      <c r="H27" t="s">
        <v>40</v>
      </c>
      <c r="O27" t="s">
        <v>413</v>
      </c>
      <c r="P27" t="s">
        <v>413</v>
      </c>
      <c r="Q27" t="s">
        <v>413</v>
      </c>
      <c r="T27" s="218">
        <f t="shared" si="5"/>
        <v>35393429</v>
      </c>
      <c r="U27" s="218">
        <f t="shared" si="6"/>
        <v>21076125</v>
      </c>
      <c r="V27" s="218">
        <f t="shared" si="7"/>
        <v>17228250</v>
      </c>
      <c r="W27" s="218">
        <f t="shared" si="8"/>
        <v>2313281</v>
      </c>
      <c r="X27" s="438">
        <f t="shared" si="9"/>
        <v>567631</v>
      </c>
      <c r="Z27" t="s">
        <v>36</v>
      </c>
      <c r="AA27" s="225">
        <v>376835</v>
      </c>
      <c r="AB27" s="438">
        <v>11999125854</v>
      </c>
    </row>
    <row r="28" spans="1:29" x14ac:dyDescent="0.25">
      <c r="A28" s="215"/>
      <c r="B28" s="216" t="s">
        <v>38</v>
      </c>
      <c r="C28" s="225">
        <v>111321</v>
      </c>
      <c r="D28" s="225">
        <v>3495137805</v>
      </c>
      <c r="G28" t="s">
        <v>41</v>
      </c>
      <c r="H28" t="s">
        <v>41</v>
      </c>
      <c r="O28" t="s">
        <v>413</v>
      </c>
      <c r="P28" t="s">
        <v>413</v>
      </c>
      <c r="Q28" t="s">
        <v>413</v>
      </c>
      <c r="T28" s="218">
        <f t="shared" si="5"/>
        <v>0</v>
      </c>
      <c r="U28" s="218">
        <f t="shared" si="6"/>
        <v>0</v>
      </c>
      <c r="V28" s="218">
        <f t="shared" si="7"/>
        <v>0</v>
      </c>
      <c r="W28" s="218">
        <f t="shared" si="8"/>
        <v>0</v>
      </c>
      <c r="X28" s="438">
        <v>129632489</v>
      </c>
      <c r="Z28" t="s">
        <v>37</v>
      </c>
      <c r="AA28" s="225">
        <v>3024</v>
      </c>
      <c r="AB28" s="438">
        <v>65209951</v>
      </c>
    </row>
    <row r="29" spans="1:29" x14ac:dyDescent="0.25">
      <c r="A29" s="215"/>
      <c r="B29" s="216" t="s">
        <v>39</v>
      </c>
      <c r="C29" s="225">
        <v>38735</v>
      </c>
      <c r="D29" s="225">
        <v>1195263582</v>
      </c>
      <c r="Z29" t="s">
        <v>38</v>
      </c>
      <c r="AA29" s="225">
        <v>128133</v>
      </c>
      <c r="AB29" s="438">
        <v>4249593233</v>
      </c>
    </row>
    <row r="30" spans="1:29" x14ac:dyDescent="0.25">
      <c r="A30" s="215"/>
      <c r="B30" s="216" t="s">
        <v>40</v>
      </c>
      <c r="C30">
        <v>555</v>
      </c>
      <c r="D30" s="225">
        <v>21076125</v>
      </c>
      <c r="J30" s="482"/>
      <c r="L30" s="482"/>
      <c r="M30" s="482"/>
      <c r="P30" s="482"/>
      <c r="Q30" s="482"/>
      <c r="Z30" t="s">
        <v>39</v>
      </c>
      <c r="AA30" s="225">
        <v>54389</v>
      </c>
      <c r="AB30" s="438">
        <v>1851360050</v>
      </c>
    </row>
    <row r="31" spans="1:29" x14ac:dyDescent="0.25">
      <c r="A31" s="215"/>
      <c r="B31" s="216" t="s">
        <v>41</v>
      </c>
      <c r="C31" s="225">
        <v>3046</v>
      </c>
      <c r="D31" s="225">
        <v>0</v>
      </c>
      <c r="I31" s="482"/>
      <c r="J31" s="482"/>
      <c r="K31" s="482"/>
      <c r="L31" s="482"/>
      <c r="M31" s="482"/>
      <c r="O31" s="482"/>
      <c r="P31" s="482"/>
      <c r="Q31" s="482"/>
      <c r="W31" s="438"/>
      <c r="Z31" t="s">
        <v>40</v>
      </c>
      <c r="AA31">
        <v>14</v>
      </c>
      <c r="AB31" s="438">
        <v>567631</v>
      </c>
    </row>
    <row r="32" spans="1:29" x14ac:dyDescent="0.25">
      <c r="A32" s="219"/>
      <c r="B32" s="220"/>
      <c r="C32" s="221"/>
      <c r="D32" s="222"/>
      <c r="W32" s="438"/>
      <c r="Z32" t="s">
        <v>41</v>
      </c>
      <c r="AA32" s="225">
        <v>3065</v>
      </c>
      <c r="AB32" s="438">
        <v>129632489</v>
      </c>
    </row>
    <row r="33" spans="1:32" x14ac:dyDescent="0.25">
      <c r="A33" s="215" t="s">
        <v>6</v>
      </c>
      <c r="B33" s="216">
        <v>0</v>
      </c>
      <c r="C33" s="225">
        <v>90368</v>
      </c>
      <c r="D33" s="438">
        <v>7251115436</v>
      </c>
      <c r="G33" s="225"/>
      <c r="H33" s="438"/>
      <c r="I33" s="482"/>
      <c r="J33" s="482"/>
      <c r="K33" s="482"/>
      <c r="L33" s="482"/>
      <c r="M33" s="482"/>
      <c r="N33" s="438"/>
      <c r="O33" s="482"/>
      <c r="P33" s="482"/>
      <c r="Q33" s="482"/>
      <c r="R33" s="438"/>
      <c r="S33" s="438"/>
      <c r="W33" s="438"/>
    </row>
    <row r="34" spans="1:32" x14ac:dyDescent="0.25">
      <c r="A34" s="215"/>
      <c r="B34" s="216">
        <v>1</v>
      </c>
      <c r="C34">
        <v>278</v>
      </c>
      <c r="D34" s="438">
        <v>23272156</v>
      </c>
      <c r="H34" s="438"/>
      <c r="I34" s="438"/>
      <c r="J34" s="438"/>
      <c r="K34" s="438"/>
      <c r="L34" s="438"/>
      <c r="M34" s="438"/>
      <c r="N34" s="438"/>
      <c r="O34" s="438"/>
      <c r="P34" s="438"/>
      <c r="Q34" s="438"/>
      <c r="R34" s="438"/>
      <c r="S34" s="438"/>
      <c r="W34" s="438"/>
    </row>
    <row r="35" spans="1:32" x14ac:dyDescent="0.25">
      <c r="A35" s="215"/>
      <c r="B35" s="216">
        <v>2</v>
      </c>
      <c r="C35">
        <v>25</v>
      </c>
      <c r="D35" s="438">
        <v>2332991</v>
      </c>
      <c r="H35" s="438"/>
      <c r="I35" s="482"/>
      <c r="J35" s="482"/>
      <c r="K35" s="482"/>
      <c r="L35" s="482"/>
      <c r="M35" s="482"/>
      <c r="N35" s="438"/>
      <c r="O35" s="482"/>
      <c r="P35" s="482"/>
      <c r="Q35" s="482"/>
      <c r="R35" s="438"/>
      <c r="S35" s="438"/>
      <c r="T35" s="438"/>
      <c r="W35" s="438"/>
    </row>
    <row r="36" spans="1:32" x14ac:dyDescent="0.25">
      <c r="A36" s="215"/>
      <c r="B36" s="216">
        <v>8</v>
      </c>
      <c r="C36">
        <v>933</v>
      </c>
      <c r="D36" s="438">
        <v>27080376</v>
      </c>
      <c r="H36" s="438"/>
      <c r="I36" s="438"/>
      <c r="J36" s="438"/>
      <c r="K36" s="438"/>
      <c r="L36" s="438"/>
      <c r="M36" s="438"/>
      <c r="N36" s="438"/>
      <c r="O36" s="438"/>
      <c r="P36" s="438"/>
      <c r="Q36" s="438"/>
      <c r="R36" s="438"/>
      <c r="S36" s="438"/>
      <c r="T36" s="438"/>
      <c r="W36" s="438"/>
      <c r="Y36">
        <v>0</v>
      </c>
      <c r="Z36" s="225">
        <v>93360</v>
      </c>
      <c r="AA36" s="438">
        <v>7446393793</v>
      </c>
    </row>
    <row r="37" spans="1:32" x14ac:dyDescent="0.25">
      <c r="A37" s="215"/>
      <c r="B37" s="216">
        <v>9</v>
      </c>
      <c r="C37" s="225">
        <v>3445</v>
      </c>
      <c r="D37" s="438">
        <v>266894073</v>
      </c>
      <c r="G37" s="225"/>
      <c r="H37" s="438"/>
      <c r="I37" s="438"/>
      <c r="J37" s="438"/>
      <c r="K37" s="438"/>
      <c r="L37" s="438"/>
      <c r="M37" s="438"/>
      <c r="N37" s="438"/>
      <c r="O37" s="438"/>
      <c r="P37" s="438"/>
      <c r="Q37" s="438"/>
      <c r="R37" s="438"/>
      <c r="S37" s="438"/>
      <c r="T37" s="438"/>
      <c r="W37" s="438"/>
      <c r="Y37">
        <v>1</v>
      </c>
      <c r="Z37">
        <v>614</v>
      </c>
      <c r="AA37" s="438">
        <v>50738953</v>
      </c>
    </row>
    <row r="38" spans="1:32" x14ac:dyDescent="0.25">
      <c r="A38" s="215"/>
      <c r="B38" s="216" t="s">
        <v>33</v>
      </c>
      <c r="C38" s="225">
        <v>24489</v>
      </c>
      <c r="D38" s="438">
        <v>807194125</v>
      </c>
      <c r="G38" s="225"/>
      <c r="H38" s="438"/>
      <c r="I38" s="482">
        <v>7857283612.9860535</v>
      </c>
      <c r="J38" s="482">
        <v>8567647132.6428967</v>
      </c>
      <c r="K38" s="482">
        <v>7857283612.9860535</v>
      </c>
      <c r="L38" s="482">
        <v>8567647132.6428967</v>
      </c>
      <c r="M38" s="482">
        <v>9761031181.6829605</v>
      </c>
      <c r="N38" s="438"/>
      <c r="O38" s="482">
        <v>7857283612.9860535</v>
      </c>
      <c r="P38" s="482">
        <v>8567647132.6428967</v>
      </c>
      <c r="Q38" s="482">
        <v>9761031181.6829605</v>
      </c>
      <c r="R38" s="438"/>
      <c r="S38" s="438"/>
      <c r="T38" s="225"/>
      <c r="U38" s="438"/>
      <c r="W38" s="438"/>
      <c r="Y38">
        <v>2</v>
      </c>
      <c r="Z38">
        <v>15</v>
      </c>
      <c r="AA38" s="438">
        <v>1142943</v>
      </c>
    </row>
    <row r="39" spans="1:32" x14ac:dyDescent="0.25">
      <c r="A39" s="215"/>
      <c r="B39" s="216" t="s">
        <v>34</v>
      </c>
      <c r="C39" s="225">
        <v>262479</v>
      </c>
      <c r="D39" s="438">
        <v>7143000250</v>
      </c>
      <c r="G39" s="225"/>
      <c r="H39" s="225"/>
      <c r="I39" s="225"/>
      <c r="J39" s="225"/>
      <c r="K39" s="225"/>
      <c r="L39" s="225"/>
      <c r="M39" s="225"/>
      <c r="N39" s="225"/>
      <c r="O39" s="225"/>
      <c r="P39" s="225"/>
      <c r="Q39" s="225"/>
      <c r="R39" s="225"/>
      <c r="S39" s="225"/>
      <c r="T39" s="438"/>
      <c r="W39" s="438"/>
      <c r="Y39">
        <v>8</v>
      </c>
      <c r="Z39" s="225">
        <v>1088</v>
      </c>
      <c r="AA39" s="438">
        <v>32304188</v>
      </c>
      <c r="AD39" t="s">
        <v>499</v>
      </c>
      <c r="AE39" t="s">
        <v>222</v>
      </c>
    </row>
    <row r="40" spans="1:32" x14ac:dyDescent="0.25">
      <c r="A40" s="215"/>
      <c r="B40" s="216" t="s">
        <v>35</v>
      </c>
      <c r="C40" s="225">
        <v>112710</v>
      </c>
      <c r="D40" s="438">
        <v>2115180875</v>
      </c>
      <c r="G40" s="225"/>
      <c r="H40" s="438"/>
      <c r="I40" s="438"/>
      <c r="J40" s="438"/>
      <c r="K40" s="438"/>
      <c r="L40" s="438"/>
      <c r="M40" s="438"/>
      <c r="N40" s="438"/>
      <c r="O40" s="438"/>
      <c r="P40" s="438"/>
      <c r="Q40" s="438"/>
      <c r="R40" s="438"/>
      <c r="S40" s="438"/>
      <c r="T40" s="438"/>
      <c r="W40" s="438"/>
      <c r="Y40">
        <v>9</v>
      </c>
      <c r="Z40" s="225">
        <v>2076</v>
      </c>
      <c r="AA40" s="438">
        <v>163265938</v>
      </c>
      <c r="AD40" t="s">
        <v>500</v>
      </c>
      <c r="AE40" t="s">
        <v>48</v>
      </c>
      <c r="AF40" t="s">
        <v>498</v>
      </c>
    </row>
    <row r="41" spans="1:32" x14ac:dyDescent="0.25">
      <c r="A41" s="215"/>
      <c r="B41" s="216" t="s">
        <v>36</v>
      </c>
      <c r="C41" s="225">
        <v>377308</v>
      </c>
      <c r="D41" s="438">
        <v>11650604844</v>
      </c>
      <c r="G41" s="225"/>
      <c r="H41" s="438"/>
      <c r="I41" s="438"/>
      <c r="J41" s="438"/>
      <c r="K41" s="438"/>
      <c r="L41" s="438"/>
      <c r="M41" s="438"/>
      <c r="N41" s="438"/>
      <c r="O41" s="438"/>
      <c r="P41" s="438"/>
      <c r="Q41" s="438"/>
      <c r="R41" s="438"/>
      <c r="S41" s="438"/>
      <c r="T41" s="438"/>
      <c r="W41" s="438"/>
      <c r="Y41" t="s">
        <v>33</v>
      </c>
      <c r="Z41" s="225">
        <v>25056</v>
      </c>
      <c r="AA41" s="438">
        <v>827195906</v>
      </c>
    </row>
    <row r="42" spans="1:32" x14ac:dyDescent="0.25">
      <c r="A42" s="215"/>
      <c r="B42" s="216" t="s">
        <v>37</v>
      </c>
      <c r="C42" s="225">
        <v>2533</v>
      </c>
      <c r="D42" s="438">
        <v>50866790</v>
      </c>
      <c r="G42" s="225"/>
      <c r="H42" s="438"/>
      <c r="I42" s="438"/>
      <c r="J42" s="438"/>
      <c r="K42" s="438"/>
      <c r="L42" s="438"/>
      <c r="M42" s="438"/>
      <c r="N42" s="438"/>
      <c r="O42" s="438"/>
      <c r="P42" s="438"/>
      <c r="Q42" s="438"/>
      <c r="R42" s="438"/>
      <c r="S42" s="438"/>
      <c r="T42" s="438"/>
      <c r="Y42" t="s">
        <v>34</v>
      </c>
      <c r="Z42" s="225">
        <v>263723</v>
      </c>
      <c r="AA42" s="438">
        <v>7469296000</v>
      </c>
    </row>
    <row r="43" spans="1:32" x14ac:dyDescent="0.25">
      <c r="A43" s="215"/>
      <c r="B43" s="216" t="s">
        <v>38</v>
      </c>
      <c r="C43" s="225">
        <v>118935</v>
      </c>
      <c r="D43" s="438">
        <v>3802187699</v>
      </c>
      <c r="G43" s="225"/>
      <c r="H43" s="225"/>
      <c r="I43" s="225"/>
      <c r="J43" s="225"/>
      <c r="K43" s="225"/>
      <c r="L43" s="225"/>
      <c r="M43" s="225"/>
      <c r="N43" s="225"/>
      <c r="O43" s="225"/>
      <c r="P43" s="225"/>
      <c r="Q43" s="225"/>
      <c r="R43" s="225"/>
      <c r="S43" s="225"/>
      <c r="T43" s="438"/>
      <c r="Y43" t="s">
        <v>35</v>
      </c>
      <c r="Z43" s="225">
        <v>114786</v>
      </c>
      <c r="AA43" s="438">
        <v>2216987813</v>
      </c>
    </row>
    <row r="44" spans="1:32" x14ac:dyDescent="0.25">
      <c r="A44" s="215"/>
      <c r="B44" s="216" t="s">
        <v>39</v>
      </c>
      <c r="C44" s="225">
        <v>40603</v>
      </c>
      <c r="D44" s="438">
        <v>1283066566</v>
      </c>
      <c r="G44" s="225"/>
      <c r="H44" s="225"/>
      <c r="I44" s="225"/>
      <c r="J44" s="225"/>
      <c r="K44" s="225"/>
      <c r="L44" s="225"/>
      <c r="M44" s="225"/>
      <c r="N44" s="225"/>
      <c r="O44" s="225"/>
      <c r="P44" s="225"/>
      <c r="Q44" s="225"/>
      <c r="R44" s="225"/>
      <c r="S44" s="225"/>
      <c r="T44" s="438"/>
      <c r="Y44" t="s">
        <v>36</v>
      </c>
      <c r="Z44" s="225">
        <v>377938</v>
      </c>
      <c r="AA44" s="438">
        <v>12008912551</v>
      </c>
    </row>
    <row r="45" spans="1:32" x14ac:dyDescent="0.25">
      <c r="A45" s="215"/>
      <c r="B45" s="216" t="s">
        <v>40</v>
      </c>
      <c r="C45" s="225">
        <v>428</v>
      </c>
      <c r="D45" s="438">
        <v>17228250</v>
      </c>
      <c r="H45" s="225"/>
      <c r="I45" s="225"/>
      <c r="J45" s="225"/>
      <c r="K45" s="225"/>
      <c r="L45" s="225"/>
      <c r="M45" s="225"/>
      <c r="N45" s="225"/>
      <c r="O45" s="225"/>
      <c r="P45" s="225"/>
      <c r="Q45" s="225"/>
      <c r="R45" s="225"/>
      <c r="S45" s="225"/>
      <c r="T45" s="438"/>
      <c r="Y45" t="s">
        <v>37</v>
      </c>
      <c r="Z45" s="225">
        <v>2644</v>
      </c>
      <c r="AA45" s="438">
        <v>53823700</v>
      </c>
    </row>
    <row r="46" spans="1:32" x14ac:dyDescent="0.25">
      <c r="A46" s="215"/>
      <c r="B46" s="216" t="s">
        <v>41</v>
      </c>
      <c r="C46" s="225">
        <v>3038</v>
      </c>
      <c r="D46" s="438">
        <v>0</v>
      </c>
      <c r="G46" s="225"/>
      <c r="H46" s="225"/>
      <c r="I46" s="225"/>
      <c r="J46" s="225"/>
      <c r="K46" s="225"/>
      <c r="L46" s="225"/>
      <c r="M46" s="225"/>
      <c r="N46" s="225"/>
      <c r="O46" s="225"/>
      <c r="P46" s="225"/>
      <c r="Q46" s="225"/>
      <c r="R46" s="225"/>
      <c r="S46" s="225"/>
      <c r="T46" s="438"/>
      <c r="Y46" t="s">
        <v>38</v>
      </c>
      <c r="Z46" s="225">
        <v>124048</v>
      </c>
      <c r="AA46" s="438">
        <v>4061798699</v>
      </c>
    </row>
    <row r="47" spans="1:32" x14ac:dyDescent="0.25">
      <c r="A47" s="219"/>
      <c r="B47" s="220"/>
      <c r="C47" s="221"/>
      <c r="D47" s="222"/>
      <c r="H47" s="225"/>
      <c r="I47" s="225"/>
      <c r="J47" s="225"/>
      <c r="K47" s="225"/>
      <c r="L47" s="225"/>
      <c r="M47" s="225"/>
      <c r="N47" s="225"/>
      <c r="O47" s="225"/>
      <c r="P47" s="225"/>
      <c r="Q47" s="225"/>
      <c r="R47" s="225"/>
      <c r="S47" s="225"/>
      <c r="T47" s="438"/>
      <c r="Y47" t="s">
        <v>39</v>
      </c>
      <c r="Z47" s="225">
        <v>41539</v>
      </c>
      <c r="AA47" s="438">
        <v>1340942110</v>
      </c>
    </row>
    <row r="48" spans="1:32" x14ac:dyDescent="0.25">
      <c r="A48" s="215" t="s">
        <v>7</v>
      </c>
      <c r="B48" s="216">
        <v>0</v>
      </c>
      <c r="C48" s="225">
        <v>93360</v>
      </c>
      <c r="D48" s="225">
        <v>7446903432</v>
      </c>
      <c r="H48" s="225"/>
      <c r="I48" s="225"/>
      <c r="J48" s="225"/>
      <c r="K48" s="225"/>
      <c r="L48" s="225"/>
      <c r="M48" s="225"/>
      <c r="N48" s="225"/>
      <c r="O48" s="225"/>
      <c r="P48" s="225"/>
      <c r="Q48" s="225"/>
      <c r="R48" s="225"/>
      <c r="S48" s="225"/>
      <c r="T48" s="438"/>
      <c r="Y48" t="s">
        <v>40</v>
      </c>
      <c r="Z48">
        <v>56</v>
      </c>
      <c r="AA48" s="438">
        <v>2313281</v>
      </c>
    </row>
    <row r="49" spans="1:27" x14ac:dyDescent="0.25">
      <c r="A49" s="215"/>
      <c r="B49" s="216">
        <v>1</v>
      </c>
      <c r="C49">
        <v>614</v>
      </c>
      <c r="D49" s="225">
        <v>50788142</v>
      </c>
      <c r="H49" s="225"/>
      <c r="I49" s="225"/>
      <c r="J49" s="225"/>
      <c r="K49" s="225"/>
      <c r="L49" s="225"/>
      <c r="M49" s="225"/>
      <c r="N49" s="225"/>
      <c r="O49" s="225"/>
      <c r="P49" s="225"/>
      <c r="Q49" s="225"/>
      <c r="R49" s="225"/>
      <c r="S49" s="225"/>
      <c r="T49" s="438"/>
      <c r="Y49" t="s">
        <v>41</v>
      </c>
      <c r="Z49" s="225">
        <v>3299</v>
      </c>
      <c r="AA49" s="438">
        <v>0</v>
      </c>
    </row>
    <row r="50" spans="1:27" x14ac:dyDescent="0.25">
      <c r="A50" s="215"/>
      <c r="B50" s="216">
        <v>2</v>
      </c>
      <c r="C50">
        <v>15</v>
      </c>
      <c r="D50" s="438">
        <v>1289924</v>
      </c>
      <c r="H50" s="225"/>
      <c r="I50" s="225"/>
      <c r="J50" s="225"/>
      <c r="K50" s="225"/>
      <c r="L50" s="225"/>
      <c r="M50" s="225"/>
      <c r="N50" s="225"/>
      <c r="O50" s="225"/>
      <c r="P50" s="225"/>
      <c r="Q50" s="225"/>
      <c r="R50" s="225"/>
      <c r="S50" s="225"/>
      <c r="T50" s="438"/>
    </row>
    <row r="51" spans="1:27" x14ac:dyDescent="0.25">
      <c r="A51" s="215"/>
      <c r="B51" s="216">
        <v>8</v>
      </c>
      <c r="C51" s="225">
        <v>1088</v>
      </c>
      <c r="D51" s="225">
        <v>32304188</v>
      </c>
      <c r="G51" s="225"/>
      <c r="H51" s="225"/>
      <c r="I51" s="225"/>
      <c r="J51" s="225"/>
      <c r="K51" s="225"/>
      <c r="L51" s="225"/>
      <c r="M51" s="225"/>
      <c r="N51" s="225"/>
      <c r="O51" s="225"/>
      <c r="P51" s="225"/>
      <c r="Q51" s="225"/>
      <c r="R51" s="225"/>
      <c r="S51" s="225"/>
      <c r="T51" s="438"/>
    </row>
    <row r="52" spans="1:27" x14ac:dyDescent="0.25">
      <c r="A52" s="215"/>
      <c r="B52" s="216">
        <v>9</v>
      </c>
      <c r="C52" s="225">
        <v>2076</v>
      </c>
      <c r="D52" s="438">
        <v>163265938</v>
      </c>
      <c r="H52" s="225"/>
      <c r="I52" s="225"/>
      <c r="J52" s="225"/>
      <c r="K52" s="225"/>
      <c r="L52" s="225"/>
      <c r="M52" s="225"/>
      <c r="N52" s="225"/>
      <c r="O52" s="225"/>
      <c r="P52" s="225"/>
      <c r="Q52" s="225"/>
      <c r="R52" s="225"/>
      <c r="S52" s="225"/>
      <c r="T52" s="438"/>
    </row>
    <row r="53" spans="1:27" x14ac:dyDescent="0.25">
      <c r="A53" s="215"/>
      <c r="B53" s="216" t="s">
        <v>33</v>
      </c>
      <c r="C53" s="225">
        <v>25056</v>
      </c>
      <c r="D53" s="438">
        <v>827195906</v>
      </c>
      <c r="H53" s="438"/>
      <c r="I53" s="438"/>
      <c r="J53" s="438"/>
      <c r="K53" s="438"/>
      <c r="L53" s="438"/>
      <c r="M53" s="438"/>
      <c r="N53" s="438"/>
      <c r="O53" s="438"/>
      <c r="P53" s="438"/>
      <c r="Q53" s="438"/>
      <c r="R53" s="438"/>
      <c r="S53" s="438"/>
      <c r="T53" s="438"/>
    </row>
    <row r="54" spans="1:27" x14ac:dyDescent="0.25">
      <c r="A54" s="215"/>
      <c r="B54" s="216" t="s">
        <v>34</v>
      </c>
      <c r="C54" s="225">
        <v>263723</v>
      </c>
      <c r="D54" s="438">
        <v>7469296000</v>
      </c>
      <c r="G54" s="225"/>
      <c r="H54" s="225"/>
      <c r="I54" s="225"/>
      <c r="J54" s="225"/>
      <c r="K54" s="225"/>
      <c r="L54" s="225"/>
      <c r="M54" s="225"/>
      <c r="N54" s="225"/>
      <c r="O54" s="225"/>
      <c r="P54" s="225"/>
      <c r="Q54" s="225"/>
      <c r="R54" s="225"/>
      <c r="S54" s="225"/>
      <c r="T54" s="438"/>
    </row>
    <row r="55" spans="1:27" x14ac:dyDescent="0.25">
      <c r="A55" s="215"/>
      <c r="B55" s="216" t="s">
        <v>35</v>
      </c>
      <c r="C55" s="225">
        <v>114786</v>
      </c>
      <c r="D55" s="438">
        <v>2216987813</v>
      </c>
      <c r="G55" s="225"/>
      <c r="H55" s="438"/>
      <c r="I55" s="438"/>
      <c r="J55" s="438"/>
      <c r="K55" s="438"/>
      <c r="L55" s="438"/>
      <c r="M55" s="438"/>
      <c r="N55" s="438"/>
      <c r="O55" s="438"/>
      <c r="P55" s="438"/>
      <c r="Q55" s="438"/>
      <c r="R55" s="438"/>
      <c r="S55" s="438"/>
    </row>
    <row r="56" spans="1:27" x14ac:dyDescent="0.25">
      <c r="A56" s="215"/>
      <c r="B56" s="216" t="s">
        <v>36</v>
      </c>
      <c r="C56" s="225">
        <v>377938</v>
      </c>
      <c r="D56" s="438">
        <v>12010701373</v>
      </c>
      <c r="G56" s="225"/>
      <c r="H56" s="438"/>
      <c r="I56" s="438"/>
      <c r="J56" s="438"/>
      <c r="K56" s="438"/>
      <c r="L56" s="438"/>
      <c r="M56" s="438"/>
      <c r="N56" s="438"/>
      <c r="O56" s="438"/>
      <c r="P56" s="438"/>
      <c r="Q56" s="438"/>
      <c r="R56" s="438"/>
      <c r="S56" s="438"/>
    </row>
    <row r="57" spans="1:27" x14ac:dyDescent="0.25">
      <c r="A57" s="215"/>
      <c r="B57" s="216" t="s">
        <v>37</v>
      </c>
      <c r="C57" s="225">
        <v>2644</v>
      </c>
      <c r="D57" s="438">
        <v>53823700</v>
      </c>
      <c r="G57" s="225"/>
      <c r="H57" s="438"/>
      <c r="I57" s="438"/>
      <c r="J57" s="438"/>
      <c r="K57" s="438"/>
      <c r="L57" s="438"/>
      <c r="M57" s="438"/>
      <c r="N57" s="438"/>
      <c r="O57" s="438"/>
      <c r="P57" s="438"/>
      <c r="Q57" s="438"/>
      <c r="R57" s="438"/>
      <c r="S57" s="438"/>
    </row>
    <row r="58" spans="1:27" x14ac:dyDescent="0.25">
      <c r="A58" s="215"/>
      <c r="B58" s="216" t="s">
        <v>38</v>
      </c>
      <c r="C58" s="225">
        <v>123875</v>
      </c>
      <c r="D58" s="438">
        <v>4055609924</v>
      </c>
      <c r="G58" s="225"/>
      <c r="H58" s="438"/>
      <c r="I58" s="438"/>
      <c r="J58" s="438"/>
      <c r="K58" s="438"/>
      <c r="L58" s="438"/>
      <c r="M58" s="438"/>
      <c r="N58" s="438"/>
      <c r="O58" s="438"/>
      <c r="P58" s="438"/>
      <c r="Q58" s="438"/>
      <c r="R58" s="438"/>
      <c r="S58" s="438"/>
    </row>
    <row r="59" spans="1:27" x14ac:dyDescent="0.25">
      <c r="A59" s="215"/>
      <c r="B59" s="216" t="s">
        <v>39</v>
      </c>
      <c r="C59" s="225">
        <v>41539</v>
      </c>
      <c r="D59" s="438">
        <v>1346591230</v>
      </c>
      <c r="G59" s="225"/>
      <c r="H59" s="438"/>
      <c r="I59" s="438"/>
      <c r="J59" s="438"/>
      <c r="K59" s="438"/>
      <c r="L59" s="438"/>
      <c r="M59" s="438"/>
      <c r="N59" s="438"/>
      <c r="O59" s="438"/>
      <c r="P59" s="438"/>
      <c r="Q59" s="438"/>
      <c r="R59" s="438"/>
      <c r="S59" s="438"/>
    </row>
    <row r="60" spans="1:27" x14ac:dyDescent="0.25">
      <c r="A60" s="215"/>
      <c r="B60" s="216" t="s">
        <v>40</v>
      </c>
      <c r="C60">
        <v>56</v>
      </c>
      <c r="D60" s="438">
        <v>2313281</v>
      </c>
      <c r="G60" s="225"/>
      <c r="H60" s="438"/>
      <c r="I60" s="438"/>
      <c r="J60" s="438"/>
      <c r="K60" s="438"/>
      <c r="L60" s="438"/>
      <c r="M60" s="438"/>
      <c r="N60" s="438"/>
      <c r="O60" s="438"/>
      <c r="P60" s="438"/>
      <c r="Q60" s="438"/>
      <c r="R60" s="438"/>
      <c r="S60" s="438"/>
    </row>
    <row r="61" spans="1:27" ht="15.75" thickBot="1" x14ac:dyDescent="0.3">
      <c r="A61" s="223"/>
      <c r="B61" s="224" t="s">
        <v>41</v>
      </c>
      <c r="C61" s="225">
        <v>3299</v>
      </c>
      <c r="D61" s="438">
        <v>0</v>
      </c>
      <c r="G61" s="225"/>
      <c r="H61" s="438"/>
      <c r="I61" s="438"/>
      <c r="J61" s="438"/>
      <c r="K61" s="438"/>
      <c r="L61" s="438"/>
      <c r="M61" s="438"/>
      <c r="N61" s="438"/>
      <c r="O61" s="438"/>
      <c r="P61" s="438"/>
      <c r="Q61" s="438"/>
      <c r="R61" s="438"/>
      <c r="S61" s="438"/>
    </row>
    <row r="62" spans="1:27" x14ac:dyDescent="0.25">
      <c r="G62" s="225"/>
      <c r="H62" s="438"/>
      <c r="I62" s="438"/>
      <c r="J62" s="438"/>
      <c r="K62" s="438"/>
      <c r="L62" s="438"/>
      <c r="M62" s="438"/>
      <c r="N62" s="438"/>
      <c r="O62" s="438"/>
      <c r="P62" s="438"/>
      <c r="Q62" s="438"/>
      <c r="R62" s="438"/>
      <c r="S62" s="438"/>
    </row>
    <row r="63" spans="1:27" x14ac:dyDescent="0.25">
      <c r="H63" s="438"/>
      <c r="I63" s="438"/>
      <c r="J63" s="438"/>
      <c r="K63" s="438"/>
      <c r="L63" s="438"/>
      <c r="M63" s="438"/>
      <c r="N63" s="438"/>
      <c r="O63" s="438"/>
      <c r="P63" s="438"/>
      <c r="Q63" s="438"/>
      <c r="R63" s="438"/>
      <c r="S63" s="438"/>
    </row>
    <row r="64" spans="1:27" x14ac:dyDescent="0.25">
      <c r="G64" s="225"/>
      <c r="H64" s="438"/>
      <c r="I64" s="438"/>
      <c r="J64" s="438"/>
      <c r="K64" s="438"/>
      <c r="L64" s="438"/>
      <c r="M64" s="438"/>
      <c r="N64" s="438"/>
      <c r="O64" s="438"/>
      <c r="P64" s="438"/>
      <c r="Q64" s="438"/>
      <c r="R64" s="438"/>
      <c r="S64" s="438"/>
    </row>
  </sheetData>
  <customSheetViews>
    <customSheetView guid="{9EA95E61-FCA5-4867-AEB4-B8C24058ACDD}" state="hidden">
      <selection activeCell="G29" sqref="G29"/>
      <pageMargins left="0.7" right="0.7" top="0.75" bottom="0.75" header="0.3" footer="0.3"/>
    </customSheetView>
  </customSheetViews>
  <mergeCells count="1">
    <mergeCell ref="A1:D1"/>
  </mergeCells>
  <pageMargins left="0.7" right="0.7" top="0.75" bottom="0.75" header="0.3" footer="0.3"/>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dimension ref="A1:U93"/>
  <sheetViews>
    <sheetView showRowColHeaders="0" zoomScaleNormal="100" workbookViewId="0">
      <selection activeCell="A29" sqref="A29"/>
    </sheetView>
  </sheetViews>
  <sheetFormatPr defaultRowHeight="15" x14ac:dyDescent="0.25"/>
  <cols>
    <col min="2" max="2" width="18" customWidth="1"/>
    <col min="3" max="9" width="12" customWidth="1"/>
    <col min="10" max="10" width="28.28515625" customWidth="1"/>
    <col min="11" max="11" width="32.7109375" customWidth="1"/>
    <col min="12" max="12" width="16.28515625" customWidth="1"/>
    <col min="13" max="13" width="26.28515625" bestFit="1" customWidth="1"/>
    <col min="14" max="14" width="16.28515625" bestFit="1" customWidth="1"/>
    <col min="15" max="15" width="22.5703125" bestFit="1" customWidth="1"/>
    <col min="16" max="16" width="21.28515625" bestFit="1" customWidth="1"/>
    <col min="17" max="17" width="22.28515625" bestFit="1" customWidth="1"/>
  </cols>
  <sheetData>
    <row r="1" spans="1:21" x14ac:dyDescent="0.25">
      <c r="A1" s="1898" t="s">
        <v>323</v>
      </c>
      <c r="B1" s="1898"/>
    </row>
    <row r="4" spans="1:21" ht="30" x14ac:dyDescent="0.4">
      <c r="B4" s="2" t="s">
        <v>375</v>
      </c>
    </row>
    <row r="5" spans="1:21" x14ac:dyDescent="0.25">
      <c r="B5" s="274"/>
      <c r="C5" s="276"/>
      <c r="D5" s="276"/>
      <c r="E5" s="276"/>
      <c r="F5" s="276"/>
      <c r="G5" s="276"/>
      <c r="H5" s="276"/>
    </row>
    <row r="6" spans="1:21" x14ac:dyDescent="0.25">
      <c r="B6" s="293" t="s">
        <v>379</v>
      </c>
      <c r="C6" s="293"/>
      <c r="D6" s="293"/>
      <c r="E6" s="276"/>
      <c r="F6" s="276"/>
      <c r="G6" s="276"/>
      <c r="H6" s="276"/>
      <c r="R6" s="8"/>
      <c r="S6" s="8"/>
      <c r="T6" s="8"/>
      <c r="U6" s="8"/>
    </row>
    <row r="7" spans="1:21" x14ac:dyDescent="0.25">
      <c r="B7" s="293"/>
      <c r="C7" s="293"/>
      <c r="D7" s="293">
        <v>1</v>
      </c>
      <c r="E7" s="276"/>
      <c r="F7" s="276"/>
      <c r="G7" s="276"/>
      <c r="H7" s="276"/>
      <c r="R7" s="8"/>
      <c r="S7" s="8"/>
      <c r="T7" s="8"/>
      <c r="U7" s="8"/>
    </row>
    <row r="8" spans="1:21" x14ac:dyDescent="0.25">
      <c r="B8" s="293"/>
      <c r="C8" s="293"/>
      <c r="D8" s="293"/>
      <c r="E8" s="276"/>
      <c r="F8" s="276"/>
      <c r="G8" s="276"/>
      <c r="H8" s="276"/>
      <c r="R8" s="8"/>
      <c r="S8" s="8"/>
      <c r="T8" s="8"/>
      <c r="U8" s="8"/>
    </row>
    <row r="9" spans="1:21" x14ac:dyDescent="0.25">
      <c r="B9" s="293"/>
      <c r="C9" s="293"/>
      <c r="D9" s="293"/>
      <c r="E9" s="276"/>
      <c r="F9" s="276"/>
      <c r="G9" s="276"/>
      <c r="H9" s="276"/>
      <c r="R9" s="8"/>
      <c r="S9" s="8"/>
      <c r="T9" s="8"/>
      <c r="U9" s="8"/>
    </row>
    <row r="10" spans="1:21" x14ac:dyDescent="0.25">
      <c r="B10" s="293" t="s">
        <v>381</v>
      </c>
      <c r="C10" s="293"/>
      <c r="D10" s="293"/>
      <c r="E10" s="276" t="s">
        <v>382</v>
      </c>
      <c r="F10" s="276"/>
      <c r="G10" s="276"/>
      <c r="H10" s="276"/>
      <c r="R10" s="8"/>
      <c r="S10" s="8"/>
      <c r="T10" s="8"/>
      <c r="U10" s="8"/>
    </row>
    <row r="11" spans="1:21" x14ac:dyDescent="0.25">
      <c r="B11" s="293"/>
      <c r="C11" s="293"/>
      <c r="D11" s="293"/>
      <c r="E11" s="276"/>
      <c r="F11" s="276"/>
      <c r="G11" s="276"/>
      <c r="H11" s="276"/>
      <c r="R11" s="8"/>
      <c r="S11" s="8"/>
      <c r="T11" s="8"/>
      <c r="U11" s="8"/>
    </row>
    <row r="12" spans="1:21" x14ac:dyDescent="0.25">
      <c r="B12" s="293"/>
      <c r="C12" s="293"/>
      <c r="D12" s="293"/>
      <c r="E12" s="276"/>
      <c r="F12" s="276"/>
      <c r="G12" s="276"/>
      <c r="H12" s="276"/>
      <c r="I12">
        <v>44</v>
      </c>
      <c r="J12">
        <f>IF(I12&lt;50, -I12/50, I12/50)</f>
        <v>-0.88</v>
      </c>
      <c r="R12" s="8"/>
      <c r="S12" s="8"/>
      <c r="T12" s="8"/>
      <c r="U12" s="8"/>
    </row>
    <row r="13" spans="1:21" x14ac:dyDescent="0.25">
      <c r="B13" s="274"/>
      <c r="C13" s="274"/>
      <c r="D13" s="274"/>
      <c r="E13" s="357">
        <v>-1</v>
      </c>
      <c r="F13" s="274"/>
      <c r="G13" s="357">
        <v>1</v>
      </c>
      <c r="H13" s="274"/>
      <c r="I13" s="8"/>
      <c r="R13" s="8"/>
      <c r="S13" s="8"/>
      <c r="T13" s="8"/>
      <c r="U13" s="8"/>
    </row>
    <row r="14" spans="1:21" x14ac:dyDescent="0.25">
      <c r="B14" s="274"/>
      <c r="C14" s="274"/>
      <c r="D14" s="274"/>
      <c r="E14" s="274"/>
      <c r="F14" s="274"/>
      <c r="G14" s="274"/>
      <c r="H14" s="274"/>
      <c r="I14" s="8"/>
      <c r="R14" s="8"/>
      <c r="S14" s="8"/>
      <c r="T14" s="8"/>
      <c r="U14" s="8"/>
    </row>
    <row r="15" spans="1:21" x14ac:dyDescent="0.25">
      <c r="B15" s="274"/>
      <c r="C15" s="274"/>
      <c r="D15" s="274"/>
      <c r="E15" s="274"/>
      <c r="F15" s="274"/>
      <c r="G15" s="274"/>
      <c r="H15" s="274"/>
      <c r="I15" s="8"/>
      <c r="R15" s="8"/>
      <c r="S15" s="8"/>
      <c r="T15" s="8"/>
      <c r="U15" s="8"/>
    </row>
    <row r="16" spans="1:21" x14ac:dyDescent="0.25">
      <c r="B16" s="274" t="s">
        <v>214</v>
      </c>
      <c r="C16" s="274" t="s">
        <v>192</v>
      </c>
      <c r="D16" s="274" t="s">
        <v>193</v>
      </c>
      <c r="E16" s="274" t="s">
        <v>194</v>
      </c>
      <c r="F16" s="274" t="s">
        <v>195</v>
      </c>
      <c r="G16" s="274" t="s">
        <v>196</v>
      </c>
      <c r="H16" s="274" t="s">
        <v>6</v>
      </c>
      <c r="I16" s="8" t="s">
        <v>7</v>
      </c>
      <c r="R16" s="8"/>
      <c r="S16" s="8"/>
      <c r="T16" s="8"/>
      <c r="U16" s="8"/>
    </row>
    <row r="17" spans="1:21" x14ac:dyDescent="0.25">
      <c r="B17" s="274" t="s">
        <v>215</v>
      </c>
      <c r="C17" s="274">
        <v>31334252.480110005</v>
      </c>
      <c r="D17" s="274">
        <v>33926746.314999998</v>
      </c>
      <c r="E17" s="274">
        <v>35177509.125</v>
      </c>
      <c r="F17" s="274">
        <v>36539983.701629996</v>
      </c>
      <c r="G17" s="274">
        <v>39213453.649081036</v>
      </c>
      <c r="H17" s="274">
        <v>42145100.102129996</v>
      </c>
      <c r="I17" s="8">
        <v>43513839</v>
      </c>
      <c r="R17" s="8"/>
      <c r="S17" s="8"/>
      <c r="T17" s="8"/>
      <c r="U17" s="8"/>
    </row>
    <row r="18" spans="1:21" x14ac:dyDescent="0.25">
      <c r="B18" s="274" t="s">
        <v>216</v>
      </c>
      <c r="C18" s="274">
        <v>1557282.4487299998</v>
      </c>
      <c r="D18" s="274">
        <v>1459935.5</v>
      </c>
      <c r="E18" s="274">
        <v>1185244</v>
      </c>
      <c r="F18" s="274">
        <v>1354520.29837</v>
      </c>
      <c r="G18" s="274">
        <v>1895451.8837600001</v>
      </c>
      <c r="H18" s="274">
        <v>2195295.3909299998</v>
      </c>
      <c r="I18" s="8">
        <v>2127889</v>
      </c>
      <c r="R18" s="8"/>
      <c r="S18" s="8"/>
      <c r="T18" s="8"/>
      <c r="U18" s="8"/>
    </row>
    <row r="19" spans="1:21" x14ac:dyDescent="0.25">
      <c r="B19" s="274" t="str">
        <f>IF($D$7=1, 'Productivity (4)'!B19, 'Productivity (4)'!B12)</f>
        <v>Intermediates (RC)</v>
      </c>
      <c r="C19" s="274">
        <f>IF($D$7=1, 'Productivity (4)'!C19, 'Productivity (4)'!C12)</f>
        <v>0</v>
      </c>
      <c r="D19" s="274">
        <f>IF($D$7=1, 'Productivity (4)'!D19, 'Productivity (4)'!D12)</f>
        <v>10271344</v>
      </c>
      <c r="E19" s="274">
        <f>IF($D$7=1, 'Productivity (4)'!E19, 'Productivity (4)'!E12)</f>
        <v>11378727</v>
      </c>
      <c r="F19" s="274">
        <f>IF($D$7=1, 'Productivity (4)'!F19, 'Productivity (4)'!F12)</f>
        <v>13036200</v>
      </c>
      <c r="G19" s="274">
        <f>IF($D$7=1, 'Productivity (4)'!G19, 'Productivity (4)'!G12)</f>
        <v>13991803</v>
      </c>
      <c r="H19" s="274">
        <f>IF($D$7=1, 'Productivity (4)'!H19, 'Productivity (4)'!H12)</f>
        <v>14911074</v>
      </c>
      <c r="I19" s="274">
        <f>IF($D$7=1, 'Productivity (4)'!I19, 'Productivity (4)'!I12)</f>
        <v>16077609</v>
      </c>
      <c r="R19" s="8"/>
      <c r="S19" s="8"/>
      <c r="T19" s="8"/>
      <c r="U19" s="8"/>
    </row>
    <row r="20" spans="1:21" x14ac:dyDescent="0.25">
      <c r="B20" s="274" t="s">
        <v>47</v>
      </c>
      <c r="C20" s="274">
        <v>5115514.2809764491</v>
      </c>
      <c r="D20" s="274">
        <v>5839664.3710000003</v>
      </c>
      <c r="E20" s="274">
        <v>6568362.6799999997</v>
      </c>
      <c r="F20" s="274">
        <v>7784592.0729</v>
      </c>
      <c r="G20" s="274">
        <v>7426030.9178999998</v>
      </c>
      <c r="H20" s="274">
        <v>7635390.1285600001</v>
      </c>
      <c r="I20" s="8">
        <v>8025361</v>
      </c>
      <c r="R20" s="8"/>
      <c r="S20" s="8"/>
      <c r="T20" s="8"/>
      <c r="U20" s="8"/>
    </row>
    <row r="21" spans="1:21" x14ac:dyDescent="0.25">
      <c r="A21" s="6"/>
      <c r="B21" s="274" t="s">
        <v>136</v>
      </c>
      <c r="C21" s="274">
        <v>8094174.9440000001</v>
      </c>
      <c r="D21" s="274">
        <v>8013483.2259999998</v>
      </c>
      <c r="E21" s="274">
        <v>8250323.8930000002</v>
      </c>
      <c r="F21" s="274">
        <v>8303500.9179999996</v>
      </c>
      <c r="G21" s="274">
        <v>8376264.432</v>
      </c>
      <c r="H21" s="274">
        <v>8621421.1300000008</v>
      </c>
      <c r="I21" s="8">
        <v>8880735.3440000005</v>
      </c>
      <c r="R21" s="8"/>
      <c r="S21" s="8"/>
      <c r="T21" s="8"/>
      <c r="U21" s="8"/>
    </row>
    <row r="22" spans="1:21" x14ac:dyDescent="0.25">
      <c r="A22" s="5"/>
      <c r="B22" s="274" t="s">
        <v>218</v>
      </c>
      <c r="C22" s="274">
        <v>9569836</v>
      </c>
      <c r="D22" s="274">
        <v>11162141</v>
      </c>
      <c r="E22" s="274">
        <v>11209422</v>
      </c>
      <c r="F22" s="274">
        <v>11697639</v>
      </c>
      <c r="G22" s="274">
        <v>12074672</v>
      </c>
      <c r="H22" s="274">
        <v>12683418</v>
      </c>
      <c r="I22" s="8">
        <v>12962081</v>
      </c>
      <c r="R22" s="8"/>
      <c r="S22" s="8"/>
      <c r="T22" s="8"/>
      <c r="U22" s="8"/>
    </row>
    <row r="23" spans="1:21" x14ac:dyDescent="0.25">
      <c r="A23" s="5"/>
      <c r="B23" s="274" t="s">
        <v>378</v>
      </c>
      <c r="C23" s="274">
        <v>278000</v>
      </c>
      <c r="D23" s="274">
        <v>262000</v>
      </c>
      <c r="E23" s="274">
        <v>229000</v>
      </c>
      <c r="F23" s="274">
        <v>226000</v>
      </c>
      <c r="G23" s="274">
        <v>242958</v>
      </c>
      <c r="H23" s="274">
        <v>241608</v>
      </c>
      <c r="I23" s="8">
        <v>212245</v>
      </c>
      <c r="R23" s="8"/>
      <c r="S23" s="8"/>
      <c r="T23" s="8"/>
      <c r="U23" s="8"/>
    </row>
    <row r="24" spans="1:21" x14ac:dyDescent="0.25">
      <c r="A24" s="5"/>
      <c r="B24" s="274" t="s">
        <v>220</v>
      </c>
      <c r="C24" s="274">
        <v>64707050.153816454</v>
      </c>
      <c r="D24" s="274">
        <v>70935314.412</v>
      </c>
      <c r="E24" s="274">
        <v>73998588.697999999</v>
      </c>
      <c r="F24" s="274">
        <v>78942435.990899995</v>
      </c>
      <c r="G24" s="274">
        <v>83220633.882741034</v>
      </c>
      <c r="H24" s="274">
        <v>88433306.751619995</v>
      </c>
      <c r="I24" s="8">
        <v>91799759.343999997</v>
      </c>
      <c r="R24" s="8"/>
      <c r="S24" s="8"/>
      <c r="T24" s="8"/>
      <c r="U24" s="8"/>
    </row>
    <row r="25" spans="1:21" x14ac:dyDescent="0.25">
      <c r="A25" s="5"/>
      <c r="B25" s="274"/>
      <c r="C25" s="274"/>
      <c r="D25" s="274"/>
      <c r="E25" s="274"/>
      <c r="F25" s="274"/>
      <c r="G25" s="274"/>
      <c r="H25" s="274"/>
      <c r="I25" s="8"/>
      <c r="R25" s="8"/>
      <c r="S25" s="8"/>
      <c r="T25" s="8"/>
      <c r="U25" s="8"/>
    </row>
    <row r="26" spans="1:21" x14ac:dyDescent="0.25">
      <c r="A26" s="5"/>
      <c r="B26" s="274" t="s">
        <v>221</v>
      </c>
      <c r="C26" s="274"/>
      <c r="D26" s="274"/>
      <c r="E26" s="274"/>
      <c r="F26" s="274"/>
      <c r="G26" s="274"/>
      <c r="H26" s="274"/>
      <c r="I26" s="8"/>
      <c r="R26" s="8"/>
      <c r="S26" s="8"/>
      <c r="T26" s="8"/>
      <c r="U26" s="8"/>
    </row>
    <row r="27" spans="1:21" x14ac:dyDescent="0.25">
      <c r="A27" s="5"/>
      <c r="B27" s="274" t="s">
        <v>215</v>
      </c>
      <c r="C27" s="274">
        <f>C17/'Productivity (4)'!J17</f>
        <v>38212088</v>
      </c>
      <c r="D27" s="274">
        <f>D17/'Productivity (4)'!K17</f>
        <v>39516362</v>
      </c>
      <c r="E27" s="274">
        <f>E17/'Productivity (4)'!L17</f>
        <v>39359457</v>
      </c>
      <c r="F27" s="274">
        <f>F17/'Productivity (4)'!M17</f>
        <v>39525586</v>
      </c>
      <c r="G27" s="274">
        <f>G17/'Productivity (4)'!N17</f>
        <v>41200614</v>
      </c>
      <c r="H27" s="274">
        <f>H17/'Productivity (4)'!O17</f>
        <v>43406879</v>
      </c>
      <c r="I27" s="274">
        <f>I17/'Productivity (4)'!P17</f>
        <v>43513839</v>
      </c>
      <c r="R27" s="8"/>
      <c r="S27" s="8"/>
      <c r="T27" s="8"/>
      <c r="U27" s="8"/>
    </row>
    <row r="28" spans="1:21" x14ac:dyDescent="0.25">
      <c r="A28" s="5"/>
      <c r="B28" s="274" t="s">
        <v>216</v>
      </c>
      <c r="C28" s="274">
        <f>C18/'Productivity (4)'!J18</f>
        <v>1669078</v>
      </c>
      <c r="D28" s="274">
        <f>D18/'Productivity (4)'!K18</f>
        <v>1440740</v>
      </c>
      <c r="E28" s="274">
        <f>E18/'Productivity (4)'!L18</f>
        <v>1089513</v>
      </c>
      <c r="F28" s="274">
        <f>F18/'Productivity (4)'!M18</f>
        <v>1305572</v>
      </c>
      <c r="G28" s="274">
        <f>G18/'Productivity (4)'!N18</f>
        <v>1988902</v>
      </c>
      <c r="H28" s="274">
        <f>H18/'Productivity (4)'!O18</f>
        <v>2373791</v>
      </c>
      <c r="I28" s="274">
        <f>I18/'Productivity (4)'!P18</f>
        <v>2127889</v>
      </c>
    </row>
    <row r="29" spans="1:21" x14ac:dyDescent="0.25">
      <c r="A29" s="5"/>
      <c r="B29" s="274" t="s">
        <v>217</v>
      </c>
      <c r="C29" s="274" t="e">
        <f>C19/'Productivity (4)'!J19</f>
        <v>#DIV/0!</v>
      </c>
      <c r="D29" s="274">
        <f>D19/'Productivity (4)'!K19</f>
        <v>10650038</v>
      </c>
      <c r="E29" s="274">
        <f>E19/'Productivity (4)'!L19</f>
        <v>11640863</v>
      </c>
      <c r="F29" s="274">
        <f>F19/'Productivity (4)'!M19</f>
        <v>13367264.856002657</v>
      </c>
      <c r="G29" s="274">
        <f>G19/'Productivity (4)'!N19</f>
        <v>14140508.469508</v>
      </c>
      <c r="H29" s="274">
        <f>H19/'Productivity (4)'!O19</f>
        <v>15427876.675999999</v>
      </c>
      <c r="I29" s="274">
        <f>I19/'Productivity (4)'!P19</f>
        <v>16077604</v>
      </c>
    </row>
    <row r="30" spans="1:21" x14ac:dyDescent="0.25">
      <c r="B30" s="274" t="s">
        <v>47</v>
      </c>
      <c r="C30" s="274">
        <f>C20/'Productivity (4)'!J20</f>
        <v>3308036</v>
      </c>
      <c r="D30" s="274">
        <f>D20/'Productivity (4)'!K20</f>
        <v>3578676</v>
      </c>
      <c r="E30" s="274">
        <f>E20/'Productivity (4)'!L20</f>
        <v>4190683</v>
      </c>
      <c r="F30" s="274">
        <f>F20/'Productivity (4)'!M20</f>
        <v>4292293</v>
      </c>
      <c r="G30" s="274">
        <f>G20/'Productivity (4)'!N20</f>
        <v>3994568</v>
      </c>
      <c r="H30" s="274">
        <f>H20/'Productivity (4)'!O20</f>
        <v>3958031</v>
      </c>
      <c r="I30" s="274">
        <f>I20/'Productivity (4)'!P20</f>
        <v>3893373.9999999995</v>
      </c>
    </row>
    <row r="31" spans="1:21" x14ac:dyDescent="0.25">
      <c r="B31" s="274" t="s">
        <v>136</v>
      </c>
      <c r="C31" s="274">
        <f>C21/'Productivity (4)'!J21</f>
        <v>5931102.0326811802</v>
      </c>
      <c r="D31" s="274">
        <f>D21/'Productivity (4)'!K21</f>
        <v>6514497.3790748697</v>
      </c>
      <c r="E31" s="274">
        <f>E21/'Productivity (4)'!L21</f>
        <v>6944132.5587071804</v>
      </c>
      <c r="F31" s="274">
        <f>F21/'Productivity (4)'!M21</f>
        <v>7454440.1813448202</v>
      </c>
      <c r="G31" s="274">
        <f>G21/'Productivity (4)'!N21</f>
        <v>7927564.293015331</v>
      </c>
      <c r="H31" s="274">
        <f>H21/'Productivity (4)'!O21</f>
        <v>8477306.9124877099</v>
      </c>
      <c r="I31" s="274">
        <f>I21/'Productivity (4)'!P21</f>
        <v>8880735.3440000005</v>
      </c>
    </row>
    <row r="32" spans="1:21" x14ac:dyDescent="0.25">
      <c r="B32" s="274" t="s">
        <v>218</v>
      </c>
      <c r="C32" s="274">
        <f>C22/'Productivity (4)'!J22</f>
        <v>11670404.906738559</v>
      </c>
      <c r="D32" s="274">
        <f>D22/'Productivity (4)'!K22</f>
        <v>13001164.445567448</v>
      </c>
      <c r="E32" s="274">
        <f>E22/'Productivity (4)'!L22</f>
        <v>12542012.72574419</v>
      </c>
      <c r="F32" s="274">
        <f>F22/'Productivity (4)'!M22</f>
        <v>12645671.111368861</v>
      </c>
      <c r="G32" s="274">
        <f>G22/'Productivity (4)'!N22</f>
        <v>12673068.453165414</v>
      </c>
      <c r="H32" s="274">
        <f>H22/'Productivity (4)'!O22</f>
        <v>13076603.958000001</v>
      </c>
      <c r="I32" s="274">
        <f>I22/'Productivity (4)'!P22</f>
        <v>12962081</v>
      </c>
    </row>
    <row r="33" spans="2:9" x14ac:dyDescent="0.25">
      <c r="B33" s="274" t="s">
        <v>378</v>
      </c>
      <c r="C33" s="274">
        <f>C23/'Productivity (4)'!J23</f>
        <v>331183.30547743692</v>
      </c>
      <c r="D33" s="274">
        <f>D23/'Productivity (4)'!K23</f>
        <v>300985.91688492848</v>
      </c>
      <c r="E33" s="274">
        <f>E23/'Productivity (4)'!L23</f>
        <v>253688.98454382003</v>
      </c>
      <c r="F33" s="274">
        <f>F23/'Productivity (4)'!M23</f>
        <v>243309.57052000001</v>
      </c>
      <c r="G33" s="274">
        <f>G23/'Productivity (4)'!N23</f>
        <v>251747.7262339491</v>
      </c>
      <c r="H33" s="274">
        <f>H23/'Productivity (4)'!O23</f>
        <v>248856.16224529999</v>
      </c>
      <c r="I33" s="274">
        <f>I23/'Productivity (4)'!P23</f>
        <v>212245.30799999999</v>
      </c>
    </row>
    <row r="34" spans="2:9" x14ac:dyDescent="0.25">
      <c r="B34" s="276" t="s">
        <v>220</v>
      </c>
      <c r="C34" s="274">
        <f>C24/'Productivity (4)'!J24</f>
        <v>70030219.244897187</v>
      </c>
      <c r="D34" s="274">
        <f>D24/'Productivity (4)'!K24</f>
        <v>75002463.741527244</v>
      </c>
      <c r="E34" s="274">
        <f>E24/'Productivity (4)'!L24</f>
        <v>76020350.268995181</v>
      </c>
      <c r="F34" s="274">
        <f>F24/'Productivity (4)'!M24</f>
        <v>78834136.719236344</v>
      </c>
      <c r="G34" s="274">
        <f>G24/'Productivity (4)'!N24</f>
        <v>82176972.94192268</v>
      </c>
      <c r="H34" s="274">
        <f>H24/'Productivity (4)'!O24</f>
        <v>86969344.708733022</v>
      </c>
      <c r="I34" s="274">
        <f>I24/'Productivity (4)'!P24</f>
        <v>87667767.65199998</v>
      </c>
    </row>
    <row r="35" spans="2:9" x14ac:dyDescent="0.25">
      <c r="B35" s="276"/>
      <c r="C35" s="276"/>
      <c r="D35" s="276"/>
      <c r="E35" s="276"/>
      <c r="F35" s="276"/>
      <c r="G35" s="276"/>
      <c r="H35" s="276"/>
    </row>
    <row r="36" spans="2:9" x14ac:dyDescent="0.25">
      <c r="B36" s="276">
        <v>352459.1206072038</v>
      </c>
      <c r="C36" s="276">
        <v>240357.88846676395</v>
      </c>
      <c r="D36" s="276">
        <v>234905.74154348543</v>
      </c>
      <c r="E36" s="276">
        <v>212915.15710517598</v>
      </c>
      <c r="F36" s="276">
        <v>216219.52596260741</v>
      </c>
      <c r="G36" s="276">
        <v>241508.47221669985</v>
      </c>
      <c r="H36" s="276">
        <v>241607.92450999998</v>
      </c>
    </row>
    <row r="37" spans="2:9" x14ac:dyDescent="0.25">
      <c r="B37" s="276"/>
      <c r="C37" s="276"/>
      <c r="D37" s="276"/>
      <c r="E37" s="276"/>
      <c r="F37" s="276"/>
      <c r="G37" s="276"/>
      <c r="H37" s="276"/>
    </row>
    <row r="57" ht="23.25" customHeight="1" x14ac:dyDescent="0.25"/>
    <row r="64" ht="23.25" customHeight="1" x14ac:dyDescent="0.25"/>
    <row r="71" ht="23.25" customHeight="1" x14ac:dyDescent="0.25"/>
    <row r="78" ht="23.25" customHeight="1" x14ac:dyDescent="0.25"/>
    <row r="85" ht="23.25" customHeight="1" x14ac:dyDescent="0.25"/>
    <row r="93" ht="23.25" customHeight="1" x14ac:dyDescent="0.25"/>
  </sheetData>
  <mergeCells count="1">
    <mergeCell ref="A1:B1"/>
  </mergeCells>
  <hyperlinks>
    <hyperlink ref="A1:B1" location="'Table of contents'!A1" display="Return to the Table of Contents"/>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5841" r:id="rId4" name="Option Button 1">
              <controlPr defaultSize="0" autoFill="0" autoLine="0" autoPict="0" macro="[0]!OptionButton72_Click">
                <anchor moveWithCells="1">
                  <from>
                    <xdr:col>1</xdr:col>
                    <xdr:colOff>0</xdr:colOff>
                    <xdr:row>6</xdr:row>
                    <xdr:rowOff>0</xdr:rowOff>
                  </from>
                  <to>
                    <xdr:col>1</xdr:col>
                    <xdr:colOff>1000125</xdr:colOff>
                    <xdr:row>7</xdr:row>
                    <xdr:rowOff>19050</xdr:rowOff>
                  </to>
                </anchor>
              </controlPr>
            </control>
          </mc:Choice>
        </mc:AlternateContent>
        <mc:AlternateContent xmlns:mc="http://schemas.openxmlformats.org/markup-compatibility/2006">
          <mc:Choice Requires="x14">
            <control shapeId="35842" r:id="rId5" name="Option Button 2">
              <controlPr defaultSize="0" autoFill="0" autoLine="0" autoPict="0">
                <anchor moveWithCells="1">
                  <from>
                    <xdr:col>1</xdr:col>
                    <xdr:colOff>0</xdr:colOff>
                    <xdr:row>7</xdr:row>
                    <xdr:rowOff>19050</xdr:rowOff>
                  </from>
                  <to>
                    <xdr:col>1</xdr:col>
                    <xdr:colOff>1000125</xdr:colOff>
                    <xdr:row>8</xdr:row>
                    <xdr:rowOff>38100</xdr:rowOff>
                  </to>
                </anchor>
              </controlPr>
            </control>
          </mc:Choice>
        </mc:AlternateContent>
        <mc:AlternateContent xmlns:mc="http://schemas.openxmlformats.org/markup-compatibility/2006">
          <mc:Choice Requires="x14">
            <control shapeId="35843" r:id="rId6" name="Check Box 3">
              <controlPr defaultSize="0" autoFill="0" autoLine="0" autoPict="0">
                <anchor moveWithCells="1">
                  <from>
                    <xdr:col>1</xdr:col>
                    <xdr:colOff>0</xdr:colOff>
                    <xdr:row>10</xdr:row>
                    <xdr:rowOff>0</xdr:rowOff>
                  </from>
                  <to>
                    <xdr:col>1</xdr:col>
                    <xdr:colOff>781050</xdr:colOff>
                    <xdr:row>11</xdr:row>
                    <xdr:rowOff>19050</xdr:rowOff>
                  </to>
                </anchor>
              </controlPr>
            </control>
          </mc:Choice>
        </mc:AlternateContent>
        <mc:AlternateContent xmlns:mc="http://schemas.openxmlformats.org/markup-compatibility/2006">
          <mc:Choice Requires="x14">
            <control shapeId="35844" r:id="rId7" name="Check Box 4">
              <controlPr defaultSize="0" autoFill="0" autoLine="0" autoPict="0">
                <anchor moveWithCells="1">
                  <from>
                    <xdr:col>1</xdr:col>
                    <xdr:colOff>0</xdr:colOff>
                    <xdr:row>11</xdr:row>
                    <xdr:rowOff>19050</xdr:rowOff>
                  </from>
                  <to>
                    <xdr:col>1</xdr:col>
                    <xdr:colOff>781050</xdr:colOff>
                    <xdr:row>12</xdr:row>
                    <xdr:rowOff>38100</xdr:rowOff>
                  </to>
                </anchor>
              </controlPr>
            </control>
          </mc:Choice>
        </mc:AlternateContent>
        <mc:AlternateContent xmlns:mc="http://schemas.openxmlformats.org/markup-compatibility/2006">
          <mc:Choice Requires="x14">
            <control shapeId="35845" r:id="rId8" name="Check Box 5">
              <controlPr defaultSize="0" autoFill="0" autoLine="0" autoPict="0">
                <anchor moveWithCells="1">
                  <from>
                    <xdr:col>1</xdr:col>
                    <xdr:colOff>0</xdr:colOff>
                    <xdr:row>12</xdr:row>
                    <xdr:rowOff>38100</xdr:rowOff>
                  </from>
                  <to>
                    <xdr:col>1</xdr:col>
                    <xdr:colOff>781050</xdr:colOff>
                    <xdr:row>13</xdr:row>
                    <xdr:rowOff>57150</xdr:rowOff>
                  </to>
                </anchor>
              </controlPr>
            </control>
          </mc:Choice>
        </mc:AlternateContent>
        <mc:AlternateContent xmlns:mc="http://schemas.openxmlformats.org/markup-compatibility/2006">
          <mc:Choice Requires="x14">
            <control shapeId="35846" r:id="rId9" name="Check Box 6">
              <controlPr defaultSize="0" autoFill="0" autoLine="0" autoPict="0">
                <anchor moveWithCells="1">
                  <from>
                    <xdr:col>2</xdr:col>
                    <xdr:colOff>0</xdr:colOff>
                    <xdr:row>10</xdr:row>
                    <xdr:rowOff>0</xdr:rowOff>
                  </from>
                  <to>
                    <xdr:col>2</xdr:col>
                    <xdr:colOff>781050</xdr:colOff>
                    <xdr:row>11</xdr:row>
                    <xdr:rowOff>19050</xdr:rowOff>
                  </to>
                </anchor>
              </controlPr>
            </control>
          </mc:Choice>
        </mc:AlternateContent>
        <mc:AlternateContent xmlns:mc="http://schemas.openxmlformats.org/markup-compatibility/2006">
          <mc:Choice Requires="x14">
            <control shapeId="35847" r:id="rId10" name="Check Box 7">
              <controlPr defaultSize="0" autoFill="0" autoLine="0" autoPict="0">
                <anchor moveWithCells="1">
                  <from>
                    <xdr:col>2</xdr:col>
                    <xdr:colOff>0</xdr:colOff>
                    <xdr:row>11</xdr:row>
                    <xdr:rowOff>19050</xdr:rowOff>
                  </from>
                  <to>
                    <xdr:col>2</xdr:col>
                    <xdr:colOff>781050</xdr:colOff>
                    <xdr:row>12</xdr:row>
                    <xdr:rowOff>38100</xdr:rowOff>
                  </to>
                </anchor>
              </controlPr>
            </control>
          </mc:Choice>
        </mc:AlternateContent>
        <mc:AlternateContent xmlns:mc="http://schemas.openxmlformats.org/markup-compatibility/2006">
          <mc:Choice Requires="x14">
            <control shapeId="35848" r:id="rId11" name="Check Box 8">
              <controlPr defaultSize="0" autoFill="0" autoLine="0" autoPict="0">
                <anchor moveWithCells="1">
                  <from>
                    <xdr:col>2</xdr:col>
                    <xdr:colOff>0</xdr:colOff>
                    <xdr:row>12</xdr:row>
                    <xdr:rowOff>38100</xdr:rowOff>
                  </from>
                  <to>
                    <xdr:col>2</xdr:col>
                    <xdr:colOff>781050</xdr:colOff>
                    <xdr:row>13</xdr:row>
                    <xdr:rowOff>57150</xdr:rowOff>
                  </to>
                </anchor>
              </controlPr>
            </control>
          </mc:Choice>
        </mc:AlternateContent>
        <mc:AlternateContent xmlns:mc="http://schemas.openxmlformats.org/markup-compatibility/2006">
          <mc:Choice Requires="x14">
            <control shapeId="35849" r:id="rId12" name="Scroll Bar 9">
              <controlPr defaultSize="0" autoPict="0">
                <anchor moveWithCells="1">
                  <from>
                    <xdr:col>4</xdr:col>
                    <xdr:colOff>0</xdr:colOff>
                    <xdr:row>10</xdr:row>
                    <xdr:rowOff>171450</xdr:rowOff>
                  </from>
                  <to>
                    <xdr:col>7</xdr:col>
                    <xdr:colOff>0</xdr:colOff>
                    <xdr:row>12</xdr:row>
                    <xdr:rowOff>0</xdr:rowOff>
                  </to>
                </anchor>
              </controlPr>
            </control>
          </mc:Choice>
        </mc:AlternateContent>
      </controls>
    </mc:Choice>
  </mc:AlternateConten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65"/>
  <sheetViews>
    <sheetView showGridLines="0" showRowColHeaders="0" topLeftCell="A10" zoomScaleNormal="100" workbookViewId="0">
      <selection activeCell="A18" sqref="A18"/>
    </sheetView>
  </sheetViews>
  <sheetFormatPr defaultRowHeight="15" x14ac:dyDescent="0.25"/>
  <cols>
    <col min="2" max="2" width="9.42578125" customWidth="1"/>
    <col min="3" max="3" width="9.85546875" customWidth="1"/>
    <col min="4" max="4" width="12.42578125" customWidth="1"/>
    <col min="5" max="5" width="18.42578125" customWidth="1"/>
    <col min="6" max="6" width="16.42578125" customWidth="1"/>
    <col min="7" max="7" width="19.28515625" customWidth="1"/>
    <col min="8" max="8" width="20.85546875" customWidth="1"/>
    <col min="9" max="10" width="20.5703125" customWidth="1"/>
    <col min="11" max="11" width="26.28515625" customWidth="1"/>
    <col min="12" max="12" width="16.28515625" customWidth="1"/>
    <col min="13" max="13" width="26.28515625" bestFit="1" customWidth="1"/>
    <col min="14" max="14" width="16.28515625" bestFit="1" customWidth="1"/>
    <col min="15" max="15" width="22.5703125" bestFit="1" customWidth="1"/>
    <col min="16" max="16" width="21.28515625" bestFit="1" customWidth="1"/>
    <col min="17" max="17" width="22.28515625" bestFit="1" customWidth="1"/>
  </cols>
  <sheetData>
    <row r="1" spans="1:14" x14ac:dyDescent="0.25">
      <c r="A1" s="1898" t="s">
        <v>323</v>
      </c>
      <c r="B1" s="1898"/>
    </row>
    <row r="4" spans="1:14" ht="30" x14ac:dyDescent="0.4">
      <c r="B4" s="2" t="s">
        <v>270</v>
      </c>
    </row>
    <row r="5" spans="1:14" x14ac:dyDescent="0.25">
      <c r="B5" s="274"/>
      <c r="C5" s="276"/>
      <c r="D5" s="276"/>
      <c r="E5" s="276"/>
      <c r="F5" s="276"/>
      <c r="G5" s="276"/>
      <c r="H5" s="276"/>
      <c r="I5" s="276"/>
    </row>
    <row r="6" spans="1:14" ht="23.25" customHeight="1" x14ac:dyDescent="0.25">
      <c r="B6" s="275" t="s">
        <v>271</v>
      </c>
      <c r="C6" s="276"/>
      <c r="D6" s="276"/>
      <c r="E6" s="276"/>
      <c r="F6" s="276"/>
      <c r="G6" s="276"/>
      <c r="H6" s="276"/>
      <c r="I6" s="276"/>
    </row>
    <row r="7" spans="1:14" x14ac:dyDescent="0.25">
      <c r="B7" s="274"/>
      <c r="C7" s="276"/>
      <c r="D7" s="276"/>
      <c r="E7" s="276"/>
      <c r="F7" s="276"/>
      <c r="G7" s="276"/>
      <c r="H7" s="276"/>
      <c r="I7" s="276"/>
    </row>
    <row r="8" spans="1:14" x14ac:dyDescent="0.25">
      <c r="B8" s="275" t="s">
        <v>272</v>
      </c>
      <c r="C8" s="274"/>
      <c r="D8" s="276"/>
      <c r="E8" s="276"/>
      <c r="F8" s="276"/>
      <c r="G8" s="276"/>
      <c r="H8" s="276"/>
      <c r="I8" s="276"/>
      <c r="K8" s="8"/>
      <c r="L8" s="8"/>
      <c r="M8" s="8"/>
      <c r="N8" s="8"/>
    </row>
    <row r="9" spans="1:14" x14ac:dyDescent="0.25">
      <c r="B9" s="276"/>
      <c r="C9" s="276"/>
      <c r="D9" s="276"/>
      <c r="E9" s="276"/>
      <c r="F9" s="276"/>
      <c r="G9" s="276"/>
      <c r="H9" s="276"/>
      <c r="I9" s="276"/>
      <c r="K9" s="8"/>
      <c r="L9" s="8"/>
      <c r="M9" s="8"/>
      <c r="N9" s="8"/>
    </row>
    <row r="10" spans="1:14" x14ac:dyDescent="0.25">
      <c r="B10" s="276"/>
      <c r="C10" s="276"/>
      <c r="D10" s="276"/>
      <c r="E10" s="276"/>
      <c r="F10" s="276"/>
      <c r="G10" s="276"/>
      <c r="H10" s="276"/>
      <c r="I10" s="276"/>
      <c r="K10" s="8"/>
      <c r="L10" s="8"/>
      <c r="M10" s="8"/>
      <c r="N10" s="8"/>
    </row>
    <row r="11" spans="1:14" x14ac:dyDescent="0.25">
      <c r="B11" s="269" t="s">
        <v>1</v>
      </c>
      <c r="C11" s="269" t="s">
        <v>273</v>
      </c>
      <c r="D11" s="269" t="s">
        <v>274</v>
      </c>
      <c r="E11" s="269" t="s">
        <v>275</v>
      </c>
      <c r="F11" s="269" t="s">
        <v>276</v>
      </c>
      <c r="G11" s="269" t="s">
        <v>277</v>
      </c>
      <c r="H11" s="269" t="s">
        <v>278</v>
      </c>
      <c r="I11" s="269" t="s">
        <v>279</v>
      </c>
      <c r="J11" t="e">
        <f>C$15/C11</f>
        <v>#VALUE!</v>
      </c>
      <c r="K11" s="8"/>
      <c r="L11" s="8"/>
      <c r="M11" s="8"/>
      <c r="N11" s="8"/>
    </row>
    <row r="12" spans="1:14" x14ac:dyDescent="0.25">
      <c r="B12" s="269" t="s">
        <v>4</v>
      </c>
      <c r="C12" s="292">
        <v>0.92500000000000004</v>
      </c>
      <c r="D12" s="292">
        <v>0.93700000000000006</v>
      </c>
      <c r="E12" s="292">
        <v>0.92900000000000005</v>
      </c>
      <c r="F12" s="280"/>
      <c r="G12" s="280">
        <v>0.91</v>
      </c>
      <c r="H12" s="292">
        <v>0.97</v>
      </c>
      <c r="I12" s="280">
        <v>0.89</v>
      </c>
      <c r="J12">
        <f>C$15/C12</f>
        <v>1.0810810810810809</v>
      </c>
      <c r="K12" s="8"/>
      <c r="L12" s="8"/>
      <c r="M12" s="8"/>
      <c r="N12" s="8"/>
    </row>
    <row r="13" spans="1:14" x14ac:dyDescent="0.25">
      <c r="B13" s="269" t="s">
        <v>5</v>
      </c>
      <c r="C13" s="292">
        <v>0.95299999999999996</v>
      </c>
      <c r="D13" s="292">
        <v>0.98599999999999999</v>
      </c>
      <c r="E13" s="292">
        <v>0.96499999999999997</v>
      </c>
      <c r="F13" s="280"/>
      <c r="G13" s="280">
        <v>0.95</v>
      </c>
      <c r="H13" s="292">
        <v>0.94</v>
      </c>
      <c r="I13" s="280">
        <v>0.95</v>
      </c>
      <c r="J13">
        <f>C$15/C13</f>
        <v>1.0493179433368311</v>
      </c>
      <c r="K13" s="8"/>
      <c r="L13" s="8"/>
      <c r="M13" s="8"/>
      <c r="N13" s="8"/>
    </row>
    <row r="14" spans="1:14" x14ac:dyDescent="0.25">
      <c r="B14" s="269" t="s">
        <v>6</v>
      </c>
      <c r="C14" s="292">
        <v>0.97</v>
      </c>
      <c r="D14" s="292">
        <v>0.97299999999999998</v>
      </c>
      <c r="E14" s="292">
        <v>0.97099999999999997</v>
      </c>
      <c r="F14" s="280"/>
      <c r="G14" s="280">
        <v>0.97</v>
      </c>
      <c r="H14" s="280">
        <v>0.98</v>
      </c>
      <c r="I14" s="280">
        <v>0.98</v>
      </c>
      <c r="J14">
        <f>C$15/C14</f>
        <v>1.0309278350515465</v>
      </c>
      <c r="K14" s="8"/>
      <c r="L14" s="8"/>
      <c r="M14" s="8"/>
      <c r="N14" s="8"/>
    </row>
    <row r="15" spans="1:14" x14ac:dyDescent="0.25">
      <c r="B15" s="269" t="s">
        <v>7</v>
      </c>
      <c r="C15" s="292">
        <v>1</v>
      </c>
      <c r="D15" s="292">
        <v>1</v>
      </c>
      <c r="E15" s="292">
        <v>1</v>
      </c>
      <c r="F15" s="292"/>
      <c r="G15" s="292">
        <v>1</v>
      </c>
      <c r="H15" s="292">
        <v>1</v>
      </c>
      <c r="I15" s="292">
        <v>1</v>
      </c>
      <c r="K15" s="8"/>
      <c r="L15" s="8"/>
      <c r="M15" s="8"/>
      <c r="N15" s="8"/>
    </row>
    <row r="16" spans="1:14" x14ac:dyDescent="0.25">
      <c r="B16" s="276"/>
      <c r="C16" s="276"/>
      <c r="D16" s="276"/>
      <c r="E16" s="276"/>
      <c r="F16" s="276"/>
      <c r="G16" s="276"/>
      <c r="H16" s="276"/>
      <c r="I16" s="276"/>
      <c r="K16" s="8"/>
      <c r="L16" s="8"/>
      <c r="M16" s="8"/>
      <c r="N16" s="8"/>
    </row>
    <row r="17" spans="1:14" x14ac:dyDescent="0.25">
      <c r="B17" s="276"/>
      <c r="C17" s="276"/>
      <c r="D17" s="276"/>
      <c r="E17" s="276"/>
      <c r="F17" s="276"/>
      <c r="G17" s="276"/>
      <c r="H17" s="276"/>
      <c r="I17" s="276"/>
      <c r="K17" s="8"/>
      <c r="L17" s="8"/>
      <c r="M17" s="8"/>
      <c r="N17" s="8"/>
    </row>
    <row r="18" spans="1:14" x14ac:dyDescent="0.25">
      <c r="B18" s="276"/>
      <c r="C18" s="276"/>
      <c r="D18" s="276"/>
      <c r="E18" s="276"/>
      <c r="F18" s="276"/>
      <c r="G18" s="276"/>
      <c r="H18" s="276"/>
      <c r="I18" s="276"/>
      <c r="K18" s="8"/>
      <c r="L18" s="8"/>
      <c r="M18" s="8"/>
      <c r="N18" s="8"/>
    </row>
    <row r="19" spans="1:14" x14ac:dyDescent="0.25">
      <c r="B19" s="276"/>
      <c r="C19" s="276"/>
      <c r="D19" s="276"/>
      <c r="E19" s="276"/>
      <c r="F19" s="276"/>
      <c r="G19" s="276"/>
      <c r="H19" s="276"/>
      <c r="I19" s="276"/>
      <c r="K19" s="8"/>
      <c r="L19" s="8"/>
      <c r="M19" s="8"/>
      <c r="N19" s="8"/>
    </row>
    <row r="20" spans="1:14" x14ac:dyDescent="0.25">
      <c r="B20" s="276"/>
      <c r="C20" s="276"/>
      <c r="D20" s="276"/>
      <c r="E20" s="276"/>
      <c r="F20" s="276"/>
      <c r="G20" s="276"/>
      <c r="H20" s="276"/>
      <c r="I20" s="276"/>
      <c r="K20" s="8"/>
      <c r="L20" s="8"/>
      <c r="M20" s="8"/>
      <c r="N20" s="8"/>
    </row>
    <row r="21" spans="1:14" x14ac:dyDescent="0.25">
      <c r="B21" s="276"/>
      <c r="C21" s="276"/>
      <c r="D21" s="276"/>
      <c r="E21" s="276"/>
      <c r="F21" s="276"/>
      <c r="G21" s="276"/>
      <c r="H21" s="276"/>
      <c r="I21" s="276"/>
      <c r="K21" s="8"/>
      <c r="L21" s="8"/>
      <c r="M21" s="8"/>
      <c r="N21" s="8"/>
    </row>
    <row r="22" spans="1:14" x14ac:dyDescent="0.25">
      <c r="B22" s="276"/>
      <c r="C22" s="276"/>
      <c r="D22" s="276"/>
      <c r="E22" s="276"/>
      <c r="F22" s="276"/>
      <c r="G22" s="276"/>
      <c r="H22" s="276"/>
      <c r="I22" s="276"/>
      <c r="K22" s="8"/>
      <c r="L22" s="8"/>
      <c r="M22" s="8"/>
      <c r="N22" s="8"/>
    </row>
    <row r="23" spans="1:14" x14ac:dyDescent="0.25">
      <c r="B23" s="276"/>
      <c r="C23" s="276"/>
      <c r="D23" s="276"/>
      <c r="E23" s="276"/>
      <c r="F23" s="276"/>
      <c r="G23" s="276"/>
      <c r="H23" s="276"/>
      <c r="I23" s="276"/>
      <c r="K23" s="8"/>
      <c r="L23" s="8"/>
      <c r="M23" s="8"/>
      <c r="N23" s="8"/>
    </row>
    <row r="24" spans="1:14" x14ac:dyDescent="0.25">
      <c r="A24" s="6"/>
      <c r="B24" s="276"/>
      <c r="C24" s="276"/>
      <c r="D24" s="276"/>
      <c r="E24" s="276"/>
      <c r="F24" s="276"/>
      <c r="G24" s="276"/>
      <c r="H24" s="276"/>
      <c r="I24" s="276"/>
      <c r="K24" s="8"/>
      <c r="L24" s="8"/>
      <c r="M24" s="8"/>
      <c r="N24" s="8"/>
    </row>
    <row r="25" spans="1:14" x14ac:dyDescent="0.25">
      <c r="A25" s="5"/>
      <c r="B25" s="276"/>
      <c r="C25" s="276"/>
      <c r="D25" s="276"/>
      <c r="E25" s="276"/>
      <c r="F25" s="276"/>
      <c r="G25" s="276"/>
      <c r="H25" s="276"/>
      <c r="I25" s="276"/>
      <c r="K25" s="8"/>
      <c r="L25" s="8"/>
      <c r="M25" s="8"/>
      <c r="N25" s="8"/>
    </row>
    <row r="26" spans="1:14" x14ac:dyDescent="0.25">
      <c r="A26" s="5"/>
      <c r="B26" s="276"/>
      <c r="C26" s="276"/>
      <c r="D26" s="276"/>
      <c r="E26" s="276"/>
      <c r="F26" s="276"/>
      <c r="G26" s="276"/>
      <c r="H26" s="276"/>
      <c r="I26" s="276"/>
      <c r="K26" s="8"/>
      <c r="L26" s="8"/>
      <c r="M26" s="8"/>
      <c r="N26" s="8"/>
    </row>
    <row r="27" spans="1:14" x14ac:dyDescent="0.25">
      <c r="A27" s="5"/>
      <c r="B27" s="276"/>
      <c r="C27" s="276"/>
      <c r="D27" s="276"/>
      <c r="E27" s="276"/>
      <c r="F27" s="276"/>
      <c r="G27" s="276"/>
      <c r="H27" s="276"/>
      <c r="I27" s="276"/>
      <c r="K27" s="8"/>
      <c r="L27" s="8"/>
      <c r="M27" s="8"/>
      <c r="N27" s="8"/>
    </row>
    <row r="28" spans="1:14" x14ac:dyDescent="0.25">
      <c r="A28" s="5"/>
      <c r="B28" s="276"/>
      <c r="C28" s="276"/>
      <c r="D28" s="276"/>
      <c r="E28" s="276"/>
      <c r="F28" s="276"/>
      <c r="G28" s="276"/>
      <c r="H28" s="276"/>
      <c r="I28" s="276"/>
      <c r="K28" s="8"/>
      <c r="L28" s="8"/>
      <c r="M28" s="8"/>
      <c r="N28" s="8"/>
    </row>
    <row r="29" spans="1:14" x14ac:dyDescent="0.25">
      <c r="A29" s="5"/>
      <c r="B29" s="276"/>
      <c r="C29" s="276"/>
      <c r="D29" s="276"/>
      <c r="E29" s="276"/>
      <c r="F29" s="276"/>
      <c r="G29" s="276"/>
      <c r="H29" s="276"/>
      <c r="I29" s="276"/>
    </row>
    <row r="30" spans="1:14" x14ac:dyDescent="0.25">
      <c r="A30" s="5"/>
      <c r="B30" s="276"/>
      <c r="C30" s="276"/>
      <c r="D30" s="276"/>
      <c r="E30" s="276"/>
      <c r="F30" s="276"/>
      <c r="G30" s="276"/>
      <c r="H30" s="276"/>
      <c r="I30" s="276"/>
    </row>
    <row r="31" spans="1:14" x14ac:dyDescent="0.25">
      <c r="A31" s="5"/>
      <c r="B31" s="276"/>
      <c r="C31" s="276"/>
      <c r="D31" s="276"/>
      <c r="E31" s="276"/>
      <c r="F31" s="276"/>
      <c r="G31" s="276"/>
      <c r="H31" s="276"/>
      <c r="I31" s="276"/>
    </row>
    <row r="32" spans="1:14" x14ac:dyDescent="0.25">
      <c r="A32" s="5"/>
      <c r="B32" s="276"/>
      <c r="C32" s="276"/>
      <c r="D32" s="276"/>
      <c r="E32" s="276"/>
      <c r="F32" s="276"/>
      <c r="G32" s="276"/>
      <c r="H32" s="276"/>
      <c r="I32" s="276"/>
    </row>
    <row r="33" spans="1:9" x14ac:dyDescent="0.25">
      <c r="A33" s="5"/>
      <c r="B33" s="276"/>
      <c r="C33" s="276"/>
      <c r="D33" s="276"/>
      <c r="E33" s="276"/>
      <c r="F33" s="276"/>
      <c r="G33" s="276"/>
      <c r="H33" s="276"/>
      <c r="I33" s="276"/>
    </row>
    <row r="34" spans="1:9" ht="23.25" x14ac:dyDescent="0.3">
      <c r="A34" s="232"/>
      <c r="B34" s="276"/>
      <c r="C34" s="276"/>
      <c r="D34" s="276"/>
      <c r="E34" s="276"/>
      <c r="F34" s="276"/>
      <c r="G34" s="276"/>
      <c r="H34" s="276"/>
      <c r="I34" s="276"/>
    </row>
    <row r="35" spans="1:9" ht="23.25" x14ac:dyDescent="0.3">
      <c r="A35" s="232"/>
      <c r="B35" s="276"/>
      <c r="C35" s="276"/>
      <c r="D35" s="276"/>
      <c r="E35" s="276"/>
      <c r="F35" s="276"/>
      <c r="G35" s="276"/>
      <c r="H35" s="276"/>
      <c r="I35" s="276"/>
    </row>
    <row r="36" spans="1:9" ht="23.25" x14ac:dyDescent="0.3">
      <c r="A36" s="232"/>
      <c r="B36" s="276"/>
      <c r="C36" s="276"/>
      <c r="D36" s="276"/>
      <c r="E36" s="276"/>
      <c r="F36" s="276"/>
      <c r="G36" s="276"/>
      <c r="H36" s="276"/>
      <c r="I36" s="276"/>
    </row>
    <row r="37" spans="1:9" ht="23.25" x14ac:dyDescent="0.3">
      <c r="A37" s="232"/>
      <c r="B37" s="276"/>
      <c r="C37" s="276"/>
      <c r="D37" s="276"/>
      <c r="E37" s="276"/>
      <c r="F37" s="276"/>
      <c r="G37" s="276"/>
      <c r="H37" s="276"/>
      <c r="I37" s="276"/>
    </row>
    <row r="38" spans="1:9" ht="23.25" x14ac:dyDescent="0.3">
      <c r="A38" s="232"/>
      <c r="B38" s="276"/>
      <c r="C38" s="276"/>
      <c r="D38" s="276"/>
      <c r="E38" s="276"/>
      <c r="F38" s="276"/>
      <c r="G38" s="276"/>
      <c r="H38" s="276"/>
      <c r="I38" s="276"/>
    </row>
    <row r="39" spans="1:9" ht="23.25" x14ac:dyDescent="0.3">
      <c r="A39" s="232"/>
      <c r="B39" s="276"/>
      <c r="C39" s="276"/>
      <c r="D39" s="276"/>
      <c r="E39" s="276"/>
      <c r="F39" s="276"/>
      <c r="G39" s="276"/>
      <c r="H39" s="276"/>
      <c r="I39" s="276"/>
    </row>
    <row r="40" spans="1:9" ht="23.25" x14ac:dyDescent="0.3">
      <c r="A40" s="232"/>
      <c r="B40" s="276"/>
      <c r="C40" s="276"/>
      <c r="D40" s="276"/>
      <c r="E40" s="276"/>
      <c r="F40" s="276"/>
      <c r="G40" s="276"/>
      <c r="H40" s="276"/>
      <c r="I40" s="276"/>
    </row>
    <row r="41" spans="1:9" ht="23.25" x14ac:dyDescent="0.3">
      <c r="A41" s="232"/>
      <c r="B41" s="276"/>
      <c r="C41" s="276"/>
      <c r="D41" s="276"/>
      <c r="E41" s="276"/>
      <c r="F41" s="276"/>
      <c r="G41" s="276"/>
      <c r="H41" s="276"/>
      <c r="I41" s="276"/>
    </row>
    <row r="42" spans="1:9" ht="23.25" x14ac:dyDescent="0.3">
      <c r="A42" s="232"/>
      <c r="B42" s="276"/>
      <c r="C42" s="276"/>
      <c r="D42" s="276"/>
      <c r="E42" s="276"/>
      <c r="F42" s="276"/>
      <c r="G42" s="276"/>
      <c r="H42" s="276"/>
      <c r="I42" s="276"/>
    </row>
    <row r="43" spans="1:9" ht="23.25" x14ac:dyDescent="0.3">
      <c r="A43" s="232"/>
      <c r="B43" s="276"/>
      <c r="C43" s="276"/>
      <c r="D43" s="276"/>
      <c r="E43" s="276"/>
      <c r="F43" s="276"/>
      <c r="G43" s="276"/>
      <c r="H43" s="276"/>
      <c r="I43" s="276"/>
    </row>
    <row r="44" spans="1:9" ht="23.25" x14ac:dyDescent="0.3">
      <c r="A44" s="232"/>
      <c r="B44" s="276"/>
      <c r="C44" s="276"/>
      <c r="D44" s="276"/>
      <c r="E44" s="276"/>
      <c r="F44" s="276"/>
      <c r="G44" s="276"/>
      <c r="H44" s="276"/>
      <c r="I44" s="276"/>
    </row>
    <row r="45" spans="1:9" ht="23.25" x14ac:dyDescent="0.3">
      <c r="A45" s="232"/>
      <c r="B45" s="276"/>
      <c r="C45" s="276"/>
      <c r="D45" s="276"/>
      <c r="E45" s="276"/>
      <c r="F45" s="276"/>
      <c r="G45" s="276"/>
      <c r="H45" s="276"/>
      <c r="I45" s="276"/>
    </row>
    <row r="46" spans="1:9" ht="23.25" x14ac:dyDescent="0.3">
      <c r="A46" s="232"/>
      <c r="B46" s="276"/>
      <c r="C46" s="276"/>
      <c r="D46" s="276"/>
      <c r="E46" s="276"/>
      <c r="F46" s="276"/>
      <c r="G46" s="276"/>
      <c r="H46" s="276"/>
      <c r="I46" s="276"/>
    </row>
    <row r="47" spans="1:9" ht="23.25" x14ac:dyDescent="0.3">
      <c r="A47" s="232"/>
    </row>
    <row r="48" spans="1:9" ht="23.25" x14ac:dyDescent="0.3">
      <c r="A48" s="232"/>
    </row>
    <row r="49" spans="1:1" ht="23.25" x14ac:dyDescent="0.3">
      <c r="A49" s="232"/>
    </row>
    <row r="65" ht="23.25" customHeight="1" x14ac:dyDescent="0.25"/>
  </sheetData>
  <customSheetViews>
    <customSheetView guid="{9EA95E61-FCA5-4867-AEB4-B8C24058ACDD}" showGridLines="0" showRowCol="0">
      <selection activeCell="C14" sqref="C14"/>
      <pageMargins left="0.7" right="0.7" top="0.75" bottom="0.75" header="0.3" footer="0.3"/>
      <pageSetup paperSize="9" orientation="portrait" r:id="rId1"/>
    </customSheetView>
  </customSheetViews>
  <mergeCells count="1">
    <mergeCell ref="A1:B1"/>
  </mergeCells>
  <dataValidations count="1">
    <dataValidation type="list" allowBlank="1" showInputMessage="1" showErrorMessage="1" sqref="B43">
      <formula1>indices</formula1>
    </dataValidation>
  </dataValidations>
  <hyperlinks>
    <hyperlink ref="A1:B1" location="'Table of contents'!A1" display="Return to the Table of Contents"/>
  </hyperlinks>
  <pageMargins left="0.7" right="0.7" top="0.75" bottom="0.75"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B1:D4"/>
  <sheetViews>
    <sheetView workbookViewId="0">
      <selection activeCell="B3" sqref="B3"/>
    </sheetView>
  </sheetViews>
  <sheetFormatPr defaultRowHeight="15" x14ac:dyDescent="0.25"/>
  <cols>
    <col min="1" max="1" width="31.28515625" customWidth="1"/>
    <col min="2" max="2" width="44.5703125" customWidth="1"/>
    <col min="3" max="3" width="32.7109375" customWidth="1"/>
  </cols>
  <sheetData>
    <row r="1" spans="2:4" ht="116.25" customHeight="1" x14ac:dyDescent="0.25">
      <c r="B1" t="s">
        <v>247</v>
      </c>
      <c r="D1" t="s">
        <v>247</v>
      </c>
    </row>
    <row r="2" spans="2:4" ht="120" customHeight="1" x14ac:dyDescent="0.25">
      <c r="B2" t="s">
        <v>248</v>
      </c>
      <c r="D2" t="s">
        <v>248</v>
      </c>
    </row>
    <row r="3" spans="2:4" ht="123.75" customHeight="1" x14ac:dyDescent="0.25">
      <c r="B3" t="s">
        <v>48</v>
      </c>
      <c r="D3" t="s">
        <v>48</v>
      </c>
    </row>
    <row r="4" spans="2:4" ht="133.5" customHeight="1" x14ac:dyDescent="0.25">
      <c r="B4" t="s">
        <v>246</v>
      </c>
      <c r="D4" t="s">
        <v>246</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sheetPr>
  <dimension ref="A2:R223"/>
  <sheetViews>
    <sheetView topLeftCell="A19" workbookViewId="0">
      <selection activeCell="E58" sqref="E58"/>
    </sheetView>
  </sheetViews>
  <sheetFormatPr defaultRowHeight="15" x14ac:dyDescent="0.25"/>
  <cols>
    <col min="2" max="2" width="27.140625" customWidth="1"/>
    <col min="3" max="3" width="19.7109375" customWidth="1"/>
    <col min="4" max="4" width="16" customWidth="1"/>
    <col min="5" max="5" width="41.140625" customWidth="1"/>
    <col min="6" max="6" width="42.28515625" customWidth="1"/>
    <col min="7" max="7" width="6.7109375" customWidth="1"/>
  </cols>
  <sheetData>
    <row r="2" spans="2:14" ht="31.5" x14ac:dyDescent="0.5">
      <c r="B2" s="1730" t="s">
        <v>844</v>
      </c>
      <c r="C2" s="116"/>
      <c r="D2" s="116"/>
      <c r="E2" s="116"/>
      <c r="F2" s="116"/>
      <c r="G2" s="116"/>
      <c r="H2" s="116"/>
      <c r="I2" s="116"/>
      <c r="J2" s="116"/>
      <c r="K2" s="116"/>
      <c r="L2" s="116"/>
      <c r="M2" s="116"/>
      <c r="N2" s="116"/>
    </row>
    <row r="3" spans="2:14" x14ac:dyDescent="0.25">
      <c r="B3" s="116"/>
      <c r="C3" s="116"/>
      <c r="D3" s="116"/>
      <c r="E3" s="116"/>
      <c r="F3" s="116"/>
      <c r="G3" s="116"/>
      <c r="H3" s="116"/>
      <c r="I3" s="116"/>
      <c r="J3" s="116"/>
      <c r="K3" s="116"/>
      <c r="L3" s="116"/>
      <c r="M3" s="116"/>
      <c r="N3" s="116"/>
    </row>
    <row r="4" spans="2:14" ht="15.75" thickBot="1" x14ac:dyDescent="0.3">
      <c r="B4" s="116"/>
      <c r="C4" s="116"/>
      <c r="D4" s="116"/>
      <c r="E4" s="116"/>
      <c r="F4" s="116"/>
      <c r="G4" s="116"/>
      <c r="H4" s="116"/>
      <c r="I4" s="116"/>
      <c r="J4" s="116"/>
      <c r="K4" s="116"/>
      <c r="L4" s="116"/>
      <c r="M4" s="116"/>
      <c r="N4" s="116"/>
    </row>
    <row r="5" spans="2:14" ht="19.5" x14ac:dyDescent="0.3">
      <c r="B5" s="1775" t="s">
        <v>808</v>
      </c>
      <c r="C5" s="1776"/>
      <c r="D5" s="1774" t="str">
        <f>IF($A$21=TRUE,D62,"")</f>
        <v xml:space="preserve">Activity source </v>
      </c>
      <c r="E5" s="1774" t="str">
        <f>IF($A$21=TRUE,E62,"")</f>
        <v xml:space="preserve">Cost source </v>
      </c>
      <c r="G5" s="116"/>
      <c r="H5" s="116"/>
      <c r="I5" s="116"/>
      <c r="J5" s="116"/>
      <c r="K5" s="116"/>
      <c r="L5" s="116"/>
      <c r="M5" s="116"/>
    </row>
    <row r="6" spans="2:14" x14ac:dyDescent="0.25">
      <c r="B6" s="1781" t="s">
        <v>821</v>
      </c>
      <c r="C6" s="1782"/>
      <c r="D6" s="1773"/>
      <c r="E6" s="1773"/>
      <c r="G6" s="116"/>
      <c r="H6" s="116"/>
      <c r="I6" s="116"/>
      <c r="J6" s="116"/>
      <c r="K6" s="116"/>
      <c r="L6" s="116"/>
      <c r="M6" s="116"/>
    </row>
    <row r="7" spans="2:14" x14ac:dyDescent="0.25">
      <c r="B7" s="1781"/>
      <c r="C7" s="1782" t="s">
        <v>767</v>
      </c>
      <c r="D7" s="1773" t="str">
        <f>IF($A$21=TRUE,D64,"")</f>
        <v>Hospital Episode Statistics</v>
      </c>
      <c r="E7" s="1773" t="str">
        <f>IF($A$21=TRUE,E65,"")</f>
        <v>Reference Costs</v>
      </c>
      <c r="G7" s="116"/>
      <c r="H7" s="116"/>
      <c r="I7" s="116"/>
      <c r="J7" s="116"/>
      <c r="K7" s="116"/>
      <c r="L7" s="116"/>
      <c r="M7" s="116"/>
    </row>
    <row r="8" spans="2:14" x14ac:dyDescent="0.25">
      <c r="B8" s="1781"/>
      <c r="C8" s="1782" t="s">
        <v>311</v>
      </c>
      <c r="D8" s="1773" t="str">
        <f t="shared" ref="D8:D16" si="0">IF($A$21=TRUE,D65,"")</f>
        <v>Hospital Episode Statistics</v>
      </c>
      <c r="E8" s="1773" t="str">
        <f>IF($A$21=TRUE,E66,"")</f>
        <v>Reference Costs</v>
      </c>
      <c r="G8" s="116"/>
      <c r="H8" s="116"/>
      <c r="I8" s="116"/>
      <c r="J8" s="116"/>
      <c r="K8" s="116"/>
      <c r="L8" s="116"/>
      <c r="M8" s="116"/>
    </row>
    <row r="9" spans="2:14" x14ac:dyDescent="0.25">
      <c r="B9" s="1781" t="s">
        <v>809</v>
      </c>
      <c r="C9" s="1782"/>
      <c r="D9" s="1773" t="str">
        <f t="shared" si="0"/>
        <v>Hospital Episode Statistics &amp; Reference Costs</v>
      </c>
      <c r="E9" s="1773" t="str">
        <f>IF($A$21=TRUE,E67,"")</f>
        <v>Reference Costs</v>
      </c>
      <c r="G9" s="116"/>
      <c r="H9" s="116"/>
      <c r="I9" s="116"/>
      <c r="J9" s="116"/>
      <c r="K9" s="116"/>
      <c r="L9" s="116"/>
      <c r="M9" s="116"/>
    </row>
    <row r="10" spans="2:14" x14ac:dyDescent="0.25">
      <c r="B10" s="1781" t="s">
        <v>731</v>
      </c>
      <c r="C10" s="1782"/>
      <c r="D10" s="1773" t="str">
        <f t="shared" si="0"/>
        <v>Reference Costs</v>
      </c>
      <c r="E10" s="1773" t="str">
        <f>IF($A$21=TRUE,E68,"")</f>
        <v>Reference Costs</v>
      </c>
      <c r="G10" s="116"/>
      <c r="H10" s="116"/>
      <c r="I10" s="116"/>
      <c r="J10" s="116"/>
      <c r="K10" s="116"/>
      <c r="L10" s="116"/>
      <c r="M10" s="116"/>
    </row>
    <row r="11" spans="2:14" x14ac:dyDescent="0.25">
      <c r="B11" s="1781" t="s">
        <v>727</v>
      </c>
      <c r="C11" s="1782"/>
      <c r="D11" s="1773" t="str">
        <f t="shared" si="0"/>
        <v>Reference Costs</v>
      </c>
      <c r="E11" s="1773" t="str">
        <f>IF($A$21=TRUE,E70,"")</f>
        <v>Reference Costs</v>
      </c>
      <c r="G11" s="116"/>
      <c r="H11" s="116"/>
      <c r="I11" s="116"/>
      <c r="J11" s="116"/>
      <c r="K11" s="116"/>
      <c r="L11" s="116"/>
      <c r="M11" s="116"/>
    </row>
    <row r="12" spans="2:14" x14ac:dyDescent="0.25">
      <c r="B12" s="1781" t="s">
        <v>591</v>
      </c>
      <c r="C12" s="1782"/>
      <c r="D12" s="1773" t="str">
        <f t="shared" si="0"/>
        <v>Reference Costs</v>
      </c>
      <c r="E12" s="1773" t="str">
        <f>IF($A$21=TRUE,E70,"")</f>
        <v>Reference Costs</v>
      </c>
      <c r="G12" s="116"/>
      <c r="H12" s="116"/>
      <c r="I12" s="116"/>
      <c r="J12" s="116"/>
      <c r="K12" s="116"/>
      <c r="L12" s="116"/>
      <c r="M12" s="116"/>
    </row>
    <row r="13" spans="2:14" x14ac:dyDescent="0.25">
      <c r="B13" s="1781" t="s">
        <v>136</v>
      </c>
      <c r="C13" s="1782"/>
      <c r="D13" s="1773" t="str">
        <f t="shared" si="0"/>
        <v>Prescription cost analysis system</v>
      </c>
      <c r="E13" s="1773" t="str">
        <f t="shared" ref="E13:E15" si="1">IF($A$21=TRUE,E71,"")</f>
        <v>Prescription cost analysis system</v>
      </c>
      <c r="G13" s="116"/>
      <c r="H13" s="116"/>
      <c r="I13" s="116"/>
      <c r="J13" s="116"/>
      <c r="K13" s="116"/>
      <c r="L13" s="116"/>
      <c r="M13" s="116"/>
    </row>
    <row r="14" spans="2:14" x14ac:dyDescent="0.25">
      <c r="B14" s="1781" t="s">
        <v>818</v>
      </c>
      <c r="C14" s="1782"/>
      <c r="D14" s="1773" t="str">
        <f t="shared" si="0"/>
        <v>Information Centre</v>
      </c>
      <c r="E14" s="1773" t="str">
        <f t="shared" si="1"/>
        <v>Information Centre</v>
      </c>
      <c r="G14" s="116"/>
      <c r="H14" s="116"/>
      <c r="I14" s="116"/>
      <c r="J14" s="116"/>
      <c r="K14" s="116"/>
      <c r="L14" s="116"/>
      <c r="M14" s="116"/>
    </row>
    <row r="15" spans="2:14" x14ac:dyDescent="0.25">
      <c r="B15" s="1781" t="s">
        <v>781</v>
      </c>
      <c r="C15" s="1782"/>
      <c r="D15" s="1773" t="str">
        <f t="shared" si="0"/>
        <v>Pre-2009/10 from QResearch</v>
      </c>
      <c r="E15" s="1908" t="str">
        <f t="shared" si="1"/>
        <v>PSSRU Unit Costs of Health and Social Care</v>
      </c>
      <c r="G15" s="116"/>
      <c r="H15" s="116"/>
      <c r="I15" s="116"/>
      <c r="J15" s="116"/>
      <c r="K15" s="116"/>
      <c r="L15" s="116"/>
      <c r="M15" s="116"/>
    </row>
    <row r="16" spans="2:14" ht="15.75" thickBot="1" x14ac:dyDescent="0.3">
      <c r="B16" s="1783"/>
      <c r="C16" s="1784"/>
      <c r="D16" s="1773" t="str">
        <f t="shared" si="0"/>
        <v>Post-2009/10 from GP patient survey</v>
      </c>
      <c r="E16" s="1908"/>
      <c r="G16" s="116"/>
      <c r="H16" s="116"/>
      <c r="I16" s="116"/>
      <c r="J16" s="116"/>
      <c r="K16" s="116"/>
      <c r="L16" s="116"/>
      <c r="M16" s="116"/>
    </row>
    <row r="17" spans="1:18" ht="19.5" x14ac:dyDescent="0.3">
      <c r="B17" s="537"/>
      <c r="C17" s="537"/>
      <c r="D17" s="537"/>
      <c r="F17" s="1780" t="s">
        <v>808</v>
      </c>
      <c r="H17" s="116"/>
      <c r="I17" s="116"/>
      <c r="J17" s="116"/>
      <c r="K17" s="116"/>
      <c r="L17" s="116"/>
      <c r="M17" s="116"/>
      <c r="N17" s="116"/>
    </row>
    <row r="18" spans="1:18" ht="18" thickBot="1" x14ac:dyDescent="0.35">
      <c r="B18" s="537"/>
      <c r="C18" s="537"/>
      <c r="D18" s="1779" t="s">
        <v>874</v>
      </c>
      <c r="F18" s="1576"/>
      <c r="G18" s="116"/>
      <c r="H18" s="116"/>
      <c r="I18" s="116"/>
      <c r="J18" s="116"/>
      <c r="K18" s="116"/>
      <c r="L18" s="116"/>
      <c r="M18" s="116"/>
      <c r="N18" s="116"/>
      <c r="O18" s="116"/>
      <c r="P18" s="116"/>
      <c r="Q18" s="116"/>
      <c r="R18" s="116"/>
    </row>
    <row r="19" spans="1:18" ht="20.25" customHeight="1" x14ac:dyDescent="0.3">
      <c r="B19" s="1915" t="s">
        <v>825</v>
      </c>
      <c r="C19" s="1916"/>
      <c r="D19" s="1881"/>
      <c r="F19" s="1576"/>
      <c r="G19" s="116"/>
      <c r="H19" s="116"/>
      <c r="I19" s="116"/>
      <c r="J19" s="116"/>
      <c r="K19" s="116"/>
      <c r="L19" s="116"/>
      <c r="M19" s="116"/>
      <c r="N19" s="116"/>
      <c r="O19" s="116"/>
      <c r="P19" s="116"/>
      <c r="Q19" s="116"/>
      <c r="R19" s="116"/>
    </row>
    <row r="20" spans="1:18" x14ac:dyDescent="0.25">
      <c r="A20" s="396"/>
      <c r="B20" s="1785" t="s">
        <v>826</v>
      </c>
      <c r="C20" s="1880"/>
      <c r="D20" s="1882"/>
      <c r="F20" s="1576"/>
      <c r="G20" s="116"/>
      <c r="H20" s="116"/>
      <c r="I20" s="116"/>
      <c r="J20" s="116"/>
      <c r="K20" s="116"/>
      <c r="L20" s="116"/>
      <c r="M20" s="116"/>
      <c r="N20" s="116"/>
      <c r="O20" s="116"/>
      <c r="P20" s="116"/>
      <c r="Q20" s="116"/>
      <c r="R20" s="116"/>
    </row>
    <row r="21" spans="1:18" ht="15" customHeight="1" x14ac:dyDescent="0.25">
      <c r="A21" s="396" t="b">
        <v>1</v>
      </c>
      <c r="B21" s="1913" t="s">
        <v>822</v>
      </c>
      <c r="C21" s="1914"/>
      <c r="D21" s="1883"/>
      <c r="F21" s="1576"/>
      <c r="G21" s="116"/>
      <c r="H21" s="116"/>
      <c r="I21" s="116"/>
      <c r="J21" s="116"/>
      <c r="K21" s="116"/>
      <c r="L21" s="116"/>
      <c r="M21" s="116"/>
      <c r="N21" s="116"/>
      <c r="O21" s="116"/>
      <c r="P21" s="116"/>
      <c r="Q21" s="116"/>
      <c r="R21" s="116"/>
    </row>
    <row r="22" spans="1:18" x14ac:dyDescent="0.25">
      <c r="A22" s="396"/>
      <c r="B22" s="1785" t="s">
        <v>827</v>
      </c>
      <c r="C22" s="1880"/>
      <c r="D22" s="1882"/>
      <c r="F22" s="1576"/>
      <c r="G22" s="116"/>
      <c r="H22" s="116"/>
      <c r="I22" s="116"/>
      <c r="J22" s="116"/>
      <c r="K22" s="116"/>
      <c r="L22" s="116"/>
      <c r="M22" s="116"/>
      <c r="N22" s="116"/>
      <c r="O22" s="116"/>
      <c r="P22" s="116"/>
      <c r="Q22" s="116"/>
      <c r="R22" s="116"/>
    </row>
    <row r="23" spans="1:18" x14ac:dyDescent="0.25">
      <c r="A23" s="396"/>
      <c r="B23" s="1913" t="s">
        <v>823</v>
      </c>
      <c r="C23" s="1914"/>
      <c r="D23" s="1883"/>
      <c r="F23" s="1576"/>
      <c r="G23" s="116"/>
      <c r="H23" s="116"/>
      <c r="I23" s="116"/>
      <c r="J23" s="116"/>
      <c r="K23" s="116"/>
      <c r="L23" s="116"/>
      <c r="M23" s="116"/>
      <c r="N23" s="116"/>
      <c r="O23" s="116"/>
      <c r="P23" s="116"/>
      <c r="Q23" s="116"/>
      <c r="R23" s="116"/>
    </row>
    <row r="24" spans="1:18" x14ac:dyDescent="0.25">
      <c r="A24" s="396"/>
      <c r="B24" s="1785" t="s">
        <v>828</v>
      </c>
      <c r="C24" s="1880"/>
      <c r="D24" s="1882"/>
      <c r="F24" s="1576"/>
    </row>
    <row r="25" spans="1:18" ht="15" customHeight="1" x14ac:dyDescent="0.25">
      <c r="A25" s="396"/>
      <c r="B25" s="1913" t="s">
        <v>822</v>
      </c>
      <c r="C25" s="1914"/>
      <c r="D25" s="1883"/>
      <c r="F25" s="1576"/>
    </row>
    <row r="26" spans="1:18" x14ac:dyDescent="0.25">
      <c r="A26" s="396"/>
      <c r="B26" s="1785" t="s">
        <v>829</v>
      </c>
      <c r="C26" s="1880"/>
      <c r="D26" s="1882"/>
      <c r="E26" s="1576"/>
      <c r="F26" s="1576"/>
    </row>
    <row r="27" spans="1:18" ht="15" customHeight="1" x14ac:dyDescent="0.35">
      <c r="A27" s="396"/>
      <c r="B27" s="1877" t="s">
        <v>633</v>
      </c>
      <c r="C27" s="1878"/>
      <c r="D27" s="1883"/>
      <c r="E27" s="1576"/>
      <c r="F27" s="1798"/>
      <c r="G27" s="1777" t="s">
        <v>801</v>
      </c>
      <c r="H27" s="1777"/>
    </row>
    <row r="28" spans="1:18" ht="15" customHeight="1" x14ac:dyDescent="0.35">
      <c r="A28" s="396"/>
      <c r="B28" s="1785" t="s">
        <v>830</v>
      </c>
      <c r="C28" s="1880"/>
      <c r="D28" s="1882"/>
      <c r="E28" s="1576"/>
      <c r="F28" s="1798" t="s">
        <v>841</v>
      </c>
    </row>
    <row r="29" spans="1:18" ht="15.75" thickBot="1" x14ac:dyDescent="0.3">
      <c r="A29" s="396"/>
      <c r="B29" s="1786" t="s">
        <v>824</v>
      </c>
      <c r="C29" s="1879"/>
      <c r="D29" s="1883"/>
      <c r="E29" s="1576"/>
      <c r="F29" s="1576"/>
    </row>
    <row r="30" spans="1:18" ht="21.95" customHeight="1" thickBot="1" x14ac:dyDescent="0.3">
      <c r="A30" s="396"/>
      <c r="B30" s="1778"/>
      <c r="C30" s="1576"/>
      <c r="D30" s="1576"/>
      <c r="E30" s="1576"/>
      <c r="F30" s="1576"/>
    </row>
    <row r="31" spans="1:18" ht="19.5" x14ac:dyDescent="0.3">
      <c r="A31" s="396"/>
      <c r="B31" s="1787" t="s">
        <v>831</v>
      </c>
      <c r="C31" s="1788"/>
      <c r="D31" s="537" t="str">
        <f t="shared" ref="D31" si="2">IF($A$39=TRUE,G66,"")</f>
        <v/>
      </c>
      <c r="E31" s="1576"/>
      <c r="F31" s="1576"/>
    </row>
    <row r="32" spans="1:18" x14ac:dyDescent="0.25">
      <c r="A32" s="396"/>
      <c r="B32" s="1789" t="s">
        <v>846</v>
      </c>
      <c r="C32" s="1790"/>
      <c r="D32" s="537"/>
      <c r="E32" s="1576"/>
      <c r="F32" s="1576"/>
    </row>
    <row r="33" spans="1:6" s="1778" customFormat="1" x14ac:dyDescent="0.25">
      <c r="A33" s="396"/>
      <c r="B33" s="1789" t="s">
        <v>845</v>
      </c>
      <c r="C33" s="1790" t="s">
        <v>848</v>
      </c>
      <c r="D33" s="537" t="str">
        <f>IF($A$39=TRUE,G68,"")</f>
        <v/>
      </c>
    </row>
    <row r="34" spans="1:6" s="1778" customFormat="1" x14ac:dyDescent="0.25">
      <c r="A34" s="396"/>
      <c r="B34" s="1789" t="s">
        <v>847</v>
      </c>
      <c r="C34" s="1790" t="s">
        <v>849</v>
      </c>
      <c r="D34" s="537" t="str">
        <f t="shared" ref="D34:D40" si="3">IF($A$39=TRUE,G69,"")</f>
        <v/>
      </c>
    </row>
    <row r="35" spans="1:6" s="1778" customFormat="1" x14ac:dyDescent="0.25">
      <c r="A35" s="396"/>
      <c r="B35" s="1789" t="s">
        <v>216</v>
      </c>
      <c r="C35" s="1790"/>
      <c r="D35" s="537" t="str">
        <f t="shared" si="3"/>
        <v/>
      </c>
    </row>
    <row r="36" spans="1:6" s="1778" customFormat="1" x14ac:dyDescent="0.25">
      <c r="A36" s="396"/>
      <c r="B36" s="1789" t="s">
        <v>57</v>
      </c>
      <c r="C36" s="1790"/>
      <c r="D36" s="537" t="str">
        <f t="shared" si="3"/>
        <v/>
      </c>
    </row>
    <row r="37" spans="1:6" s="1778" customFormat="1" x14ac:dyDescent="0.25">
      <c r="A37" s="396"/>
      <c r="B37" s="1789" t="s">
        <v>47</v>
      </c>
      <c r="C37" s="1790"/>
      <c r="D37" s="537" t="str">
        <f t="shared" si="3"/>
        <v/>
      </c>
    </row>
    <row r="38" spans="1:6" s="1778" customFormat="1" ht="24.95" customHeight="1" x14ac:dyDescent="0.25">
      <c r="A38" s="396"/>
      <c r="B38" s="1911" t="s">
        <v>290</v>
      </c>
      <c r="C38" s="1912"/>
      <c r="D38" s="1709" t="str">
        <f t="shared" si="3"/>
        <v/>
      </c>
    </row>
    <row r="39" spans="1:6" s="1778" customFormat="1" x14ac:dyDescent="0.25">
      <c r="A39" s="396" t="b">
        <v>0</v>
      </c>
      <c r="B39" s="1789" t="s">
        <v>136</v>
      </c>
      <c r="C39" s="1790"/>
      <c r="D39" s="537" t="str">
        <f t="shared" si="3"/>
        <v/>
      </c>
    </row>
    <row r="40" spans="1:6" s="1778" customFormat="1" ht="15.75" thickBot="1" x14ac:dyDescent="0.3">
      <c r="A40" s="396"/>
      <c r="B40" s="1791" t="s">
        <v>295</v>
      </c>
      <c r="C40" s="1792"/>
      <c r="D40" s="537" t="str">
        <f t="shared" si="3"/>
        <v/>
      </c>
    </row>
    <row r="41" spans="1:6" s="1778" customFormat="1" ht="19.5" x14ac:dyDescent="0.3">
      <c r="A41" s="396"/>
      <c r="B41" s="1710"/>
      <c r="C41" s="537"/>
      <c r="D41" s="1779" t="s">
        <v>840</v>
      </c>
      <c r="F41" s="1780"/>
    </row>
    <row r="42" spans="1:6" s="1778" customFormat="1" ht="20.25" thickBot="1" x14ac:dyDescent="0.35">
      <c r="A42" s="396"/>
      <c r="B42" s="1710"/>
      <c r="C42" s="537"/>
      <c r="D42" s="537"/>
      <c r="F42" s="1780" t="s">
        <v>831</v>
      </c>
    </row>
    <row r="43" spans="1:6" s="1778" customFormat="1" ht="19.5" x14ac:dyDescent="0.25">
      <c r="A43" s="396"/>
      <c r="B43" s="1793" t="s">
        <v>800</v>
      </c>
      <c r="C43" s="1794"/>
      <c r="D43" s="1795"/>
    </row>
    <row r="44" spans="1:6" s="1778" customFormat="1" x14ac:dyDescent="0.25">
      <c r="A44" s="396"/>
      <c r="B44" s="1789" t="s">
        <v>875</v>
      </c>
      <c r="C44" s="1796"/>
      <c r="D44" s="1790"/>
    </row>
    <row r="45" spans="1:6" s="1778" customFormat="1" x14ac:dyDescent="0.25">
      <c r="A45" s="396"/>
      <c r="B45" s="1789" t="s">
        <v>876</v>
      </c>
      <c r="C45" s="1796"/>
      <c r="D45" s="1790"/>
    </row>
    <row r="46" spans="1:6" x14ac:dyDescent="0.25">
      <c r="B46" s="1789" t="s">
        <v>877</v>
      </c>
      <c r="C46" s="1796"/>
      <c r="D46" s="1790"/>
      <c r="E46" s="1576"/>
      <c r="F46" s="1576"/>
    </row>
    <row r="47" spans="1:6" x14ac:dyDescent="0.25">
      <c r="B47" s="1789" t="s">
        <v>880</v>
      </c>
      <c r="C47" s="1796"/>
      <c r="D47" s="1790"/>
      <c r="E47" s="1576"/>
      <c r="F47" s="1576"/>
    </row>
    <row r="48" spans="1:6" x14ac:dyDescent="0.25">
      <c r="B48" s="1789" t="s">
        <v>878</v>
      </c>
      <c r="C48" s="1796"/>
      <c r="D48" s="1790"/>
      <c r="E48" s="1576"/>
      <c r="F48" s="1576"/>
    </row>
    <row r="49" spans="1:18" x14ac:dyDescent="0.25">
      <c r="B49" s="1789" t="s">
        <v>879</v>
      </c>
      <c r="C49" s="1796"/>
      <c r="D49" s="1790"/>
      <c r="E49" s="1576"/>
      <c r="F49" s="1576"/>
    </row>
    <row r="50" spans="1:18" ht="15.75" thickBot="1" x14ac:dyDescent="0.3">
      <c r="B50" s="1791" t="s">
        <v>881</v>
      </c>
      <c r="C50" s="1797"/>
      <c r="D50" s="1792"/>
      <c r="E50" s="1576"/>
      <c r="F50" s="1576"/>
    </row>
    <row r="51" spans="1:18" x14ac:dyDescent="0.25">
      <c r="B51" s="1576"/>
      <c r="C51" s="1576"/>
      <c r="D51" s="1576"/>
      <c r="E51" s="1576"/>
      <c r="F51" s="1576"/>
    </row>
    <row r="52" spans="1:18" x14ac:dyDescent="0.25">
      <c r="B52" s="1576"/>
      <c r="C52" s="1576"/>
    </row>
    <row r="53" spans="1:18" x14ac:dyDescent="0.25">
      <c r="A53" s="396"/>
      <c r="B53" s="547"/>
      <c r="C53" s="547"/>
      <c r="D53" s="547"/>
      <c r="E53" s="396"/>
      <c r="F53" s="396"/>
      <c r="G53" s="396"/>
      <c r="H53" s="396"/>
      <c r="I53" s="396"/>
      <c r="J53" s="396"/>
      <c r="K53" s="396"/>
      <c r="L53" s="396"/>
      <c r="M53" s="396"/>
      <c r="N53" s="396"/>
      <c r="O53" s="396"/>
      <c r="P53" s="396"/>
      <c r="Q53" s="396"/>
      <c r="R53" s="396"/>
    </row>
    <row r="54" spans="1:18" x14ac:dyDescent="0.25">
      <c r="A54" s="396"/>
      <c r="B54" s="1882"/>
      <c r="C54" s="547"/>
      <c r="D54" s="547"/>
      <c r="E54" s="396"/>
      <c r="F54" s="396"/>
      <c r="G54" s="396"/>
      <c r="H54" s="396"/>
      <c r="I54" s="396"/>
      <c r="J54" s="396"/>
      <c r="K54" s="396"/>
      <c r="L54" s="396"/>
      <c r="M54" s="396"/>
      <c r="N54" s="396"/>
      <c r="O54" s="396"/>
      <c r="P54" s="396"/>
      <c r="Q54" s="396"/>
      <c r="R54" s="396"/>
    </row>
    <row r="55" spans="1:18" x14ac:dyDescent="0.25">
      <c r="A55" s="396"/>
      <c r="B55" s="1882"/>
      <c r="C55" s="547"/>
      <c r="D55" s="547"/>
      <c r="E55" s="396"/>
      <c r="F55" s="396"/>
      <c r="G55" s="396"/>
      <c r="H55" s="396"/>
      <c r="I55" s="396"/>
      <c r="J55" s="396"/>
      <c r="K55" s="396"/>
      <c r="L55" s="396"/>
      <c r="M55" s="396"/>
      <c r="N55" s="396"/>
      <c r="O55" s="396"/>
      <c r="P55" s="396"/>
      <c r="Q55" s="396"/>
      <c r="R55" s="396"/>
    </row>
    <row r="56" spans="1:18" x14ac:dyDescent="0.25">
      <c r="A56" s="396"/>
      <c r="B56" s="1882"/>
      <c r="C56" s="547"/>
      <c r="D56" s="547"/>
      <c r="E56" s="396"/>
      <c r="F56" s="396" t="s">
        <v>280</v>
      </c>
      <c r="G56" s="396" t="s">
        <v>832</v>
      </c>
      <c r="H56" s="396" t="s">
        <v>842</v>
      </c>
      <c r="I56" s="396"/>
      <c r="J56" s="396"/>
      <c r="K56" s="396"/>
      <c r="L56" s="396"/>
      <c r="M56" s="396"/>
      <c r="N56" s="396"/>
      <c r="O56" s="396"/>
      <c r="P56" s="396"/>
      <c r="Q56" s="396"/>
      <c r="R56" s="396"/>
    </row>
    <row r="57" spans="1:18" x14ac:dyDescent="0.25">
      <c r="A57" s="396"/>
      <c r="B57" s="1882"/>
      <c r="C57" s="547"/>
      <c r="D57" s="547"/>
      <c r="E57" s="396"/>
      <c r="F57" s="396"/>
      <c r="G57" s="396"/>
      <c r="H57" s="396"/>
      <c r="I57" s="396"/>
      <c r="J57" s="396"/>
      <c r="K57" s="396"/>
      <c r="L57" s="396"/>
      <c r="M57" s="396"/>
      <c r="N57" s="396"/>
      <c r="O57" s="396"/>
      <c r="P57" s="396"/>
      <c r="Q57" s="396"/>
      <c r="R57" s="396"/>
    </row>
    <row r="58" spans="1:18" x14ac:dyDescent="0.25">
      <c r="A58" s="396"/>
      <c r="B58" s="1882"/>
      <c r="C58" s="547"/>
      <c r="D58" s="547"/>
      <c r="E58" s="396"/>
      <c r="F58" s="396" t="s">
        <v>215</v>
      </c>
      <c r="G58" s="396" t="s">
        <v>283</v>
      </c>
      <c r="H58" s="396" t="s">
        <v>284</v>
      </c>
      <c r="I58" s="396"/>
      <c r="J58" s="396"/>
      <c r="K58" s="396"/>
      <c r="L58" s="396"/>
      <c r="M58" s="396"/>
      <c r="N58" s="396"/>
      <c r="O58" s="396"/>
      <c r="P58" s="396"/>
      <c r="Q58" s="396"/>
      <c r="R58" s="396"/>
    </row>
    <row r="59" spans="1:18" x14ac:dyDescent="0.25">
      <c r="A59" s="396"/>
      <c r="B59" s="1882"/>
      <c r="C59" s="547"/>
      <c r="D59" s="547"/>
      <c r="E59" s="396"/>
      <c r="F59" s="396"/>
      <c r="G59" s="396"/>
      <c r="H59" s="396"/>
      <c r="I59" s="396"/>
      <c r="J59" s="396"/>
      <c r="K59" s="396"/>
      <c r="L59" s="396"/>
      <c r="M59" s="396"/>
      <c r="N59" s="396"/>
      <c r="O59" s="396"/>
      <c r="P59" s="396"/>
      <c r="Q59" s="396"/>
      <c r="R59" s="396"/>
    </row>
    <row r="60" spans="1:18" x14ac:dyDescent="0.25">
      <c r="A60" s="396"/>
      <c r="B60" s="1882"/>
      <c r="C60" s="547"/>
      <c r="D60" s="547"/>
      <c r="E60" s="396"/>
      <c r="F60" s="396"/>
      <c r="G60" s="396"/>
      <c r="H60" s="396"/>
      <c r="I60" s="396"/>
      <c r="J60" s="396"/>
      <c r="K60" s="396"/>
      <c r="L60" s="396"/>
      <c r="M60" s="396"/>
      <c r="N60" s="396"/>
      <c r="O60" s="396"/>
      <c r="P60" s="396"/>
      <c r="Q60" s="396"/>
      <c r="R60" s="396"/>
    </row>
    <row r="61" spans="1:18" x14ac:dyDescent="0.25">
      <c r="A61" s="396"/>
      <c r="B61" s="547"/>
      <c r="C61" s="547"/>
      <c r="D61" s="547"/>
      <c r="E61" s="396"/>
      <c r="F61" s="1909" t="s">
        <v>833</v>
      </c>
      <c r="G61" s="1909"/>
      <c r="H61" s="1909"/>
      <c r="I61" s="1909"/>
      <c r="J61" s="396"/>
      <c r="K61" s="396"/>
      <c r="L61" s="396"/>
      <c r="M61" s="396"/>
      <c r="N61" s="396"/>
      <c r="O61" s="396"/>
      <c r="P61" s="396"/>
      <c r="Q61" s="396"/>
      <c r="R61" s="396"/>
    </row>
    <row r="62" spans="1:18" x14ac:dyDescent="0.25">
      <c r="A62" s="396"/>
      <c r="B62" s="396"/>
      <c r="C62" s="396"/>
      <c r="D62" s="396" t="s">
        <v>852</v>
      </c>
      <c r="E62" s="396" t="s">
        <v>850</v>
      </c>
      <c r="F62" s="1799"/>
      <c r="G62" s="1799"/>
      <c r="H62" s="1799"/>
      <c r="I62" s="1799"/>
      <c r="J62" s="396"/>
      <c r="K62" s="396"/>
      <c r="L62" s="396"/>
      <c r="M62" s="396"/>
      <c r="N62" s="396"/>
      <c r="O62" s="396"/>
      <c r="P62" s="396"/>
      <c r="Q62" s="396"/>
      <c r="R62" s="396"/>
    </row>
    <row r="63" spans="1:18" x14ac:dyDescent="0.25">
      <c r="A63" s="396"/>
      <c r="B63" s="396"/>
      <c r="C63" s="396"/>
      <c r="D63" s="396"/>
      <c r="E63" s="396"/>
      <c r="F63" s="1799"/>
      <c r="G63" s="1799"/>
      <c r="H63" s="1799"/>
      <c r="I63" s="1799"/>
      <c r="J63" s="396"/>
      <c r="K63" s="396"/>
      <c r="L63" s="396"/>
      <c r="M63" s="396"/>
      <c r="N63" s="396"/>
      <c r="O63" s="396"/>
      <c r="P63" s="396"/>
      <c r="Q63" s="396"/>
      <c r="R63" s="396"/>
    </row>
    <row r="64" spans="1:18" x14ac:dyDescent="0.25">
      <c r="A64" s="396"/>
      <c r="B64" s="396"/>
      <c r="C64" s="396" t="s">
        <v>810</v>
      </c>
      <c r="D64" s="396" t="s">
        <v>812</v>
      </c>
      <c r="E64" s="396" t="s">
        <v>309</v>
      </c>
      <c r="F64" s="1909" t="s">
        <v>834</v>
      </c>
      <c r="G64" s="396"/>
      <c r="H64" s="1799"/>
      <c r="I64" s="1799"/>
      <c r="J64" s="396"/>
      <c r="K64" s="396"/>
      <c r="L64" s="396"/>
      <c r="M64" s="396"/>
      <c r="N64" s="396"/>
      <c r="O64" s="396"/>
      <c r="P64" s="396"/>
      <c r="Q64" s="396"/>
      <c r="R64" s="396"/>
    </row>
    <row r="65" spans="1:18" x14ac:dyDescent="0.25">
      <c r="A65" s="396"/>
      <c r="B65" s="396"/>
      <c r="C65" s="396"/>
      <c r="D65" s="396" t="s">
        <v>812</v>
      </c>
      <c r="E65" s="396" t="s">
        <v>309</v>
      </c>
      <c r="F65" s="1909"/>
      <c r="G65" s="1799"/>
      <c r="H65" s="1799"/>
      <c r="I65" s="1799"/>
      <c r="J65" s="396"/>
      <c r="K65" s="396"/>
      <c r="L65" s="396"/>
      <c r="M65" s="396"/>
      <c r="N65" s="396"/>
      <c r="O65" s="396"/>
      <c r="P65" s="396"/>
      <c r="Q65" s="396"/>
      <c r="R65" s="396"/>
    </row>
    <row r="66" spans="1:18" x14ac:dyDescent="0.25">
      <c r="A66" s="396"/>
      <c r="B66" s="396"/>
      <c r="C66" s="396" t="s">
        <v>767</v>
      </c>
      <c r="D66" s="396" t="s">
        <v>813</v>
      </c>
      <c r="E66" s="396" t="s">
        <v>309</v>
      </c>
      <c r="F66" s="1799"/>
      <c r="G66" s="1799" t="s">
        <v>281</v>
      </c>
      <c r="H66" s="1799"/>
      <c r="I66" s="1799"/>
      <c r="J66" s="396"/>
      <c r="K66" s="396"/>
      <c r="L66" s="396"/>
      <c r="M66" s="396"/>
      <c r="N66" s="396"/>
      <c r="O66" s="396"/>
      <c r="P66" s="396"/>
      <c r="Q66" s="396"/>
      <c r="R66" s="396"/>
    </row>
    <row r="67" spans="1:18" x14ac:dyDescent="0.25">
      <c r="A67" s="396"/>
      <c r="B67" s="396"/>
      <c r="C67" s="396" t="s">
        <v>311</v>
      </c>
      <c r="D67" s="396" t="s">
        <v>309</v>
      </c>
      <c r="E67" s="396" t="s">
        <v>309</v>
      </c>
      <c r="F67" s="396" t="s">
        <v>280</v>
      </c>
      <c r="G67" s="1799" t="s">
        <v>835</v>
      </c>
      <c r="H67" s="1799" t="s">
        <v>843</v>
      </c>
      <c r="I67" s="1799"/>
      <c r="J67" s="396"/>
      <c r="K67" s="396"/>
      <c r="L67" s="396"/>
      <c r="M67" s="396"/>
      <c r="N67" s="396"/>
      <c r="O67" s="396"/>
      <c r="P67" s="396"/>
      <c r="Q67" s="396"/>
      <c r="R67" s="396"/>
    </row>
    <row r="68" spans="1:18" x14ac:dyDescent="0.25">
      <c r="A68" s="396"/>
      <c r="B68" s="396"/>
      <c r="C68" s="396" t="s">
        <v>741</v>
      </c>
      <c r="D68" s="396" t="s">
        <v>309</v>
      </c>
      <c r="E68" s="396" t="s">
        <v>309</v>
      </c>
      <c r="F68" s="396"/>
      <c r="G68" s="396" t="s">
        <v>283</v>
      </c>
      <c r="H68" s="396"/>
      <c r="I68" s="396"/>
      <c r="J68" s="396"/>
      <c r="K68" s="396"/>
      <c r="L68" s="396"/>
      <c r="M68" s="396"/>
      <c r="N68" s="396"/>
      <c r="O68" s="396"/>
      <c r="P68" s="396"/>
      <c r="Q68" s="396"/>
      <c r="R68" s="396"/>
    </row>
    <row r="69" spans="1:18" x14ac:dyDescent="0.25">
      <c r="A69" s="396"/>
      <c r="B69" s="396"/>
      <c r="C69" s="396" t="s">
        <v>149</v>
      </c>
      <c r="D69" s="396" t="s">
        <v>309</v>
      </c>
      <c r="E69" s="396" t="s">
        <v>309</v>
      </c>
      <c r="F69" s="396" t="s">
        <v>215</v>
      </c>
      <c r="G69" s="396" t="s">
        <v>285</v>
      </c>
      <c r="H69" s="396" t="s">
        <v>836</v>
      </c>
      <c r="I69" s="396"/>
      <c r="J69" s="396"/>
      <c r="K69" s="396"/>
      <c r="L69" s="396"/>
      <c r="M69" s="396"/>
      <c r="N69" s="396"/>
      <c r="O69" s="396"/>
      <c r="P69" s="396"/>
      <c r="Q69" s="396"/>
      <c r="R69" s="396"/>
    </row>
    <row r="70" spans="1:18" x14ac:dyDescent="0.25">
      <c r="A70" s="396"/>
      <c r="B70" s="396"/>
      <c r="C70" s="396" t="s">
        <v>727</v>
      </c>
      <c r="D70" s="396" t="s">
        <v>293</v>
      </c>
      <c r="E70" s="396" t="s">
        <v>309</v>
      </c>
      <c r="F70" s="396" t="s">
        <v>216</v>
      </c>
      <c r="G70" s="396" t="s">
        <v>285</v>
      </c>
      <c r="H70" s="396" t="s">
        <v>286</v>
      </c>
      <c r="I70" s="396"/>
      <c r="J70" s="396"/>
      <c r="K70" s="396"/>
      <c r="L70" s="396"/>
      <c r="M70" s="396"/>
      <c r="N70" s="396"/>
      <c r="O70" s="396"/>
      <c r="P70" s="396"/>
      <c r="Q70" s="396"/>
      <c r="R70" s="396"/>
    </row>
    <row r="71" spans="1:18" x14ac:dyDescent="0.25">
      <c r="A71" s="396"/>
      <c r="B71" s="396"/>
      <c r="C71" s="396" t="s">
        <v>815</v>
      </c>
      <c r="D71" s="396" t="s">
        <v>819</v>
      </c>
      <c r="E71" s="396" t="s">
        <v>293</v>
      </c>
      <c r="F71" s="396" t="s">
        <v>57</v>
      </c>
      <c r="G71" s="396" t="s">
        <v>285</v>
      </c>
      <c r="H71" s="396" t="s">
        <v>287</v>
      </c>
      <c r="I71" s="396"/>
      <c r="J71" s="396"/>
      <c r="K71" s="396"/>
      <c r="L71" s="396"/>
      <c r="M71" s="396"/>
      <c r="N71" s="396"/>
      <c r="O71" s="396"/>
      <c r="P71" s="396"/>
      <c r="Q71" s="396"/>
      <c r="R71" s="396"/>
    </row>
    <row r="72" spans="1:18" x14ac:dyDescent="0.25">
      <c r="A72" s="396"/>
      <c r="B72" s="396"/>
      <c r="C72" s="396" t="s">
        <v>136</v>
      </c>
      <c r="D72" s="396" t="s">
        <v>816</v>
      </c>
      <c r="E72" s="396" t="s">
        <v>819</v>
      </c>
      <c r="F72" s="396" t="s">
        <v>47</v>
      </c>
      <c r="G72" s="396" t="s">
        <v>285</v>
      </c>
      <c r="H72" s="396" t="s">
        <v>837</v>
      </c>
      <c r="I72" s="396"/>
      <c r="J72" s="396"/>
      <c r="K72" s="396"/>
      <c r="L72" s="396"/>
      <c r="M72" s="396"/>
      <c r="N72" s="396"/>
      <c r="O72" s="396"/>
      <c r="P72" s="396"/>
      <c r="Q72" s="396"/>
      <c r="R72" s="396"/>
    </row>
    <row r="73" spans="1:18" x14ac:dyDescent="0.25">
      <c r="A73" s="396"/>
      <c r="B73" s="396"/>
      <c r="C73" s="396" t="s">
        <v>818</v>
      </c>
      <c r="D73" s="396" t="s">
        <v>817</v>
      </c>
      <c r="E73" s="1501" t="s">
        <v>820</v>
      </c>
      <c r="F73" s="396" t="s">
        <v>290</v>
      </c>
      <c r="G73" s="396" t="s">
        <v>838</v>
      </c>
      <c r="H73" s="396" t="s">
        <v>292</v>
      </c>
      <c r="I73" s="396"/>
      <c r="J73" s="396"/>
      <c r="K73" s="396"/>
      <c r="L73" s="396"/>
      <c r="M73" s="396"/>
      <c r="N73" s="396"/>
      <c r="O73" s="396"/>
      <c r="P73" s="396"/>
      <c r="Q73" s="396"/>
      <c r="R73" s="396"/>
    </row>
    <row r="74" spans="1:18" x14ac:dyDescent="0.25">
      <c r="A74" s="396"/>
      <c r="B74" s="396"/>
      <c r="C74" s="396" t="s">
        <v>781</v>
      </c>
      <c r="D74" s="396"/>
      <c r="E74" s="1501"/>
      <c r="F74" s="396" t="s">
        <v>136</v>
      </c>
      <c r="G74" s="396" t="s">
        <v>293</v>
      </c>
      <c r="H74" s="396" t="s">
        <v>839</v>
      </c>
      <c r="I74" s="396"/>
      <c r="J74" s="396"/>
      <c r="K74" s="396"/>
      <c r="L74" s="396"/>
      <c r="M74" s="396"/>
      <c r="N74" s="396"/>
      <c r="O74" s="396"/>
      <c r="P74" s="396"/>
      <c r="Q74" s="396"/>
      <c r="R74" s="396"/>
    </row>
    <row r="75" spans="1:18" x14ac:dyDescent="0.25">
      <c r="A75" s="396"/>
      <c r="B75" s="396"/>
      <c r="C75" s="396"/>
      <c r="D75" s="396"/>
      <c r="E75" s="1501"/>
      <c r="F75" s="396" t="s">
        <v>295</v>
      </c>
      <c r="G75" s="396" t="s">
        <v>838</v>
      </c>
      <c r="H75" s="396" t="s">
        <v>296</v>
      </c>
      <c r="I75" s="396"/>
      <c r="J75" s="396"/>
      <c r="K75" s="396"/>
      <c r="L75" s="396"/>
      <c r="M75" s="396"/>
      <c r="N75" s="396"/>
      <c r="O75" s="396"/>
      <c r="P75" s="396"/>
      <c r="Q75" s="396"/>
      <c r="R75" s="396"/>
    </row>
    <row r="76" spans="1:18" x14ac:dyDescent="0.25">
      <c r="A76" s="396"/>
      <c r="B76" s="396"/>
      <c r="C76" s="396"/>
      <c r="D76" s="396" t="s">
        <v>811</v>
      </c>
      <c r="E76" s="396"/>
      <c r="F76" s="396"/>
      <c r="G76" s="396"/>
      <c r="H76" s="396"/>
      <c r="I76" s="396"/>
      <c r="J76" s="396"/>
      <c r="K76" s="396"/>
      <c r="L76" s="396"/>
      <c r="M76" s="396"/>
      <c r="N76" s="396"/>
      <c r="O76" s="396"/>
      <c r="P76" s="396"/>
      <c r="Q76" s="396"/>
      <c r="R76" s="396"/>
    </row>
    <row r="77" spans="1:18" x14ac:dyDescent="0.25">
      <c r="A77" s="396"/>
      <c r="B77" s="396"/>
      <c r="C77" s="396" t="s">
        <v>810</v>
      </c>
      <c r="D77" s="396"/>
      <c r="E77" s="396" t="s">
        <v>850</v>
      </c>
      <c r="F77" s="396" t="s">
        <v>851</v>
      </c>
      <c r="G77" s="396"/>
      <c r="H77" s="396"/>
      <c r="I77" s="396"/>
      <c r="J77" s="396"/>
      <c r="K77" s="396"/>
      <c r="L77" s="396"/>
      <c r="M77" s="396"/>
      <c r="N77" s="396"/>
      <c r="O77" s="396"/>
      <c r="P77" s="396"/>
      <c r="Q77" s="396"/>
      <c r="R77" s="396"/>
    </row>
    <row r="78" spans="1:18" x14ac:dyDescent="0.25">
      <c r="A78" s="396"/>
      <c r="B78" s="396"/>
      <c r="C78" s="396"/>
      <c r="D78" s="396" t="s">
        <v>812</v>
      </c>
      <c r="E78" s="396"/>
      <c r="F78" s="396"/>
      <c r="G78" s="396"/>
      <c r="H78" s="396"/>
      <c r="I78" s="396"/>
      <c r="J78" s="396"/>
      <c r="K78" s="396"/>
      <c r="L78" s="396"/>
      <c r="M78" s="396"/>
      <c r="N78" s="396"/>
      <c r="O78" s="396"/>
      <c r="P78" s="396"/>
      <c r="Q78" s="396"/>
      <c r="R78" s="396"/>
    </row>
    <row r="79" spans="1:18" x14ac:dyDescent="0.25">
      <c r="A79" s="396"/>
      <c r="B79" s="396"/>
      <c r="C79" s="396" t="s">
        <v>767</v>
      </c>
      <c r="D79" s="396" t="s">
        <v>812</v>
      </c>
      <c r="E79" s="396" t="s">
        <v>309</v>
      </c>
      <c r="F79" s="396" t="s">
        <v>822</v>
      </c>
      <c r="G79" s="396"/>
      <c r="H79" s="396"/>
      <c r="I79" s="396"/>
      <c r="J79" s="396"/>
      <c r="K79" s="396"/>
      <c r="L79" s="396"/>
      <c r="M79" s="396"/>
      <c r="N79" s="396"/>
      <c r="O79" s="396"/>
      <c r="P79" s="396"/>
      <c r="Q79" s="396"/>
      <c r="R79" s="396"/>
    </row>
    <row r="80" spans="1:18" x14ac:dyDescent="0.25">
      <c r="A80" s="396"/>
      <c r="B80" s="396"/>
      <c r="C80" s="396" t="s">
        <v>311</v>
      </c>
      <c r="D80" s="396" t="s">
        <v>813</v>
      </c>
      <c r="E80" s="396" t="s">
        <v>309</v>
      </c>
      <c r="F80" s="396" t="s">
        <v>823</v>
      </c>
      <c r="G80" s="396"/>
      <c r="H80" s="396"/>
      <c r="I80" s="396"/>
      <c r="J80" s="396"/>
      <c r="K80" s="396"/>
      <c r="L80" s="396"/>
      <c r="M80" s="396"/>
      <c r="N80" s="396"/>
      <c r="O80" s="396"/>
      <c r="P80" s="396"/>
      <c r="Q80" s="396"/>
      <c r="R80" s="396"/>
    </row>
    <row r="81" spans="1:18" x14ac:dyDescent="0.25">
      <c r="A81" s="396"/>
      <c r="B81" s="396"/>
      <c r="C81" s="396" t="s">
        <v>741</v>
      </c>
      <c r="D81" s="396" t="s">
        <v>309</v>
      </c>
      <c r="E81" s="396" t="s">
        <v>309</v>
      </c>
      <c r="F81" s="396" t="s">
        <v>822</v>
      </c>
      <c r="G81" s="396"/>
      <c r="H81" s="396"/>
      <c r="I81" s="396"/>
      <c r="J81" s="396"/>
      <c r="K81" s="396"/>
      <c r="L81" s="396"/>
      <c r="M81" s="396"/>
      <c r="N81" s="396"/>
      <c r="O81" s="396"/>
      <c r="P81" s="396"/>
      <c r="Q81" s="396"/>
      <c r="R81" s="396"/>
    </row>
    <row r="82" spans="1:18" x14ac:dyDescent="0.25">
      <c r="A82" s="396"/>
      <c r="B82" s="396"/>
      <c r="C82" s="396" t="s">
        <v>149</v>
      </c>
      <c r="D82" s="396" t="s">
        <v>309</v>
      </c>
      <c r="E82" s="396" t="s">
        <v>309</v>
      </c>
      <c r="F82" s="396" t="s">
        <v>633</v>
      </c>
      <c r="G82" s="396"/>
      <c r="H82" s="396"/>
      <c r="I82" s="396"/>
      <c r="J82" s="396"/>
      <c r="K82" s="396"/>
      <c r="L82" s="396"/>
      <c r="M82" s="396"/>
      <c r="N82" s="396"/>
      <c r="O82" s="396"/>
      <c r="P82" s="396"/>
      <c r="Q82" s="396"/>
      <c r="R82" s="396"/>
    </row>
    <row r="83" spans="1:18" x14ac:dyDescent="0.25">
      <c r="A83" s="396"/>
      <c r="B83" s="396"/>
      <c r="C83" s="396" t="s">
        <v>727</v>
      </c>
      <c r="D83" s="396" t="s">
        <v>309</v>
      </c>
      <c r="E83" s="396" t="s">
        <v>309</v>
      </c>
      <c r="F83" s="396" t="s">
        <v>464</v>
      </c>
      <c r="G83" s="396"/>
      <c r="H83" s="396"/>
      <c r="I83" s="396"/>
      <c r="J83" s="396"/>
      <c r="K83" s="396"/>
      <c r="L83" s="396"/>
      <c r="M83" s="396"/>
      <c r="N83" s="396"/>
      <c r="O83" s="396"/>
      <c r="P83" s="396"/>
      <c r="Q83" s="396"/>
      <c r="R83" s="396"/>
    </row>
    <row r="84" spans="1:18" x14ac:dyDescent="0.25">
      <c r="A84" s="396"/>
      <c r="B84" s="396"/>
      <c r="C84" s="396" t="s">
        <v>814</v>
      </c>
      <c r="D84" s="396" t="s">
        <v>309</v>
      </c>
      <c r="E84" s="396" t="s">
        <v>309</v>
      </c>
      <c r="F84" s="396" t="s">
        <v>464</v>
      </c>
      <c r="G84" s="396"/>
      <c r="H84" s="396"/>
      <c r="I84" s="396"/>
      <c r="J84" s="396"/>
      <c r="K84" s="396"/>
      <c r="L84" s="396"/>
      <c r="M84" s="396"/>
      <c r="N84" s="396"/>
      <c r="O84" s="396"/>
      <c r="P84" s="396"/>
      <c r="Q84" s="396"/>
      <c r="R84" s="396"/>
    </row>
    <row r="85" spans="1:18" x14ac:dyDescent="0.25">
      <c r="A85" s="396"/>
      <c r="B85" s="396"/>
      <c r="C85" s="396" t="s">
        <v>815</v>
      </c>
      <c r="D85" s="396" t="s">
        <v>816</v>
      </c>
      <c r="E85" s="396" t="s">
        <v>309</v>
      </c>
      <c r="F85" s="396" t="s">
        <v>464</v>
      </c>
      <c r="G85" s="396"/>
      <c r="H85" s="396"/>
      <c r="I85" s="396"/>
      <c r="J85" s="396"/>
      <c r="K85" s="396"/>
      <c r="L85" s="396"/>
      <c r="M85" s="396"/>
      <c r="N85" s="396"/>
      <c r="O85" s="396"/>
      <c r="P85" s="396"/>
      <c r="Q85" s="396"/>
      <c r="R85" s="396"/>
    </row>
    <row r="86" spans="1:18" x14ac:dyDescent="0.25">
      <c r="A86" s="396"/>
      <c r="B86" s="396"/>
      <c r="C86" s="396" t="s">
        <v>781</v>
      </c>
      <c r="D86" s="396" t="s">
        <v>817</v>
      </c>
      <c r="E86" s="1910" t="s">
        <v>820</v>
      </c>
      <c r="F86" s="1910" t="s">
        <v>824</v>
      </c>
      <c r="G86" s="396"/>
      <c r="H86" s="396"/>
      <c r="I86" s="396"/>
      <c r="J86" s="396"/>
      <c r="K86" s="396"/>
      <c r="L86" s="396"/>
      <c r="M86" s="396"/>
      <c r="N86" s="396"/>
      <c r="O86" s="396"/>
      <c r="P86" s="396"/>
      <c r="Q86" s="396"/>
      <c r="R86" s="396"/>
    </row>
    <row r="87" spans="1:18" x14ac:dyDescent="0.25">
      <c r="A87" s="396"/>
      <c r="B87" s="396"/>
      <c r="C87" s="396"/>
      <c r="D87" s="396" t="s">
        <v>293</v>
      </c>
      <c r="E87" s="1910"/>
      <c r="F87" s="1910"/>
      <c r="G87" s="396"/>
      <c r="H87" s="396"/>
      <c r="I87" s="396"/>
      <c r="J87" s="396"/>
      <c r="K87" s="396"/>
      <c r="L87" s="396"/>
      <c r="M87" s="396"/>
      <c r="N87" s="396"/>
      <c r="O87" s="396"/>
      <c r="P87" s="396"/>
      <c r="Q87" s="396"/>
      <c r="R87" s="396"/>
    </row>
    <row r="88" spans="1:18" x14ac:dyDescent="0.25">
      <c r="A88" s="396"/>
      <c r="B88" s="396"/>
      <c r="C88" s="396" t="s">
        <v>136</v>
      </c>
      <c r="D88" s="396" t="s">
        <v>819</v>
      </c>
      <c r="E88" s="396" t="s">
        <v>293</v>
      </c>
      <c r="F88" s="396" t="s">
        <v>464</v>
      </c>
      <c r="G88" s="396"/>
      <c r="H88" s="396"/>
      <c r="I88" s="396"/>
      <c r="J88" s="396"/>
      <c r="K88" s="396"/>
      <c r="L88" s="396"/>
      <c r="M88" s="396"/>
      <c r="N88" s="396"/>
      <c r="O88" s="396"/>
      <c r="P88" s="396"/>
      <c r="Q88" s="396"/>
      <c r="R88" s="396"/>
    </row>
    <row r="89" spans="1:18" x14ac:dyDescent="0.25">
      <c r="A89" s="396"/>
      <c r="B89" s="396"/>
      <c r="C89" s="396" t="s">
        <v>818</v>
      </c>
      <c r="D89" s="396"/>
      <c r="E89" s="396" t="s">
        <v>819</v>
      </c>
      <c r="F89" s="396" t="s">
        <v>464</v>
      </c>
      <c r="G89" s="396"/>
      <c r="H89" s="396"/>
      <c r="I89" s="396"/>
      <c r="J89" s="396"/>
      <c r="K89" s="396"/>
      <c r="L89" s="396"/>
      <c r="M89" s="396"/>
      <c r="N89" s="396"/>
      <c r="O89" s="396"/>
      <c r="P89" s="396"/>
      <c r="Q89" s="396"/>
      <c r="R89" s="396"/>
    </row>
    <row r="90" spans="1:18" x14ac:dyDescent="0.25">
      <c r="A90" s="396"/>
      <c r="B90" s="396"/>
      <c r="C90" s="396"/>
      <c r="D90" s="396"/>
      <c r="E90" s="396"/>
      <c r="F90" s="396"/>
      <c r="G90" s="396"/>
      <c r="H90" s="396"/>
      <c r="I90" s="396"/>
      <c r="J90" s="396"/>
      <c r="K90" s="396"/>
      <c r="L90" s="396"/>
      <c r="M90" s="396"/>
      <c r="N90" s="396"/>
      <c r="O90" s="396"/>
      <c r="P90" s="396"/>
      <c r="Q90" s="396"/>
      <c r="R90" s="396"/>
    </row>
    <row r="91" spans="1:18" x14ac:dyDescent="0.25">
      <c r="A91" s="396"/>
      <c r="B91" s="396"/>
      <c r="C91" s="396"/>
      <c r="D91" s="396"/>
      <c r="E91" s="396"/>
      <c r="F91" s="396"/>
      <c r="G91" s="396"/>
      <c r="H91" s="396"/>
      <c r="I91" s="396"/>
      <c r="J91" s="396"/>
      <c r="K91" s="396"/>
      <c r="L91" s="396"/>
      <c r="M91" s="396"/>
      <c r="N91" s="396"/>
      <c r="O91" s="396"/>
      <c r="P91" s="396"/>
      <c r="Q91" s="396"/>
      <c r="R91" s="396"/>
    </row>
    <row r="92" spans="1:18" x14ac:dyDescent="0.25">
      <c r="A92" s="396"/>
      <c r="B92" s="396"/>
      <c r="C92" s="396"/>
      <c r="D92" s="396"/>
      <c r="E92" s="396"/>
      <c r="F92" s="396"/>
      <c r="G92" s="396"/>
      <c r="H92" s="396"/>
      <c r="I92" s="396"/>
      <c r="J92" s="396"/>
      <c r="K92" s="396"/>
      <c r="L92" s="396"/>
      <c r="M92" s="396"/>
      <c r="N92" s="396"/>
      <c r="O92" s="396"/>
      <c r="P92" s="396"/>
      <c r="Q92" s="396"/>
      <c r="R92" s="396"/>
    </row>
    <row r="93" spans="1:18" x14ac:dyDescent="0.25">
      <c r="A93" s="396"/>
      <c r="B93" s="396"/>
      <c r="C93" s="396"/>
      <c r="D93" s="396"/>
      <c r="E93" s="396"/>
      <c r="F93" s="396"/>
      <c r="G93" s="396"/>
      <c r="H93" s="396"/>
      <c r="I93" s="396"/>
      <c r="J93" s="396"/>
      <c r="K93" s="396"/>
      <c r="L93" s="396"/>
      <c r="M93" s="396"/>
      <c r="N93" s="396"/>
      <c r="O93" s="396"/>
      <c r="P93" s="396"/>
      <c r="Q93" s="396"/>
      <c r="R93" s="396"/>
    </row>
    <row r="94" spans="1:18" x14ac:dyDescent="0.25">
      <c r="A94" s="396"/>
      <c r="B94" s="396"/>
      <c r="C94" s="396"/>
      <c r="D94" s="396"/>
      <c r="E94" s="396"/>
      <c r="F94" s="396"/>
      <c r="G94" s="396"/>
      <c r="H94" s="396"/>
      <c r="I94" s="396"/>
      <c r="J94" s="396"/>
      <c r="K94" s="396"/>
      <c r="L94" s="396"/>
      <c r="M94" s="396"/>
      <c r="N94" s="396"/>
      <c r="O94" s="396"/>
      <c r="P94" s="396"/>
      <c r="Q94" s="396"/>
      <c r="R94" s="396"/>
    </row>
    <row r="95" spans="1:18" x14ac:dyDescent="0.25">
      <c r="A95" s="396"/>
      <c r="B95" s="396"/>
      <c r="C95" s="396"/>
      <c r="D95" s="396"/>
      <c r="E95" s="396"/>
      <c r="F95" s="396"/>
      <c r="G95" s="396"/>
      <c r="H95" s="396"/>
      <c r="I95" s="396"/>
      <c r="J95" s="396"/>
      <c r="K95" s="396"/>
      <c r="L95" s="396"/>
      <c r="M95" s="396"/>
      <c r="N95" s="396"/>
      <c r="O95" s="396"/>
      <c r="P95" s="396"/>
      <c r="Q95" s="396"/>
      <c r="R95" s="396"/>
    </row>
    <row r="96" spans="1:18" x14ac:dyDescent="0.25">
      <c r="A96" s="396"/>
      <c r="B96" s="396"/>
      <c r="C96" s="396"/>
      <c r="D96" s="396"/>
      <c r="E96" s="396"/>
      <c r="F96" s="396"/>
      <c r="G96" s="396"/>
      <c r="H96" s="396"/>
      <c r="I96" s="396"/>
      <c r="J96" s="396"/>
      <c r="K96" s="396"/>
      <c r="L96" s="396"/>
      <c r="M96" s="396"/>
      <c r="N96" s="396"/>
      <c r="O96" s="396"/>
      <c r="P96" s="396"/>
      <c r="Q96" s="396"/>
      <c r="R96" s="396"/>
    </row>
    <row r="97" spans="1:18" x14ac:dyDescent="0.25">
      <c r="A97" s="396"/>
      <c r="B97" s="396"/>
      <c r="C97" s="396"/>
      <c r="D97" s="396"/>
      <c r="E97" s="396"/>
      <c r="F97" s="396"/>
      <c r="G97" s="396"/>
      <c r="H97" s="396"/>
      <c r="I97" s="396"/>
      <c r="J97" s="396"/>
      <c r="K97" s="396"/>
      <c r="L97" s="396"/>
      <c r="M97" s="396"/>
      <c r="N97" s="396"/>
      <c r="O97" s="396"/>
      <c r="P97" s="396"/>
      <c r="Q97" s="396"/>
      <c r="R97" s="396"/>
    </row>
    <row r="98" spans="1:18" x14ac:dyDescent="0.25">
      <c r="A98" s="396"/>
      <c r="B98" s="396"/>
      <c r="C98" s="396"/>
      <c r="D98" s="396"/>
      <c r="E98" s="396"/>
      <c r="F98" s="396"/>
      <c r="G98" s="396"/>
      <c r="H98" s="396"/>
      <c r="I98" s="396"/>
      <c r="J98" s="396"/>
      <c r="K98" s="396"/>
      <c r="L98" s="396"/>
      <c r="M98" s="396"/>
      <c r="N98" s="396"/>
      <c r="O98" s="396"/>
      <c r="P98" s="396"/>
      <c r="Q98" s="396"/>
      <c r="R98" s="396"/>
    </row>
    <row r="99" spans="1:18" x14ac:dyDescent="0.25">
      <c r="A99" s="396"/>
      <c r="B99" s="396"/>
      <c r="C99" s="396"/>
      <c r="D99" s="396"/>
      <c r="E99" s="396"/>
      <c r="F99" s="396"/>
      <c r="G99" s="396"/>
      <c r="H99" s="396"/>
      <c r="I99" s="396"/>
      <c r="J99" s="396"/>
      <c r="K99" s="396"/>
      <c r="L99" s="396"/>
      <c r="M99" s="396"/>
      <c r="N99" s="396"/>
      <c r="O99" s="396"/>
      <c r="P99" s="396"/>
      <c r="Q99" s="396"/>
      <c r="R99" s="396"/>
    </row>
    <row r="100" spans="1:18" x14ac:dyDescent="0.25">
      <c r="A100" s="396"/>
      <c r="B100" s="396"/>
      <c r="C100" s="396"/>
      <c r="D100" s="396"/>
      <c r="E100" s="396"/>
      <c r="F100" s="396"/>
      <c r="G100" s="396"/>
      <c r="H100" s="396"/>
      <c r="I100" s="396"/>
      <c r="J100" s="396"/>
      <c r="K100" s="396"/>
      <c r="L100" s="396"/>
      <c r="M100" s="396"/>
      <c r="N100" s="396"/>
      <c r="O100" s="396"/>
      <c r="P100" s="396"/>
      <c r="Q100" s="396"/>
      <c r="R100" s="396"/>
    </row>
    <row r="101" spans="1:18" x14ac:dyDescent="0.25">
      <c r="A101" s="396"/>
      <c r="B101" s="396"/>
      <c r="C101" s="396"/>
      <c r="D101" s="396"/>
      <c r="E101" s="396"/>
      <c r="F101" s="396"/>
      <c r="G101" s="396"/>
      <c r="H101" s="396"/>
      <c r="I101" s="396"/>
      <c r="J101" s="396"/>
      <c r="K101" s="396"/>
      <c r="L101" s="396"/>
      <c r="M101" s="396"/>
      <c r="N101" s="396"/>
      <c r="O101" s="396"/>
      <c r="P101" s="396"/>
      <c r="Q101" s="396"/>
      <c r="R101" s="396"/>
    </row>
    <row r="102" spans="1:18" x14ac:dyDescent="0.25">
      <c r="A102" s="396"/>
      <c r="B102" s="396"/>
      <c r="C102" s="396"/>
      <c r="D102" s="396"/>
      <c r="E102" s="396"/>
      <c r="F102" s="396"/>
      <c r="G102" s="396"/>
      <c r="H102" s="396"/>
      <c r="I102" s="396"/>
      <c r="J102" s="396"/>
      <c r="K102" s="396"/>
      <c r="L102" s="396"/>
      <c r="M102" s="396"/>
      <c r="N102" s="396"/>
      <c r="O102" s="396"/>
      <c r="P102" s="396"/>
      <c r="Q102" s="396"/>
      <c r="R102" s="396"/>
    </row>
    <row r="103" spans="1:18" x14ac:dyDescent="0.25">
      <c r="A103" s="396"/>
      <c r="B103" s="396"/>
      <c r="C103" s="396"/>
      <c r="D103" s="396"/>
      <c r="E103" s="396"/>
      <c r="F103" s="396"/>
      <c r="G103" s="396"/>
      <c r="H103" s="396"/>
      <c r="I103" s="396"/>
      <c r="J103" s="396"/>
      <c r="K103" s="396"/>
      <c r="L103" s="396"/>
      <c r="M103" s="396"/>
      <c r="N103" s="396"/>
      <c r="O103" s="396"/>
      <c r="P103" s="396"/>
      <c r="Q103" s="396"/>
      <c r="R103" s="396"/>
    </row>
    <row r="104" spans="1:18" x14ac:dyDescent="0.25">
      <c r="A104" s="396"/>
      <c r="B104" s="396"/>
      <c r="C104" s="396"/>
      <c r="D104" s="396"/>
      <c r="E104" s="396"/>
      <c r="F104" s="396"/>
      <c r="G104" s="396"/>
      <c r="H104" s="396"/>
      <c r="I104" s="396"/>
      <c r="J104" s="396"/>
      <c r="K104" s="396"/>
      <c r="L104" s="396"/>
      <c r="M104" s="396"/>
      <c r="N104" s="396"/>
      <c r="O104" s="396"/>
      <c r="P104" s="396"/>
      <c r="Q104" s="396"/>
      <c r="R104" s="396"/>
    </row>
    <row r="105" spans="1:18" x14ac:dyDescent="0.25">
      <c r="A105" s="396"/>
      <c r="B105" s="396"/>
      <c r="C105" s="396"/>
      <c r="D105" s="396"/>
      <c r="E105" s="396"/>
      <c r="F105" s="396"/>
      <c r="G105" s="396"/>
      <c r="H105" s="396"/>
      <c r="I105" s="396"/>
      <c r="J105" s="396"/>
      <c r="K105" s="396"/>
      <c r="L105" s="396"/>
      <c r="M105" s="396"/>
      <c r="N105" s="396"/>
      <c r="O105" s="396"/>
      <c r="P105" s="396"/>
      <c r="Q105" s="396"/>
      <c r="R105" s="396"/>
    </row>
    <row r="106" spans="1:18" x14ac:dyDescent="0.25">
      <c r="A106" s="396"/>
      <c r="B106" s="396"/>
      <c r="C106" s="396"/>
      <c r="D106" s="396"/>
      <c r="E106" s="396"/>
      <c r="F106" s="396"/>
      <c r="G106" s="396"/>
      <c r="H106" s="396"/>
      <c r="I106" s="396"/>
      <c r="J106" s="396"/>
      <c r="K106" s="396"/>
      <c r="L106" s="396"/>
      <c r="M106" s="396"/>
      <c r="N106" s="396"/>
      <c r="O106" s="396"/>
      <c r="P106" s="396"/>
      <c r="Q106" s="396"/>
      <c r="R106" s="396"/>
    </row>
    <row r="107" spans="1:18" x14ac:dyDescent="0.25">
      <c r="A107" s="396"/>
      <c r="B107" s="396"/>
      <c r="C107" s="396"/>
      <c r="D107" s="396"/>
      <c r="E107" s="396"/>
      <c r="F107" s="396"/>
      <c r="G107" s="396"/>
      <c r="H107" s="396"/>
      <c r="I107" s="396"/>
      <c r="J107" s="396"/>
      <c r="K107" s="396"/>
      <c r="L107" s="396"/>
      <c r="M107" s="396"/>
      <c r="N107" s="396"/>
      <c r="O107" s="396"/>
      <c r="P107" s="396"/>
      <c r="Q107" s="396"/>
      <c r="R107" s="396"/>
    </row>
    <row r="108" spans="1:18" x14ac:dyDescent="0.25">
      <c r="A108" s="396"/>
      <c r="B108" s="396"/>
      <c r="C108" s="396"/>
      <c r="D108" s="396"/>
      <c r="E108" s="396"/>
      <c r="F108" s="396"/>
      <c r="G108" s="396"/>
      <c r="H108" s="396"/>
      <c r="I108" s="396"/>
      <c r="J108" s="396"/>
      <c r="K108" s="396"/>
      <c r="L108" s="396"/>
      <c r="M108" s="396"/>
      <c r="N108" s="396"/>
      <c r="O108" s="396"/>
      <c r="P108" s="396"/>
      <c r="Q108" s="396"/>
      <c r="R108" s="396"/>
    </row>
    <row r="109" spans="1:18" x14ac:dyDescent="0.25">
      <c r="A109" s="396"/>
      <c r="B109" s="396"/>
      <c r="C109" s="396"/>
      <c r="D109" s="396"/>
      <c r="E109" s="396"/>
      <c r="F109" s="396"/>
      <c r="G109" s="396"/>
      <c r="H109" s="396"/>
      <c r="I109" s="396"/>
      <c r="J109" s="396"/>
      <c r="K109" s="396"/>
      <c r="L109" s="396"/>
      <c r="M109" s="396"/>
      <c r="N109" s="396"/>
      <c r="O109" s="396"/>
      <c r="P109" s="396"/>
      <c r="Q109" s="396"/>
      <c r="R109" s="396"/>
    </row>
    <row r="110" spans="1:18" x14ac:dyDescent="0.25">
      <c r="A110" s="396"/>
      <c r="B110" s="396"/>
      <c r="C110" s="396"/>
      <c r="D110" s="396"/>
      <c r="E110" s="396"/>
      <c r="F110" s="396"/>
      <c r="G110" s="396"/>
      <c r="H110" s="396"/>
      <c r="I110" s="396"/>
      <c r="J110" s="396"/>
      <c r="K110" s="396"/>
      <c r="L110" s="396"/>
      <c r="M110" s="396"/>
      <c r="N110" s="396"/>
      <c r="O110" s="396"/>
      <c r="P110" s="396"/>
      <c r="Q110" s="396"/>
      <c r="R110" s="396"/>
    </row>
    <row r="111" spans="1:18" x14ac:dyDescent="0.25">
      <c r="A111" s="396"/>
      <c r="B111" s="396"/>
      <c r="C111" s="396"/>
      <c r="D111" s="396"/>
      <c r="E111" s="396"/>
      <c r="F111" s="396"/>
      <c r="G111" s="396"/>
      <c r="H111" s="396"/>
      <c r="I111" s="396"/>
      <c r="J111" s="396"/>
      <c r="K111" s="396"/>
      <c r="L111" s="396"/>
      <c r="M111" s="396"/>
      <c r="N111" s="396"/>
      <c r="O111" s="396"/>
      <c r="P111" s="396"/>
      <c r="Q111" s="396"/>
      <c r="R111" s="396"/>
    </row>
    <row r="112" spans="1:18" x14ac:dyDescent="0.25">
      <c r="A112" s="396"/>
      <c r="B112" s="396"/>
      <c r="C112" s="396"/>
      <c r="D112" s="396"/>
      <c r="E112" s="396"/>
      <c r="F112" s="396"/>
      <c r="G112" s="396"/>
      <c r="H112" s="396"/>
      <c r="I112" s="396"/>
      <c r="J112" s="396"/>
      <c r="K112" s="396"/>
      <c r="L112" s="396"/>
      <c r="M112" s="396"/>
      <c r="N112" s="396"/>
      <c r="O112" s="396"/>
      <c r="P112" s="396"/>
      <c r="Q112" s="396"/>
      <c r="R112" s="396"/>
    </row>
    <row r="113" spans="1:18" x14ac:dyDescent="0.25">
      <c r="A113" s="396"/>
      <c r="B113" s="396"/>
      <c r="C113" s="396"/>
      <c r="D113" s="396"/>
      <c r="E113" s="396"/>
      <c r="F113" s="396"/>
      <c r="G113" s="396"/>
      <c r="H113" s="396"/>
      <c r="I113" s="396"/>
      <c r="J113" s="396"/>
      <c r="K113" s="396"/>
      <c r="L113" s="396"/>
      <c r="M113" s="396"/>
      <c r="N113" s="396"/>
      <c r="O113" s="396"/>
      <c r="P113" s="396"/>
      <c r="Q113" s="396"/>
      <c r="R113" s="396"/>
    </row>
    <row r="114" spans="1:18" x14ac:dyDescent="0.25">
      <c r="A114" s="396"/>
      <c r="B114" s="396"/>
      <c r="C114" s="396"/>
      <c r="D114" s="396"/>
      <c r="E114" s="396"/>
      <c r="F114" s="396"/>
      <c r="G114" s="396"/>
      <c r="H114" s="396"/>
      <c r="I114" s="396"/>
      <c r="J114" s="396"/>
      <c r="K114" s="396"/>
      <c r="L114" s="396"/>
      <c r="M114" s="396"/>
      <c r="N114" s="396"/>
      <c r="O114" s="396"/>
      <c r="P114" s="396"/>
      <c r="Q114" s="396"/>
      <c r="R114" s="396"/>
    </row>
    <row r="115" spans="1:18" x14ac:dyDescent="0.25">
      <c r="A115" s="396"/>
      <c r="B115" s="396"/>
      <c r="C115" s="396"/>
      <c r="D115" s="396"/>
      <c r="E115" s="396"/>
      <c r="F115" s="396"/>
      <c r="G115" s="396"/>
      <c r="H115" s="396"/>
      <c r="I115" s="396"/>
      <c r="J115" s="396"/>
      <c r="K115" s="396"/>
      <c r="L115" s="396"/>
      <c r="M115" s="396"/>
      <c r="N115" s="396"/>
      <c r="O115" s="396"/>
      <c r="P115" s="396"/>
      <c r="Q115" s="396"/>
      <c r="R115" s="396"/>
    </row>
    <row r="116" spans="1:18" x14ac:dyDescent="0.25">
      <c r="A116" s="396"/>
      <c r="B116" s="396"/>
      <c r="C116" s="396"/>
      <c r="D116" s="396"/>
      <c r="E116" s="396"/>
      <c r="F116" s="396"/>
      <c r="G116" s="396"/>
      <c r="H116" s="396"/>
      <c r="I116" s="396"/>
      <c r="J116" s="396"/>
      <c r="K116" s="396"/>
      <c r="L116" s="396"/>
      <c r="M116" s="396"/>
      <c r="N116" s="396"/>
      <c r="O116" s="396"/>
      <c r="P116" s="396"/>
      <c r="Q116" s="396"/>
      <c r="R116" s="396"/>
    </row>
    <row r="117" spans="1:18" x14ac:dyDescent="0.25">
      <c r="A117" s="396"/>
      <c r="B117" s="396"/>
      <c r="C117" s="396"/>
      <c r="D117" s="396"/>
      <c r="E117" s="396"/>
      <c r="F117" s="396"/>
      <c r="G117" s="396"/>
      <c r="H117" s="396"/>
      <c r="I117" s="396"/>
      <c r="J117" s="396"/>
      <c r="K117" s="396"/>
      <c r="L117" s="396"/>
      <c r="M117" s="396"/>
      <c r="N117" s="396"/>
      <c r="O117" s="396"/>
      <c r="P117" s="396"/>
      <c r="Q117" s="396"/>
      <c r="R117" s="396"/>
    </row>
    <row r="118" spans="1:18" x14ac:dyDescent="0.25">
      <c r="A118" s="396"/>
      <c r="B118" s="396"/>
      <c r="C118" s="396"/>
      <c r="D118" s="396"/>
      <c r="E118" s="396"/>
      <c r="F118" s="396"/>
      <c r="G118" s="396"/>
      <c r="H118" s="396"/>
      <c r="I118" s="396"/>
      <c r="J118" s="396"/>
      <c r="K118" s="396"/>
      <c r="L118" s="396"/>
      <c r="M118" s="396"/>
      <c r="N118" s="396"/>
      <c r="O118" s="396"/>
      <c r="P118" s="396"/>
      <c r="Q118" s="396"/>
      <c r="R118" s="396"/>
    </row>
    <row r="119" spans="1:18" x14ac:dyDescent="0.25">
      <c r="A119" s="396"/>
      <c r="B119" s="396"/>
      <c r="C119" s="396"/>
      <c r="D119" s="396"/>
      <c r="E119" s="396"/>
      <c r="F119" s="396"/>
      <c r="G119" s="396"/>
      <c r="H119" s="396"/>
      <c r="I119" s="396"/>
      <c r="J119" s="396"/>
      <c r="K119" s="396"/>
      <c r="L119" s="396"/>
      <c r="M119" s="396"/>
      <c r="N119" s="396"/>
      <c r="O119" s="396"/>
      <c r="P119" s="396"/>
      <c r="Q119" s="396"/>
      <c r="R119" s="396"/>
    </row>
    <row r="120" spans="1:18" x14ac:dyDescent="0.25">
      <c r="A120" s="396"/>
      <c r="B120" s="396"/>
      <c r="C120" s="396"/>
      <c r="D120" s="396"/>
      <c r="E120" s="396"/>
      <c r="F120" s="396"/>
      <c r="G120" s="396"/>
      <c r="H120" s="396"/>
      <c r="I120" s="396"/>
      <c r="J120" s="396"/>
      <c r="K120" s="396"/>
      <c r="L120" s="396"/>
      <c r="M120" s="396"/>
      <c r="N120" s="396"/>
      <c r="O120" s="396"/>
      <c r="P120" s="396"/>
      <c r="Q120" s="396"/>
      <c r="R120" s="396"/>
    </row>
    <row r="121" spans="1:18" x14ac:dyDescent="0.25">
      <c r="A121" s="396"/>
      <c r="B121" s="396"/>
      <c r="C121" s="396"/>
      <c r="D121" s="396"/>
      <c r="E121" s="396"/>
      <c r="F121" s="396"/>
      <c r="G121" s="396"/>
      <c r="H121" s="396"/>
      <c r="I121" s="396"/>
      <c r="J121" s="396"/>
      <c r="K121" s="396"/>
      <c r="L121" s="396"/>
      <c r="M121" s="396"/>
      <c r="N121" s="396"/>
      <c r="O121" s="396"/>
      <c r="P121" s="396"/>
      <c r="Q121" s="396"/>
      <c r="R121" s="396"/>
    </row>
    <row r="122" spans="1:18" x14ac:dyDescent="0.25">
      <c r="A122" s="396"/>
      <c r="B122" s="396"/>
      <c r="C122" s="396"/>
      <c r="D122" s="396"/>
      <c r="E122" s="396"/>
      <c r="F122" s="396"/>
      <c r="G122" s="396"/>
      <c r="H122" s="396"/>
      <c r="I122" s="396"/>
      <c r="J122" s="396"/>
      <c r="K122" s="396"/>
      <c r="L122" s="396"/>
      <c r="M122" s="396"/>
      <c r="N122" s="396"/>
      <c r="O122" s="396"/>
      <c r="P122" s="396"/>
      <c r="Q122" s="396"/>
      <c r="R122" s="396"/>
    </row>
    <row r="123" spans="1:18" x14ac:dyDescent="0.25">
      <c r="A123" s="396"/>
      <c r="B123" s="396"/>
      <c r="C123" s="396"/>
      <c r="D123" s="396"/>
      <c r="E123" s="396"/>
      <c r="F123" s="396"/>
      <c r="G123" s="396"/>
      <c r="H123" s="396"/>
      <c r="I123" s="396"/>
      <c r="J123" s="396"/>
      <c r="K123" s="396"/>
      <c r="L123" s="396"/>
      <c r="M123" s="396"/>
      <c r="N123" s="396"/>
      <c r="O123" s="396"/>
      <c r="P123" s="396"/>
      <c r="Q123" s="396"/>
      <c r="R123" s="396"/>
    </row>
    <row r="124" spans="1:18" x14ac:dyDescent="0.25">
      <c r="A124" s="396"/>
      <c r="B124" s="396"/>
      <c r="C124" s="396"/>
      <c r="D124" s="396"/>
      <c r="E124" s="396"/>
      <c r="F124" s="396"/>
      <c r="G124" s="396"/>
      <c r="H124" s="396"/>
      <c r="I124" s="396"/>
      <c r="J124" s="396"/>
      <c r="K124" s="396"/>
      <c r="L124" s="396"/>
      <c r="M124" s="396"/>
      <c r="N124" s="396"/>
      <c r="O124" s="396"/>
      <c r="P124" s="396"/>
      <c r="Q124" s="396"/>
      <c r="R124" s="396"/>
    </row>
    <row r="125" spans="1:18" x14ac:dyDescent="0.25">
      <c r="A125" s="396"/>
      <c r="B125" s="396"/>
      <c r="C125" s="396"/>
      <c r="D125" s="396"/>
      <c r="E125" s="396"/>
      <c r="F125" s="396"/>
      <c r="G125" s="396"/>
      <c r="H125" s="396"/>
      <c r="I125" s="396"/>
      <c r="J125" s="396"/>
      <c r="K125" s="396"/>
      <c r="L125" s="396"/>
      <c r="M125" s="396"/>
      <c r="N125" s="396"/>
      <c r="O125" s="396"/>
      <c r="P125" s="396"/>
      <c r="Q125" s="396"/>
      <c r="R125" s="396"/>
    </row>
    <row r="126" spans="1:18" x14ac:dyDescent="0.25">
      <c r="A126" s="396"/>
      <c r="B126" s="396"/>
      <c r="C126" s="396"/>
      <c r="D126" s="396"/>
      <c r="E126" s="396"/>
      <c r="F126" s="396"/>
      <c r="G126" s="396"/>
      <c r="H126" s="396"/>
      <c r="I126" s="396"/>
      <c r="J126" s="396"/>
      <c r="K126" s="396"/>
      <c r="L126" s="396"/>
      <c r="M126" s="396"/>
      <c r="N126" s="396"/>
      <c r="O126" s="396"/>
      <c r="P126" s="396"/>
      <c r="Q126" s="396"/>
      <c r="R126" s="396"/>
    </row>
    <row r="127" spans="1:18" x14ac:dyDescent="0.25">
      <c r="A127" s="396"/>
      <c r="B127" s="396"/>
      <c r="C127" s="396"/>
      <c r="D127" s="396"/>
      <c r="E127" s="396"/>
      <c r="F127" s="396"/>
      <c r="G127" s="396"/>
      <c r="H127" s="396"/>
      <c r="I127" s="396"/>
      <c r="J127" s="396"/>
      <c r="K127" s="396"/>
      <c r="L127" s="396"/>
      <c r="M127" s="396"/>
      <c r="N127" s="396"/>
      <c r="O127" s="396"/>
      <c r="P127" s="396"/>
      <c r="Q127" s="396"/>
      <c r="R127" s="396"/>
    </row>
    <row r="128" spans="1:18" x14ac:dyDescent="0.25">
      <c r="A128" s="396"/>
      <c r="B128" s="396"/>
      <c r="C128" s="396"/>
      <c r="D128" s="396"/>
      <c r="E128" s="396"/>
      <c r="F128" s="396"/>
      <c r="G128" s="396"/>
      <c r="H128" s="396"/>
      <c r="I128" s="396"/>
      <c r="J128" s="396"/>
      <c r="K128" s="396"/>
      <c r="L128" s="396"/>
      <c r="M128" s="396"/>
      <c r="N128" s="396"/>
      <c r="O128" s="396"/>
      <c r="P128" s="396"/>
      <c r="Q128" s="396"/>
      <c r="R128" s="396"/>
    </row>
    <row r="129" spans="1:18" x14ac:dyDescent="0.25">
      <c r="A129" s="396"/>
      <c r="B129" s="396"/>
      <c r="C129" s="396"/>
      <c r="D129" s="396"/>
      <c r="E129" s="396"/>
      <c r="F129" s="396"/>
      <c r="G129" s="396"/>
      <c r="H129" s="396"/>
      <c r="I129" s="396"/>
      <c r="J129" s="396"/>
      <c r="K129" s="396"/>
      <c r="L129" s="396"/>
      <c r="M129" s="396"/>
      <c r="N129" s="396"/>
      <c r="O129" s="396"/>
      <c r="P129" s="396"/>
      <c r="Q129" s="396"/>
      <c r="R129" s="396"/>
    </row>
    <row r="130" spans="1:18" x14ac:dyDescent="0.25">
      <c r="A130" s="396"/>
      <c r="B130" s="396"/>
      <c r="C130" s="396"/>
      <c r="D130" s="396"/>
      <c r="E130" s="396"/>
      <c r="F130" s="396"/>
      <c r="G130" s="396"/>
      <c r="H130" s="396"/>
      <c r="I130" s="396"/>
      <c r="J130" s="396"/>
      <c r="K130" s="396"/>
      <c r="L130" s="396"/>
      <c r="M130" s="396"/>
      <c r="N130" s="396"/>
      <c r="O130" s="396"/>
      <c r="P130" s="396"/>
      <c r="Q130" s="396"/>
      <c r="R130" s="396"/>
    </row>
    <row r="131" spans="1:18" x14ac:dyDescent="0.25">
      <c r="A131" s="396"/>
      <c r="B131" s="396"/>
      <c r="C131" s="396"/>
      <c r="D131" s="396"/>
      <c r="E131" s="396"/>
      <c r="F131" s="396"/>
      <c r="G131" s="396"/>
      <c r="H131" s="396"/>
      <c r="I131" s="396"/>
      <c r="J131" s="396"/>
      <c r="K131" s="396"/>
      <c r="L131" s="396"/>
      <c r="M131" s="396"/>
      <c r="N131" s="396"/>
      <c r="O131" s="396"/>
      <c r="P131" s="396"/>
      <c r="Q131" s="396"/>
      <c r="R131" s="396"/>
    </row>
    <row r="132" spans="1:18" x14ac:dyDescent="0.25">
      <c r="A132" s="396"/>
      <c r="B132" s="396"/>
      <c r="C132" s="396"/>
      <c r="D132" s="396"/>
      <c r="E132" s="396"/>
      <c r="F132" s="396"/>
      <c r="G132" s="396"/>
      <c r="H132" s="396"/>
      <c r="I132" s="396"/>
      <c r="J132" s="396"/>
      <c r="K132" s="396"/>
      <c r="L132" s="396"/>
      <c r="M132" s="396"/>
      <c r="N132" s="396"/>
      <c r="O132" s="396"/>
      <c r="P132" s="396"/>
      <c r="Q132" s="396"/>
      <c r="R132" s="396"/>
    </row>
    <row r="133" spans="1:18" x14ac:dyDescent="0.25">
      <c r="A133" s="396"/>
      <c r="B133" s="396"/>
      <c r="C133" s="396"/>
      <c r="D133" s="396"/>
      <c r="E133" s="396"/>
      <c r="F133" s="396"/>
      <c r="G133" s="396"/>
      <c r="H133" s="396"/>
      <c r="I133" s="396"/>
      <c r="J133" s="396"/>
      <c r="K133" s="396"/>
      <c r="L133" s="396"/>
      <c r="M133" s="396"/>
      <c r="N133" s="396"/>
      <c r="O133" s="396"/>
      <c r="P133" s="396"/>
      <c r="Q133" s="396"/>
      <c r="R133" s="396"/>
    </row>
    <row r="134" spans="1:18" x14ac:dyDescent="0.25">
      <c r="A134" s="396"/>
      <c r="B134" s="396"/>
      <c r="C134" s="396"/>
      <c r="D134" s="396"/>
      <c r="E134" s="396"/>
      <c r="F134" s="396"/>
      <c r="G134" s="396"/>
      <c r="H134" s="396"/>
      <c r="I134" s="396"/>
      <c r="J134" s="396"/>
      <c r="K134" s="396"/>
      <c r="L134" s="396"/>
      <c r="M134" s="396"/>
      <c r="N134" s="396"/>
      <c r="O134" s="396"/>
      <c r="P134" s="396"/>
      <c r="Q134" s="396"/>
      <c r="R134" s="396"/>
    </row>
    <row r="135" spans="1:18" x14ac:dyDescent="0.25">
      <c r="A135" s="396"/>
      <c r="B135" s="396"/>
      <c r="C135" s="396"/>
      <c r="D135" s="396"/>
      <c r="E135" s="396"/>
      <c r="F135" s="396"/>
      <c r="G135" s="396"/>
      <c r="H135" s="396"/>
      <c r="I135" s="396"/>
      <c r="J135" s="396"/>
      <c r="K135" s="396"/>
      <c r="L135" s="396"/>
      <c r="M135" s="396"/>
      <c r="N135" s="396"/>
      <c r="O135" s="396"/>
      <c r="P135" s="396"/>
      <c r="Q135" s="396"/>
      <c r="R135" s="396"/>
    </row>
    <row r="136" spans="1:18" x14ac:dyDescent="0.25">
      <c r="A136" s="396"/>
      <c r="B136" s="396"/>
      <c r="C136" s="396"/>
      <c r="D136" s="396"/>
      <c r="E136" s="396"/>
      <c r="F136" s="396"/>
      <c r="G136" s="396"/>
      <c r="H136" s="396"/>
      <c r="I136" s="396"/>
      <c r="J136" s="396"/>
      <c r="K136" s="396"/>
      <c r="L136" s="396"/>
      <c r="M136" s="396"/>
      <c r="N136" s="396"/>
      <c r="O136" s="396"/>
      <c r="P136" s="396"/>
      <c r="Q136" s="396"/>
      <c r="R136" s="396"/>
    </row>
    <row r="137" spans="1:18" x14ac:dyDescent="0.25">
      <c r="A137" s="396"/>
      <c r="B137" s="396"/>
      <c r="C137" s="396"/>
      <c r="D137" s="396"/>
      <c r="E137" s="396"/>
      <c r="F137" s="396"/>
      <c r="G137" s="396"/>
      <c r="H137" s="396"/>
      <c r="I137" s="396"/>
      <c r="J137" s="396"/>
      <c r="K137" s="396"/>
      <c r="L137" s="396"/>
      <c r="M137" s="396"/>
      <c r="N137" s="396"/>
      <c r="O137" s="396"/>
      <c r="P137" s="396"/>
      <c r="Q137" s="396"/>
      <c r="R137" s="396"/>
    </row>
    <row r="138" spans="1:18" x14ac:dyDescent="0.25">
      <c r="A138" s="396"/>
      <c r="B138" s="396"/>
      <c r="C138" s="396"/>
      <c r="D138" s="396"/>
      <c r="E138" s="396"/>
      <c r="F138" s="396"/>
      <c r="G138" s="396"/>
      <c r="H138" s="396"/>
      <c r="I138" s="396"/>
      <c r="J138" s="396"/>
      <c r="K138" s="396"/>
      <c r="L138" s="396"/>
      <c r="M138" s="396"/>
      <c r="N138" s="396"/>
      <c r="O138" s="396"/>
      <c r="P138" s="396"/>
      <c r="Q138" s="396"/>
      <c r="R138" s="396"/>
    </row>
    <row r="139" spans="1:18" x14ac:dyDescent="0.25">
      <c r="A139" s="396"/>
      <c r="B139" s="396"/>
      <c r="C139" s="396"/>
      <c r="D139" s="396"/>
      <c r="E139" s="396"/>
      <c r="F139" s="396"/>
      <c r="G139" s="396"/>
      <c r="H139" s="396"/>
      <c r="I139" s="396"/>
      <c r="J139" s="396"/>
      <c r="K139" s="396"/>
      <c r="L139" s="396"/>
      <c r="M139" s="396"/>
      <c r="N139" s="396"/>
      <c r="O139" s="396"/>
      <c r="P139" s="396"/>
      <c r="Q139" s="396"/>
      <c r="R139" s="396"/>
    </row>
    <row r="140" spans="1:18" x14ac:dyDescent="0.25">
      <c r="A140" s="396"/>
      <c r="B140" s="396"/>
      <c r="C140" s="396"/>
      <c r="D140" s="396"/>
      <c r="E140" s="396"/>
      <c r="F140" s="396"/>
      <c r="G140" s="396"/>
      <c r="H140" s="396"/>
      <c r="I140" s="396"/>
      <c r="J140" s="396"/>
      <c r="K140" s="396"/>
      <c r="L140" s="396"/>
      <c r="M140" s="396"/>
      <c r="N140" s="396"/>
      <c r="O140" s="396"/>
      <c r="P140" s="396"/>
      <c r="Q140" s="396"/>
      <c r="R140" s="396"/>
    </row>
    <row r="141" spans="1:18" x14ac:dyDescent="0.25">
      <c r="A141" s="396"/>
      <c r="B141" s="396"/>
      <c r="C141" s="396"/>
      <c r="D141" s="396"/>
      <c r="E141" s="396"/>
      <c r="F141" s="396"/>
      <c r="G141" s="396"/>
      <c r="H141" s="396"/>
      <c r="I141" s="396"/>
      <c r="J141" s="396"/>
      <c r="K141" s="396"/>
      <c r="L141" s="396"/>
      <c r="M141" s="396"/>
      <c r="N141" s="396"/>
      <c r="O141" s="396"/>
      <c r="P141" s="396"/>
      <c r="Q141" s="396"/>
      <c r="R141" s="396"/>
    </row>
    <row r="142" spans="1:18" x14ac:dyDescent="0.25">
      <c r="A142" s="396"/>
      <c r="B142" s="396"/>
      <c r="C142" s="396"/>
      <c r="D142" s="396"/>
      <c r="E142" s="396"/>
      <c r="F142" s="396"/>
      <c r="G142" s="396"/>
      <c r="H142" s="396"/>
      <c r="I142" s="396"/>
      <c r="J142" s="396"/>
      <c r="K142" s="396"/>
      <c r="L142" s="396"/>
      <c r="M142" s="396"/>
      <c r="N142" s="396"/>
      <c r="O142" s="396"/>
      <c r="P142" s="396"/>
      <c r="Q142" s="396"/>
      <c r="R142" s="396"/>
    </row>
    <row r="143" spans="1:18" x14ac:dyDescent="0.25">
      <c r="A143" s="396"/>
      <c r="B143" s="396"/>
      <c r="C143" s="396"/>
      <c r="D143" s="396"/>
      <c r="E143" s="396"/>
      <c r="F143" s="396"/>
      <c r="G143" s="396"/>
      <c r="H143" s="396"/>
      <c r="I143" s="396"/>
      <c r="J143" s="396"/>
      <c r="K143" s="396"/>
      <c r="L143" s="396"/>
      <c r="M143" s="396"/>
      <c r="N143" s="396"/>
      <c r="O143" s="396"/>
      <c r="P143" s="396"/>
      <c r="Q143" s="396"/>
      <c r="R143" s="396"/>
    </row>
    <row r="144" spans="1:18" x14ac:dyDescent="0.25">
      <c r="A144" s="396"/>
      <c r="B144" s="396"/>
      <c r="C144" s="396"/>
      <c r="D144" s="396"/>
      <c r="E144" s="396"/>
      <c r="F144" s="396"/>
      <c r="G144" s="396"/>
      <c r="H144" s="396"/>
      <c r="I144" s="396"/>
      <c r="J144" s="396"/>
      <c r="K144" s="396"/>
      <c r="L144" s="396"/>
      <c r="M144" s="396"/>
      <c r="N144" s="396"/>
      <c r="O144" s="396"/>
      <c r="P144" s="396"/>
      <c r="Q144" s="396"/>
      <c r="R144" s="396"/>
    </row>
    <row r="145" spans="1:18" x14ac:dyDescent="0.25">
      <c r="A145" s="396"/>
      <c r="B145" s="396"/>
      <c r="C145" s="396"/>
      <c r="D145" s="396"/>
      <c r="E145" s="396"/>
      <c r="F145" s="396"/>
      <c r="G145" s="396"/>
      <c r="H145" s="396"/>
      <c r="I145" s="396"/>
      <c r="J145" s="396"/>
      <c r="K145" s="396"/>
      <c r="L145" s="396"/>
      <c r="M145" s="396"/>
      <c r="N145" s="396"/>
      <c r="O145" s="396"/>
      <c r="P145" s="396"/>
      <c r="Q145" s="396"/>
      <c r="R145" s="396"/>
    </row>
    <row r="146" spans="1:18" x14ac:dyDescent="0.25">
      <c r="A146" s="396"/>
      <c r="B146" s="396"/>
      <c r="C146" s="396"/>
      <c r="D146" s="396"/>
      <c r="E146" s="396"/>
      <c r="F146" s="396"/>
      <c r="G146" s="396"/>
      <c r="H146" s="396"/>
      <c r="I146" s="396"/>
      <c r="J146" s="396"/>
      <c r="K146" s="396"/>
      <c r="L146" s="396"/>
      <c r="M146" s="396"/>
      <c r="N146" s="396"/>
      <c r="O146" s="396"/>
      <c r="P146" s="396"/>
      <c r="Q146" s="396"/>
      <c r="R146" s="396"/>
    </row>
    <row r="147" spans="1:18" x14ac:dyDescent="0.25">
      <c r="A147" s="396"/>
      <c r="B147" s="396"/>
      <c r="C147" s="396"/>
      <c r="D147" s="396"/>
      <c r="E147" s="396"/>
      <c r="F147" s="396"/>
      <c r="G147" s="396"/>
      <c r="H147" s="396"/>
      <c r="I147" s="396"/>
      <c r="J147" s="396"/>
      <c r="K147" s="396"/>
      <c r="L147" s="396"/>
      <c r="M147" s="396"/>
      <c r="N147" s="396"/>
      <c r="O147" s="396"/>
      <c r="P147" s="396"/>
      <c r="Q147" s="396"/>
      <c r="R147" s="396"/>
    </row>
    <row r="148" spans="1:18" x14ac:dyDescent="0.25">
      <c r="A148" s="396"/>
      <c r="B148" s="396"/>
      <c r="C148" s="396"/>
      <c r="D148" s="396"/>
      <c r="E148" s="396"/>
      <c r="F148" s="396"/>
      <c r="G148" s="396"/>
      <c r="H148" s="396"/>
      <c r="I148" s="396"/>
      <c r="J148" s="396"/>
      <c r="K148" s="396"/>
      <c r="L148" s="396"/>
      <c r="M148" s="396"/>
      <c r="N148" s="396"/>
      <c r="O148" s="396"/>
      <c r="P148" s="396"/>
      <c r="Q148" s="396"/>
      <c r="R148" s="396"/>
    </row>
    <row r="149" spans="1:18" x14ac:dyDescent="0.25">
      <c r="A149" s="396"/>
      <c r="B149" s="396"/>
      <c r="C149" s="396"/>
      <c r="D149" s="396"/>
      <c r="E149" s="396"/>
      <c r="F149" s="396"/>
      <c r="G149" s="396"/>
      <c r="H149" s="396"/>
      <c r="I149" s="396"/>
      <c r="J149" s="396"/>
      <c r="K149" s="396"/>
      <c r="L149" s="396"/>
      <c r="M149" s="396"/>
      <c r="N149" s="396"/>
      <c r="O149" s="396"/>
      <c r="P149" s="396"/>
      <c r="Q149" s="396"/>
      <c r="R149" s="396"/>
    </row>
    <row r="150" spans="1:18" x14ac:dyDescent="0.25">
      <c r="A150" s="396"/>
      <c r="B150" s="396"/>
      <c r="C150" s="396"/>
      <c r="D150" s="396"/>
      <c r="E150" s="396"/>
      <c r="F150" s="396"/>
      <c r="G150" s="396"/>
      <c r="H150" s="396"/>
      <c r="I150" s="396"/>
      <c r="J150" s="396"/>
      <c r="K150" s="396"/>
      <c r="L150" s="396"/>
      <c r="M150" s="396"/>
      <c r="N150" s="396"/>
      <c r="O150" s="396"/>
      <c r="P150" s="396"/>
      <c r="Q150" s="396"/>
      <c r="R150" s="396"/>
    </row>
    <row r="151" spans="1:18" x14ac:dyDescent="0.25">
      <c r="A151" s="396"/>
      <c r="B151" s="396"/>
      <c r="C151" s="396"/>
      <c r="D151" s="396"/>
      <c r="E151" s="396"/>
      <c r="F151" s="396"/>
      <c r="G151" s="396"/>
      <c r="H151" s="396"/>
      <c r="I151" s="396"/>
      <c r="J151" s="396"/>
      <c r="K151" s="396"/>
      <c r="L151" s="396"/>
      <c r="M151" s="396"/>
      <c r="N151" s="396"/>
      <c r="O151" s="396"/>
      <c r="P151" s="396"/>
      <c r="Q151" s="396"/>
      <c r="R151" s="396"/>
    </row>
    <row r="152" spans="1:18" x14ac:dyDescent="0.25">
      <c r="A152" s="396"/>
      <c r="B152" s="396"/>
      <c r="C152" s="396"/>
      <c r="D152" s="396"/>
      <c r="E152" s="396"/>
      <c r="F152" s="396"/>
      <c r="G152" s="396"/>
      <c r="H152" s="396"/>
      <c r="I152" s="396"/>
      <c r="J152" s="396"/>
      <c r="K152" s="396"/>
      <c r="L152" s="396"/>
      <c r="M152" s="396"/>
      <c r="N152" s="396"/>
      <c r="O152" s="396"/>
      <c r="P152" s="396"/>
      <c r="Q152" s="396"/>
      <c r="R152" s="396"/>
    </row>
    <row r="153" spans="1:18" x14ac:dyDescent="0.25">
      <c r="A153" s="396"/>
      <c r="B153" s="396"/>
      <c r="C153" s="396"/>
      <c r="D153" s="396"/>
      <c r="E153" s="396"/>
      <c r="F153" s="396"/>
      <c r="G153" s="396"/>
      <c r="H153" s="396"/>
      <c r="I153" s="396"/>
      <c r="J153" s="396"/>
      <c r="K153" s="396"/>
      <c r="L153" s="396"/>
      <c r="M153" s="396"/>
      <c r="N153" s="396"/>
      <c r="O153" s="396"/>
      <c r="P153" s="396"/>
      <c r="Q153" s="396"/>
      <c r="R153" s="396"/>
    </row>
    <row r="154" spans="1:18" x14ac:dyDescent="0.25">
      <c r="A154" s="396"/>
      <c r="B154" s="396"/>
      <c r="C154" s="396"/>
      <c r="D154" s="396"/>
      <c r="E154" s="396"/>
      <c r="F154" s="396"/>
      <c r="G154" s="396"/>
      <c r="H154" s="396"/>
      <c r="I154" s="396"/>
      <c r="J154" s="396"/>
      <c r="K154" s="396"/>
      <c r="L154" s="396"/>
      <c r="M154" s="396"/>
      <c r="N154" s="396"/>
      <c r="O154" s="396"/>
      <c r="P154" s="396"/>
      <c r="Q154" s="396"/>
      <c r="R154" s="396"/>
    </row>
    <row r="155" spans="1:18" x14ac:dyDescent="0.25">
      <c r="A155" s="396"/>
      <c r="B155" s="396"/>
      <c r="C155" s="396"/>
      <c r="D155" s="396"/>
      <c r="E155" s="396"/>
      <c r="F155" s="396"/>
      <c r="G155" s="396"/>
      <c r="H155" s="396"/>
      <c r="I155" s="396"/>
      <c r="J155" s="396"/>
      <c r="K155" s="396"/>
      <c r="L155" s="396"/>
      <c r="M155" s="396"/>
      <c r="N155" s="396"/>
      <c r="O155" s="396"/>
      <c r="P155" s="396"/>
      <c r="Q155" s="396"/>
      <c r="R155" s="396"/>
    </row>
    <row r="156" spans="1:18" x14ac:dyDescent="0.25">
      <c r="A156" s="396"/>
      <c r="B156" s="396"/>
      <c r="C156" s="396"/>
      <c r="D156" s="396"/>
      <c r="E156" s="396"/>
      <c r="F156" s="396"/>
      <c r="G156" s="396"/>
      <c r="H156" s="396"/>
      <c r="I156" s="396"/>
      <c r="J156" s="396"/>
      <c r="K156" s="396"/>
      <c r="L156" s="396"/>
      <c r="M156" s="396"/>
      <c r="N156" s="396"/>
      <c r="O156" s="396"/>
      <c r="P156" s="396"/>
      <c r="Q156" s="396"/>
      <c r="R156" s="396"/>
    </row>
    <row r="157" spans="1:18" x14ac:dyDescent="0.25">
      <c r="A157" s="396"/>
      <c r="B157" s="396"/>
      <c r="C157" s="396"/>
      <c r="D157" s="396"/>
      <c r="E157" s="396"/>
      <c r="F157" s="396"/>
      <c r="G157" s="396"/>
      <c r="H157" s="396"/>
      <c r="I157" s="396"/>
      <c r="J157" s="396"/>
      <c r="K157" s="396"/>
      <c r="L157" s="396"/>
      <c r="M157" s="396"/>
      <c r="N157" s="396"/>
      <c r="O157" s="396"/>
      <c r="P157" s="396"/>
      <c r="Q157" s="396"/>
      <c r="R157" s="396"/>
    </row>
    <row r="158" spans="1:18" x14ac:dyDescent="0.25">
      <c r="A158" s="396"/>
      <c r="B158" s="396"/>
      <c r="C158" s="396"/>
      <c r="D158" s="396"/>
      <c r="E158" s="396"/>
      <c r="F158" s="396"/>
      <c r="G158" s="396"/>
      <c r="H158" s="396"/>
      <c r="I158" s="396"/>
      <c r="J158" s="396"/>
      <c r="K158" s="396"/>
      <c r="L158" s="396"/>
      <c r="M158" s="396"/>
      <c r="N158" s="396"/>
      <c r="O158" s="396"/>
      <c r="P158" s="396"/>
      <c r="Q158" s="396"/>
      <c r="R158" s="396"/>
    </row>
    <row r="159" spans="1:18" x14ac:dyDescent="0.25">
      <c r="A159" s="396"/>
      <c r="B159" s="396"/>
      <c r="C159" s="396"/>
      <c r="D159" s="396"/>
      <c r="E159" s="396"/>
      <c r="F159" s="396"/>
      <c r="G159" s="396"/>
      <c r="H159" s="396"/>
      <c r="I159" s="396"/>
      <c r="J159" s="396"/>
      <c r="K159" s="396"/>
      <c r="L159" s="396"/>
      <c r="M159" s="396"/>
      <c r="N159" s="396"/>
      <c r="O159" s="396"/>
      <c r="P159" s="396"/>
      <c r="Q159" s="396"/>
      <c r="R159" s="396"/>
    </row>
    <row r="160" spans="1:18" x14ac:dyDescent="0.25">
      <c r="A160" s="396"/>
      <c r="B160" s="396"/>
      <c r="C160" s="396"/>
      <c r="D160" s="396"/>
      <c r="E160" s="396"/>
      <c r="F160" s="396"/>
      <c r="G160" s="396"/>
      <c r="H160" s="396"/>
      <c r="I160" s="396"/>
      <c r="J160" s="396"/>
      <c r="K160" s="396"/>
      <c r="L160" s="396"/>
      <c r="M160" s="396"/>
      <c r="N160" s="396"/>
      <c r="O160" s="396"/>
      <c r="P160" s="396"/>
      <c r="Q160" s="396"/>
      <c r="R160" s="396"/>
    </row>
    <row r="161" spans="1:18" x14ac:dyDescent="0.25">
      <c r="A161" s="396"/>
      <c r="B161" s="396"/>
      <c r="C161" s="396"/>
      <c r="D161" s="396"/>
      <c r="E161" s="396"/>
      <c r="F161" s="396"/>
      <c r="G161" s="396"/>
      <c r="H161" s="396"/>
      <c r="I161" s="396"/>
      <c r="J161" s="396"/>
      <c r="K161" s="396"/>
      <c r="L161" s="396"/>
      <c r="M161" s="396"/>
      <c r="N161" s="396"/>
      <c r="O161" s="396"/>
      <c r="P161" s="396"/>
      <c r="Q161" s="396"/>
      <c r="R161" s="396"/>
    </row>
    <row r="162" spans="1:18" x14ac:dyDescent="0.25">
      <c r="A162" s="396"/>
      <c r="B162" s="396"/>
      <c r="C162" s="396"/>
      <c r="D162" s="396"/>
      <c r="E162" s="396"/>
      <c r="F162" s="396"/>
      <c r="G162" s="396"/>
      <c r="H162" s="396"/>
      <c r="I162" s="396"/>
      <c r="J162" s="396"/>
      <c r="K162" s="396"/>
      <c r="L162" s="396"/>
      <c r="M162" s="396"/>
      <c r="N162" s="396"/>
      <c r="O162" s="396"/>
      <c r="P162" s="396"/>
      <c r="Q162" s="396"/>
      <c r="R162" s="396"/>
    </row>
    <row r="163" spans="1:18" x14ac:dyDescent="0.25">
      <c r="A163" s="396"/>
      <c r="B163" s="396"/>
      <c r="C163" s="396"/>
      <c r="D163" s="396"/>
      <c r="E163" s="396"/>
      <c r="F163" s="396"/>
      <c r="G163" s="396"/>
      <c r="H163" s="396"/>
      <c r="I163" s="396"/>
      <c r="J163" s="396"/>
      <c r="K163" s="396"/>
      <c r="L163" s="396"/>
      <c r="M163" s="396"/>
      <c r="N163" s="396"/>
      <c r="O163" s="396"/>
      <c r="P163" s="396"/>
      <c r="Q163" s="396"/>
      <c r="R163" s="396"/>
    </row>
    <row r="164" spans="1:18" x14ac:dyDescent="0.25">
      <c r="A164" s="396"/>
      <c r="B164" s="396"/>
      <c r="C164" s="396"/>
      <c r="D164" s="396"/>
      <c r="E164" s="396"/>
      <c r="F164" s="396"/>
      <c r="G164" s="396"/>
      <c r="H164" s="396"/>
      <c r="I164" s="396"/>
      <c r="J164" s="396"/>
      <c r="K164" s="396"/>
      <c r="L164" s="396"/>
      <c r="M164" s="396"/>
      <c r="N164" s="396"/>
      <c r="O164" s="396"/>
      <c r="P164" s="396"/>
      <c r="Q164" s="396"/>
      <c r="R164" s="396"/>
    </row>
    <row r="165" spans="1:18" x14ac:dyDescent="0.25">
      <c r="A165" s="396"/>
      <c r="B165" s="396"/>
      <c r="C165" s="396"/>
      <c r="D165" s="396"/>
      <c r="E165" s="396"/>
      <c r="F165" s="396"/>
      <c r="G165" s="396"/>
      <c r="H165" s="396"/>
      <c r="I165" s="396"/>
      <c r="J165" s="396"/>
      <c r="K165" s="396"/>
      <c r="L165" s="396"/>
      <c r="M165" s="396"/>
      <c r="N165" s="396"/>
      <c r="O165" s="396"/>
      <c r="P165" s="396"/>
      <c r="Q165" s="396"/>
      <c r="R165" s="396"/>
    </row>
    <row r="166" spans="1:18" x14ac:dyDescent="0.25">
      <c r="A166" s="396"/>
      <c r="B166" s="396"/>
      <c r="C166" s="396"/>
      <c r="D166" s="396"/>
      <c r="E166" s="396"/>
      <c r="F166" s="396"/>
      <c r="G166" s="396"/>
      <c r="H166" s="396"/>
      <c r="I166" s="396"/>
      <c r="J166" s="396"/>
      <c r="K166" s="396"/>
      <c r="L166" s="396"/>
      <c r="M166" s="396"/>
      <c r="N166" s="396"/>
      <c r="O166" s="396"/>
      <c r="P166" s="396"/>
      <c r="Q166" s="396"/>
      <c r="R166" s="396"/>
    </row>
    <row r="167" spans="1:18" x14ac:dyDescent="0.25">
      <c r="A167" s="396"/>
      <c r="B167" s="396"/>
      <c r="C167" s="396"/>
      <c r="D167" s="396"/>
      <c r="E167" s="396"/>
      <c r="F167" s="396"/>
      <c r="G167" s="396"/>
      <c r="H167" s="396"/>
      <c r="I167" s="396"/>
      <c r="J167" s="396"/>
      <c r="K167" s="396"/>
      <c r="L167" s="396"/>
      <c r="M167" s="396"/>
      <c r="N167" s="396"/>
      <c r="O167" s="396"/>
      <c r="P167" s="396"/>
      <c r="Q167" s="396"/>
      <c r="R167" s="396"/>
    </row>
    <row r="168" spans="1:18" x14ac:dyDescent="0.25">
      <c r="A168" s="396"/>
      <c r="B168" s="396"/>
      <c r="C168" s="396"/>
      <c r="D168" s="396"/>
      <c r="E168" s="396"/>
      <c r="F168" s="396"/>
      <c r="G168" s="396"/>
      <c r="H168" s="396"/>
      <c r="I168" s="396"/>
      <c r="J168" s="396"/>
      <c r="K168" s="396"/>
      <c r="L168" s="396"/>
      <c r="M168" s="396"/>
      <c r="N168" s="396"/>
      <c r="O168" s="396"/>
      <c r="P168" s="396"/>
      <c r="Q168" s="396"/>
      <c r="R168" s="396"/>
    </row>
    <row r="169" spans="1:18" x14ac:dyDescent="0.25">
      <c r="A169" s="396"/>
      <c r="B169" s="396"/>
      <c r="C169" s="396"/>
      <c r="D169" s="396"/>
      <c r="E169" s="396"/>
      <c r="F169" s="396"/>
      <c r="G169" s="396"/>
      <c r="H169" s="396"/>
      <c r="I169" s="396"/>
      <c r="J169" s="396"/>
      <c r="K169" s="396"/>
      <c r="L169" s="396"/>
      <c r="M169" s="396"/>
      <c r="N169" s="396"/>
      <c r="O169" s="396"/>
      <c r="P169" s="396"/>
      <c r="Q169" s="396"/>
      <c r="R169" s="396"/>
    </row>
    <row r="170" spans="1:18" x14ac:dyDescent="0.25">
      <c r="A170" s="396"/>
      <c r="B170" s="396"/>
      <c r="C170" s="396"/>
      <c r="D170" s="396"/>
      <c r="E170" s="396"/>
      <c r="F170" s="396"/>
      <c r="G170" s="396"/>
      <c r="H170" s="396"/>
      <c r="I170" s="396"/>
      <c r="J170" s="396"/>
      <c r="K170" s="396"/>
      <c r="L170" s="396"/>
      <c r="M170" s="396"/>
      <c r="N170" s="396"/>
      <c r="O170" s="396"/>
      <c r="P170" s="396"/>
      <c r="Q170" s="396"/>
      <c r="R170" s="396"/>
    </row>
    <row r="171" spans="1:18" x14ac:dyDescent="0.25">
      <c r="A171" s="396"/>
      <c r="B171" s="396"/>
      <c r="C171" s="396"/>
      <c r="D171" s="396"/>
      <c r="E171" s="396"/>
      <c r="F171" s="396"/>
      <c r="G171" s="396"/>
      <c r="H171" s="396"/>
      <c r="I171" s="396"/>
      <c r="J171" s="396"/>
      <c r="K171" s="396"/>
      <c r="L171" s="396"/>
      <c r="M171" s="396"/>
      <c r="N171" s="396"/>
      <c r="O171" s="396"/>
      <c r="P171" s="396"/>
      <c r="Q171" s="396"/>
      <c r="R171" s="396"/>
    </row>
    <row r="172" spans="1:18" x14ac:dyDescent="0.25">
      <c r="A172" s="396"/>
      <c r="B172" s="396"/>
      <c r="C172" s="396"/>
      <c r="D172" s="396"/>
      <c r="E172" s="396"/>
      <c r="F172" s="396"/>
      <c r="G172" s="396"/>
      <c r="H172" s="396"/>
      <c r="I172" s="396"/>
      <c r="J172" s="396"/>
      <c r="K172" s="396"/>
      <c r="L172" s="396"/>
      <c r="M172" s="396"/>
      <c r="N172" s="396"/>
      <c r="O172" s="396"/>
      <c r="P172" s="396"/>
      <c r="Q172" s="396"/>
      <c r="R172" s="396"/>
    </row>
    <row r="173" spans="1:18" x14ac:dyDescent="0.25">
      <c r="A173" s="396"/>
      <c r="B173" s="396"/>
      <c r="C173" s="396"/>
      <c r="D173" s="396"/>
      <c r="E173" s="396"/>
      <c r="F173" s="396"/>
      <c r="G173" s="396"/>
      <c r="H173" s="396"/>
      <c r="I173" s="396"/>
      <c r="J173" s="396"/>
      <c r="K173" s="396"/>
      <c r="L173" s="396"/>
      <c r="M173" s="396"/>
      <c r="N173" s="396"/>
      <c r="O173" s="396"/>
      <c r="P173" s="396"/>
      <c r="Q173" s="396"/>
      <c r="R173" s="396"/>
    </row>
    <row r="174" spans="1:18" x14ac:dyDescent="0.25">
      <c r="A174" s="396"/>
      <c r="B174" s="396"/>
      <c r="C174" s="396"/>
      <c r="D174" s="396"/>
      <c r="E174" s="396"/>
      <c r="F174" s="396"/>
      <c r="G174" s="396"/>
      <c r="H174" s="396"/>
      <c r="I174" s="396"/>
      <c r="J174" s="396"/>
      <c r="K174" s="396"/>
      <c r="L174" s="396"/>
      <c r="M174" s="396"/>
      <c r="N174" s="396"/>
      <c r="O174" s="396"/>
      <c r="P174" s="396"/>
      <c r="Q174" s="396"/>
      <c r="R174" s="396"/>
    </row>
    <row r="175" spans="1:18" x14ac:dyDescent="0.25">
      <c r="A175" s="396"/>
      <c r="B175" s="396"/>
      <c r="C175" s="396"/>
      <c r="D175" s="396"/>
      <c r="E175" s="396"/>
      <c r="F175" s="396"/>
      <c r="G175" s="396"/>
      <c r="H175" s="396"/>
      <c r="I175" s="396"/>
      <c r="J175" s="396"/>
      <c r="K175" s="396"/>
      <c r="L175" s="396"/>
      <c r="M175" s="396"/>
      <c r="N175" s="396"/>
      <c r="O175" s="396"/>
      <c r="P175" s="396"/>
      <c r="Q175" s="396"/>
      <c r="R175" s="396"/>
    </row>
    <row r="176" spans="1:18" x14ac:dyDescent="0.25">
      <c r="A176" s="396"/>
      <c r="B176" s="396"/>
      <c r="C176" s="396"/>
      <c r="D176" s="396"/>
      <c r="E176" s="396"/>
      <c r="F176" s="396"/>
      <c r="G176" s="396"/>
      <c r="H176" s="396"/>
      <c r="I176" s="396"/>
      <c r="J176" s="396"/>
      <c r="K176" s="396"/>
      <c r="L176" s="396"/>
      <c r="M176" s="396"/>
      <c r="N176" s="396"/>
      <c r="O176" s="396"/>
      <c r="P176" s="396"/>
      <c r="Q176" s="396"/>
      <c r="R176" s="396"/>
    </row>
    <row r="177" spans="1:18" x14ac:dyDescent="0.25">
      <c r="A177" s="396"/>
      <c r="B177" s="396"/>
      <c r="C177" s="396"/>
      <c r="D177" s="396"/>
      <c r="E177" s="396"/>
      <c r="F177" s="396"/>
      <c r="G177" s="396"/>
      <c r="H177" s="396"/>
      <c r="I177" s="396"/>
      <c r="J177" s="396"/>
      <c r="K177" s="396"/>
      <c r="L177" s="396"/>
      <c r="M177" s="396"/>
      <c r="N177" s="396"/>
      <c r="O177" s="396"/>
      <c r="P177" s="396"/>
      <c r="Q177" s="396"/>
      <c r="R177" s="396"/>
    </row>
    <row r="178" spans="1:18" x14ac:dyDescent="0.25">
      <c r="A178" s="396"/>
      <c r="B178" s="396"/>
      <c r="C178" s="396"/>
      <c r="D178" s="396"/>
      <c r="E178" s="396"/>
      <c r="F178" s="396"/>
      <c r="G178" s="396"/>
      <c r="H178" s="396"/>
      <c r="I178" s="396"/>
      <c r="J178" s="396"/>
      <c r="K178" s="396"/>
      <c r="L178" s="396"/>
      <c r="M178" s="396"/>
      <c r="N178" s="396"/>
      <c r="O178" s="396"/>
      <c r="P178" s="396"/>
      <c r="Q178" s="396"/>
      <c r="R178" s="396"/>
    </row>
    <row r="179" spans="1:18" x14ac:dyDescent="0.25">
      <c r="A179" s="396"/>
      <c r="B179" s="396"/>
      <c r="C179" s="396"/>
      <c r="D179" s="396"/>
      <c r="E179" s="396"/>
      <c r="F179" s="396"/>
      <c r="G179" s="396"/>
      <c r="H179" s="396"/>
      <c r="I179" s="396"/>
      <c r="J179" s="396"/>
      <c r="K179" s="396"/>
      <c r="L179" s="396"/>
      <c r="M179" s="396"/>
      <c r="N179" s="396"/>
      <c r="O179" s="396"/>
      <c r="P179" s="396"/>
      <c r="Q179" s="396"/>
      <c r="R179" s="396"/>
    </row>
    <row r="180" spans="1:18" x14ac:dyDescent="0.25">
      <c r="A180" s="396"/>
      <c r="B180" s="396"/>
      <c r="C180" s="396"/>
      <c r="D180" s="396"/>
      <c r="E180" s="396"/>
      <c r="F180" s="396"/>
      <c r="G180" s="396"/>
      <c r="H180" s="396"/>
      <c r="I180" s="396"/>
      <c r="J180" s="396"/>
      <c r="K180" s="396"/>
      <c r="L180" s="396"/>
      <c r="M180" s="396"/>
      <c r="N180" s="396"/>
      <c r="O180" s="396"/>
      <c r="P180" s="396"/>
      <c r="Q180" s="396"/>
      <c r="R180" s="396"/>
    </row>
    <row r="181" spans="1:18" x14ac:dyDescent="0.25">
      <c r="A181" s="396"/>
      <c r="B181" s="396"/>
      <c r="C181" s="396"/>
      <c r="D181" s="396"/>
      <c r="E181" s="396"/>
      <c r="F181" s="396"/>
      <c r="G181" s="396"/>
      <c r="H181" s="396"/>
      <c r="I181" s="396"/>
      <c r="J181" s="396"/>
      <c r="K181" s="396"/>
      <c r="L181" s="396"/>
      <c r="M181" s="396"/>
      <c r="N181" s="396"/>
      <c r="O181" s="396"/>
      <c r="P181" s="396"/>
      <c r="Q181" s="396"/>
      <c r="R181" s="396"/>
    </row>
    <row r="182" spans="1:18" x14ac:dyDescent="0.25">
      <c r="A182" s="396"/>
      <c r="B182" s="396"/>
      <c r="C182" s="396"/>
      <c r="D182" s="396"/>
      <c r="E182" s="396"/>
      <c r="F182" s="396"/>
      <c r="G182" s="396"/>
      <c r="H182" s="396"/>
      <c r="I182" s="396"/>
      <c r="J182" s="396"/>
      <c r="K182" s="396"/>
      <c r="L182" s="396"/>
      <c r="M182" s="396"/>
      <c r="N182" s="396"/>
      <c r="O182" s="396"/>
      <c r="P182" s="396"/>
      <c r="Q182" s="396"/>
      <c r="R182" s="396"/>
    </row>
    <row r="183" spans="1:18" x14ac:dyDescent="0.25">
      <c r="A183" s="396"/>
      <c r="B183" s="396"/>
      <c r="C183" s="396"/>
      <c r="D183" s="396"/>
      <c r="E183" s="396"/>
      <c r="F183" s="396"/>
      <c r="G183" s="396"/>
      <c r="H183" s="396"/>
      <c r="I183" s="396"/>
      <c r="J183" s="396"/>
      <c r="K183" s="396"/>
      <c r="L183" s="396"/>
      <c r="M183" s="396"/>
      <c r="N183" s="396"/>
      <c r="O183" s="396"/>
      <c r="P183" s="396"/>
      <c r="Q183" s="396"/>
      <c r="R183" s="396"/>
    </row>
    <row r="184" spans="1:18" x14ac:dyDescent="0.25">
      <c r="A184" s="396"/>
      <c r="B184" s="396"/>
      <c r="C184" s="396"/>
      <c r="D184" s="396"/>
      <c r="E184" s="396"/>
      <c r="F184" s="396"/>
      <c r="G184" s="396"/>
      <c r="H184" s="396"/>
      <c r="I184" s="396"/>
      <c r="J184" s="396"/>
      <c r="K184" s="396"/>
      <c r="L184" s="396"/>
      <c r="M184" s="396"/>
      <c r="N184" s="396"/>
      <c r="O184" s="396"/>
      <c r="P184" s="396"/>
      <c r="Q184" s="396"/>
      <c r="R184" s="396"/>
    </row>
    <row r="185" spans="1:18" x14ac:dyDescent="0.25">
      <c r="A185" s="396"/>
      <c r="B185" s="396"/>
      <c r="C185" s="396"/>
      <c r="D185" s="396"/>
      <c r="E185" s="396"/>
      <c r="F185" s="396"/>
      <c r="G185" s="396"/>
      <c r="H185" s="396"/>
      <c r="I185" s="396"/>
      <c r="J185" s="396"/>
      <c r="K185" s="396"/>
      <c r="L185" s="396"/>
      <c r="M185" s="396"/>
      <c r="N185" s="396"/>
      <c r="O185" s="396"/>
      <c r="P185" s="396"/>
      <c r="Q185" s="396"/>
      <c r="R185" s="396"/>
    </row>
    <row r="186" spans="1:18" x14ac:dyDescent="0.25">
      <c r="A186" s="396"/>
      <c r="B186" s="396"/>
      <c r="C186" s="396"/>
      <c r="D186" s="396"/>
      <c r="E186" s="396"/>
      <c r="F186" s="396"/>
      <c r="G186" s="396"/>
      <c r="H186" s="396"/>
      <c r="I186" s="396"/>
      <c r="J186" s="396"/>
      <c r="K186" s="396"/>
      <c r="L186" s="396"/>
      <c r="M186" s="396"/>
      <c r="N186" s="396"/>
      <c r="O186" s="396"/>
      <c r="P186" s="396"/>
      <c r="Q186" s="396"/>
      <c r="R186" s="396"/>
    </row>
    <row r="187" spans="1:18" x14ac:dyDescent="0.25">
      <c r="A187" s="396"/>
      <c r="B187" s="396"/>
      <c r="C187" s="396"/>
      <c r="D187" s="396"/>
      <c r="E187" s="396"/>
      <c r="F187" s="396"/>
      <c r="G187" s="396"/>
      <c r="H187" s="396"/>
      <c r="I187" s="396"/>
      <c r="J187" s="396"/>
      <c r="K187" s="396"/>
      <c r="L187" s="396"/>
      <c r="M187" s="396"/>
      <c r="N187" s="396"/>
      <c r="O187" s="396"/>
      <c r="P187" s="396"/>
      <c r="Q187" s="396"/>
      <c r="R187" s="396"/>
    </row>
    <row r="188" spans="1:18" x14ac:dyDescent="0.25">
      <c r="A188" s="396"/>
      <c r="B188" s="396"/>
      <c r="C188" s="396"/>
      <c r="D188" s="396"/>
      <c r="E188" s="396"/>
      <c r="F188" s="396"/>
      <c r="G188" s="396"/>
      <c r="H188" s="396"/>
      <c r="I188" s="396"/>
      <c r="J188" s="396"/>
      <c r="K188" s="396"/>
      <c r="L188" s="396"/>
      <c r="M188" s="396"/>
      <c r="N188" s="396"/>
      <c r="O188" s="396"/>
      <c r="P188" s="396"/>
      <c r="Q188" s="396"/>
      <c r="R188" s="396"/>
    </row>
    <row r="189" spans="1:18" x14ac:dyDescent="0.25">
      <c r="A189" s="396"/>
      <c r="B189" s="396"/>
      <c r="C189" s="396"/>
      <c r="D189" s="396"/>
      <c r="E189" s="396"/>
      <c r="F189" s="396"/>
      <c r="G189" s="396"/>
      <c r="H189" s="396"/>
      <c r="I189" s="396"/>
      <c r="J189" s="396"/>
      <c r="K189" s="396"/>
      <c r="L189" s="396"/>
      <c r="M189" s="396"/>
      <c r="N189" s="396"/>
      <c r="O189" s="396"/>
      <c r="P189" s="396"/>
      <c r="Q189" s="396"/>
      <c r="R189" s="396"/>
    </row>
    <row r="190" spans="1:18" x14ac:dyDescent="0.25">
      <c r="A190" s="396"/>
      <c r="B190" s="396"/>
      <c r="C190" s="396"/>
      <c r="D190" s="396"/>
      <c r="E190" s="396"/>
      <c r="F190" s="396"/>
      <c r="G190" s="396"/>
      <c r="H190" s="396"/>
      <c r="I190" s="396"/>
      <c r="J190" s="396"/>
      <c r="K190" s="396"/>
      <c r="L190" s="396"/>
      <c r="M190" s="396"/>
      <c r="N190" s="396"/>
      <c r="O190" s="396"/>
      <c r="P190" s="396"/>
      <c r="Q190" s="396"/>
      <c r="R190" s="396"/>
    </row>
    <row r="191" spans="1:18" x14ac:dyDescent="0.25">
      <c r="A191" s="396"/>
      <c r="B191" s="396"/>
      <c r="C191" s="396"/>
      <c r="D191" s="396"/>
      <c r="E191" s="396"/>
      <c r="F191" s="396"/>
      <c r="G191" s="396"/>
      <c r="H191" s="396"/>
      <c r="I191" s="396"/>
      <c r="J191" s="396"/>
      <c r="K191" s="396"/>
      <c r="L191" s="396"/>
      <c r="M191" s="396"/>
      <c r="N191" s="396"/>
      <c r="O191" s="396"/>
      <c r="P191" s="396"/>
      <c r="Q191" s="396"/>
      <c r="R191" s="396"/>
    </row>
    <row r="192" spans="1:18" x14ac:dyDescent="0.25">
      <c r="A192" s="396"/>
      <c r="B192" s="396"/>
      <c r="C192" s="396"/>
      <c r="D192" s="396"/>
      <c r="E192" s="396"/>
      <c r="F192" s="396"/>
      <c r="G192" s="396"/>
      <c r="H192" s="396"/>
      <c r="I192" s="396"/>
      <c r="J192" s="396"/>
      <c r="K192" s="396"/>
      <c r="L192" s="396"/>
      <c r="M192" s="396"/>
      <c r="N192" s="396"/>
      <c r="O192" s="396"/>
      <c r="P192" s="396"/>
      <c r="Q192" s="396"/>
      <c r="R192" s="396"/>
    </row>
    <row r="193" spans="1:18" x14ac:dyDescent="0.25">
      <c r="A193" s="396"/>
      <c r="B193" s="396"/>
      <c r="C193" s="396"/>
      <c r="D193" s="396"/>
      <c r="E193" s="396"/>
      <c r="F193" s="396"/>
      <c r="G193" s="396"/>
      <c r="H193" s="396"/>
      <c r="I193" s="396"/>
      <c r="J193" s="396"/>
      <c r="K193" s="396"/>
      <c r="L193" s="396"/>
      <c r="M193" s="396"/>
      <c r="N193" s="396"/>
      <c r="O193" s="396"/>
      <c r="P193" s="396"/>
      <c r="Q193" s="396"/>
      <c r="R193" s="396"/>
    </row>
    <row r="194" spans="1:18" x14ac:dyDescent="0.25">
      <c r="A194" s="396"/>
      <c r="B194" s="396"/>
      <c r="C194" s="396"/>
      <c r="D194" s="396"/>
      <c r="E194" s="396"/>
      <c r="F194" s="396"/>
      <c r="G194" s="396"/>
      <c r="H194" s="396"/>
      <c r="I194" s="396"/>
      <c r="J194" s="396"/>
      <c r="K194" s="396"/>
      <c r="L194" s="396"/>
      <c r="M194" s="396"/>
      <c r="N194" s="396"/>
      <c r="O194" s="396"/>
      <c r="P194" s="396"/>
      <c r="Q194" s="396"/>
      <c r="R194" s="396"/>
    </row>
    <row r="195" spans="1:18" x14ac:dyDescent="0.25">
      <c r="A195" s="396"/>
      <c r="B195" s="396"/>
      <c r="C195" s="396"/>
      <c r="D195" s="396"/>
      <c r="E195" s="396"/>
      <c r="F195" s="396"/>
      <c r="G195" s="396"/>
      <c r="H195" s="396"/>
      <c r="I195" s="396"/>
      <c r="J195" s="396"/>
      <c r="K195" s="396"/>
      <c r="L195" s="396"/>
      <c r="M195" s="396"/>
      <c r="N195" s="396"/>
      <c r="O195" s="396"/>
      <c r="P195" s="396"/>
      <c r="Q195" s="396"/>
      <c r="R195" s="396"/>
    </row>
    <row r="196" spans="1:18" x14ac:dyDescent="0.25">
      <c r="A196" s="396"/>
      <c r="B196" s="396"/>
      <c r="C196" s="396"/>
      <c r="D196" s="396"/>
      <c r="E196" s="396"/>
      <c r="F196" s="396"/>
      <c r="G196" s="396"/>
      <c r="H196" s="396"/>
      <c r="I196" s="396"/>
      <c r="J196" s="396"/>
      <c r="K196" s="396"/>
      <c r="L196" s="396"/>
      <c r="M196" s="396"/>
      <c r="N196" s="396"/>
      <c r="O196" s="396"/>
      <c r="P196" s="396"/>
      <c r="Q196" s="396"/>
      <c r="R196" s="396"/>
    </row>
    <row r="197" spans="1:18" x14ac:dyDescent="0.25">
      <c r="A197" s="396"/>
      <c r="B197" s="396"/>
      <c r="C197" s="396"/>
      <c r="D197" s="396"/>
      <c r="E197" s="396"/>
      <c r="F197" s="396"/>
      <c r="G197" s="396"/>
      <c r="H197" s="396"/>
      <c r="I197" s="396"/>
      <c r="J197" s="396"/>
      <c r="K197" s="396"/>
      <c r="L197" s="396"/>
      <c r="M197" s="396"/>
      <c r="N197" s="396"/>
      <c r="O197" s="396"/>
      <c r="P197" s="396"/>
      <c r="Q197" s="396"/>
      <c r="R197" s="396"/>
    </row>
    <row r="198" spans="1:18" x14ac:dyDescent="0.25">
      <c r="A198" s="396"/>
      <c r="B198" s="396"/>
      <c r="C198" s="396"/>
      <c r="D198" s="396"/>
      <c r="E198" s="396"/>
      <c r="F198" s="396"/>
      <c r="G198" s="396"/>
      <c r="H198" s="396"/>
      <c r="I198" s="396"/>
      <c r="J198" s="396"/>
      <c r="K198" s="396"/>
      <c r="L198" s="396"/>
      <c r="M198" s="396"/>
      <c r="N198" s="396"/>
      <c r="O198" s="396"/>
      <c r="P198" s="396"/>
      <c r="Q198" s="396"/>
      <c r="R198" s="396"/>
    </row>
    <row r="199" spans="1:18" x14ac:dyDescent="0.25">
      <c r="A199" s="396"/>
      <c r="B199" s="396"/>
      <c r="C199" s="396"/>
      <c r="D199" s="396"/>
      <c r="E199" s="396"/>
      <c r="F199" s="396"/>
      <c r="G199" s="396"/>
      <c r="H199" s="396"/>
      <c r="I199" s="396"/>
      <c r="J199" s="396"/>
      <c r="K199" s="396"/>
      <c r="L199" s="396"/>
      <c r="M199" s="396"/>
      <c r="N199" s="396"/>
      <c r="O199" s="396"/>
      <c r="P199" s="396"/>
      <c r="Q199" s="396"/>
      <c r="R199" s="396"/>
    </row>
    <row r="200" spans="1:18" x14ac:dyDescent="0.25">
      <c r="A200" s="396"/>
      <c r="B200" s="396"/>
      <c r="C200" s="396"/>
      <c r="D200" s="396"/>
      <c r="E200" s="396"/>
      <c r="F200" s="396"/>
      <c r="G200" s="396"/>
      <c r="H200" s="396"/>
      <c r="I200" s="396"/>
      <c r="J200" s="396"/>
      <c r="K200" s="396"/>
      <c r="L200" s="396"/>
      <c r="M200" s="396"/>
      <c r="N200" s="396"/>
      <c r="O200" s="396"/>
      <c r="P200" s="396"/>
      <c r="Q200" s="396"/>
      <c r="R200" s="396"/>
    </row>
    <row r="201" spans="1:18" x14ac:dyDescent="0.25">
      <c r="A201" s="396"/>
      <c r="B201" s="396"/>
      <c r="C201" s="396"/>
      <c r="D201" s="396"/>
      <c r="E201" s="396"/>
      <c r="F201" s="396"/>
      <c r="G201" s="396"/>
      <c r="H201" s="396"/>
      <c r="I201" s="396"/>
      <c r="J201" s="396"/>
      <c r="K201" s="396"/>
      <c r="L201" s="396"/>
      <c r="M201" s="396"/>
      <c r="N201" s="396"/>
      <c r="O201" s="396"/>
      <c r="P201" s="396"/>
      <c r="Q201" s="396"/>
      <c r="R201" s="396"/>
    </row>
    <row r="202" spans="1:18" x14ac:dyDescent="0.25">
      <c r="A202" s="396"/>
      <c r="B202" s="396"/>
      <c r="C202" s="396"/>
      <c r="D202" s="396"/>
      <c r="E202" s="396"/>
      <c r="F202" s="396"/>
      <c r="G202" s="396"/>
      <c r="H202" s="396"/>
      <c r="I202" s="396"/>
      <c r="J202" s="396"/>
      <c r="K202" s="396"/>
      <c r="L202" s="396"/>
      <c r="M202" s="396"/>
      <c r="N202" s="396"/>
      <c r="O202" s="396"/>
      <c r="P202" s="396"/>
      <c r="Q202" s="396"/>
      <c r="R202" s="396"/>
    </row>
    <row r="203" spans="1:18" x14ac:dyDescent="0.25">
      <c r="A203" s="396"/>
      <c r="B203" s="396"/>
      <c r="C203" s="396"/>
      <c r="D203" s="396"/>
      <c r="E203" s="396"/>
      <c r="F203" s="396"/>
      <c r="G203" s="396"/>
      <c r="H203" s="396"/>
      <c r="I203" s="396"/>
      <c r="J203" s="396"/>
      <c r="K203" s="396"/>
      <c r="L203" s="396"/>
      <c r="M203" s="396"/>
      <c r="N203" s="396"/>
      <c r="O203" s="396"/>
      <c r="P203" s="396"/>
      <c r="Q203" s="396"/>
      <c r="R203" s="396"/>
    </row>
    <row r="204" spans="1:18" x14ac:dyDescent="0.25">
      <c r="A204" s="396"/>
      <c r="B204" s="396"/>
      <c r="C204" s="396"/>
      <c r="D204" s="396"/>
      <c r="E204" s="396"/>
      <c r="F204" s="396"/>
      <c r="G204" s="396"/>
      <c r="H204" s="396"/>
      <c r="I204" s="396"/>
      <c r="J204" s="396"/>
      <c r="K204" s="396"/>
      <c r="L204" s="396"/>
      <c r="M204" s="396"/>
      <c r="N204" s="396"/>
      <c r="O204" s="396"/>
      <c r="P204" s="396"/>
      <c r="Q204" s="396"/>
      <c r="R204" s="396"/>
    </row>
    <row r="205" spans="1:18" x14ac:dyDescent="0.25">
      <c r="A205" s="396"/>
      <c r="B205" s="396"/>
      <c r="C205" s="396"/>
      <c r="D205" s="396"/>
      <c r="E205" s="396"/>
      <c r="F205" s="396"/>
      <c r="G205" s="396"/>
      <c r="H205" s="396"/>
      <c r="I205" s="396"/>
      <c r="J205" s="396"/>
      <c r="K205" s="396"/>
      <c r="L205" s="396"/>
      <c r="M205" s="396"/>
      <c r="N205" s="396"/>
      <c r="O205" s="396"/>
      <c r="P205" s="396"/>
      <c r="Q205" s="396"/>
      <c r="R205" s="396"/>
    </row>
    <row r="206" spans="1:18" x14ac:dyDescent="0.25">
      <c r="A206" s="396"/>
      <c r="B206" s="396"/>
      <c r="C206" s="396"/>
      <c r="D206" s="396"/>
      <c r="E206" s="396"/>
      <c r="F206" s="396"/>
      <c r="G206" s="396"/>
      <c r="H206" s="396"/>
      <c r="I206" s="396"/>
      <c r="J206" s="396"/>
      <c r="K206" s="396"/>
      <c r="L206" s="396"/>
      <c r="M206" s="396"/>
      <c r="N206" s="396"/>
      <c r="O206" s="396"/>
      <c r="P206" s="396"/>
      <c r="Q206" s="396"/>
      <c r="R206" s="396"/>
    </row>
    <row r="207" spans="1:18" x14ac:dyDescent="0.25">
      <c r="A207" s="396"/>
      <c r="B207" s="396"/>
      <c r="C207" s="396"/>
      <c r="D207" s="396"/>
      <c r="E207" s="396"/>
      <c r="F207" s="396"/>
      <c r="G207" s="396"/>
      <c r="H207" s="396"/>
      <c r="I207" s="396"/>
      <c r="J207" s="396"/>
      <c r="K207" s="396"/>
      <c r="L207" s="396"/>
      <c r="M207" s="396"/>
      <c r="N207" s="396"/>
      <c r="O207" s="396"/>
      <c r="P207" s="396"/>
      <c r="Q207" s="396"/>
      <c r="R207" s="396"/>
    </row>
    <row r="208" spans="1:18" x14ac:dyDescent="0.25">
      <c r="A208" s="396"/>
      <c r="B208" s="396"/>
      <c r="C208" s="396"/>
      <c r="D208" s="396"/>
      <c r="E208" s="396"/>
      <c r="F208" s="396"/>
      <c r="G208" s="396"/>
      <c r="H208" s="396"/>
      <c r="I208" s="396"/>
      <c r="J208" s="396"/>
      <c r="K208" s="396"/>
      <c r="L208" s="396"/>
      <c r="M208" s="396"/>
      <c r="N208" s="396"/>
      <c r="O208" s="396"/>
      <c r="P208" s="396"/>
      <c r="Q208" s="396"/>
      <c r="R208" s="396"/>
    </row>
    <row r="209" spans="1:18" x14ac:dyDescent="0.25">
      <c r="A209" s="396"/>
      <c r="B209" s="396"/>
      <c r="C209" s="396"/>
      <c r="D209" s="396"/>
      <c r="E209" s="396"/>
      <c r="F209" s="396"/>
      <c r="G209" s="396"/>
      <c r="H209" s="396"/>
      <c r="I209" s="396"/>
      <c r="J209" s="396"/>
      <c r="K209" s="396"/>
      <c r="L209" s="396"/>
      <c r="M209" s="396"/>
      <c r="N209" s="396"/>
      <c r="O209" s="396"/>
      <c r="P209" s="396"/>
      <c r="Q209" s="396"/>
      <c r="R209" s="396"/>
    </row>
    <row r="210" spans="1:18" x14ac:dyDescent="0.25">
      <c r="A210" s="396"/>
      <c r="B210" s="396"/>
      <c r="C210" s="396"/>
      <c r="D210" s="396"/>
      <c r="E210" s="396"/>
      <c r="F210" s="396"/>
      <c r="G210" s="396"/>
      <c r="H210" s="396"/>
      <c r="I210" s="396"/>
      <c r="J210" s="396"/>
      <c r="K210" s="396"/>
      <c r="L210" s="396"/>
      <c r="M210" s="396"/>
      <c r="N210" s="396"/>
      <c r="O210" s="396"/>
      <c r="P210" s="396"/>
      <c r="Q210" s="396"/>
      <c r="R210" s="396"/>
    </row>
    <row r="211" spans="1:18" x14ac:dyDescent="0.25">
      <c r="A211" s="396"/>
      <c r="B211" s="396"/>
      <c r="C211" s="396"/>
      <c r="D211" s="396"/>
      <c r="E211" s="396"/>
      <c r="F211" s="396"/>
      <c r="G211" s="396"/>
      <c r="H211" s="396"/>
      <c r="I211" s="396"/>
      <c r="J211" s="396"/>
      <c r="K211" s="396"/>
      <c r="L211" s="396"/>
      <c r="M211" s="396"/>
      <c r="N211" s="396"/>
      <c r="O211" s="396"/>
      <c r="P211" s="396"/>
      <c r="Q211" s="396"/>
      <c r="R211" s="396"/>
    </row>
    <row r="212" spans="1:18" x14ac:dyDescent="0.25">
      <c r="A212" s="396"/>
      <c r="B212" s="396"/>
      <c r="C212" s="396"/>
      <c r="D212" s="396"/>
      <c r="E212" s="396"/>
      <c r="F212" s="396"/>
      <c r="G212" s="396"/>
      <c r="H212" s="396"/>
      <c r="I212" s="396"/>
      <c r="J212" s="396"/>
      <c r="K212" s="396"/>
      <c r="L212" s="396"/>
      <c r="M212" s="396"/>
      <c r="N212" s="396"/>
      <c r="O212" s="396"/>
      <c r="P212" s="396"/>
      <c r="Q212" s="396"/>
      <c r="R212" s="396"/>
    </row>
    <row r="213" spans="1:18" x14ac:dyDescent="0.25">
      <c r="A213" s="396"/>
      <c r="B213" s="396"/>
      <c r="C213" s="396"/>
      <c r="D213" s="396"/>
      <c r="E213" s="396"/>
      <c r="F213" s="396"/>
      <c r="G213" s="396"/>
      <c r="H213" s="396"/>
      <c r="I213" s="396"/>
      <c r="J213" s="396"/>
      <c r="K213" s="396"/>
      <c r="L213" s="396"/>
      <c r="M213" s="396"/>
      <c r="N213" s="396"/>
      <c r="O213" s="396"/>
      <c r="P213" s="396"/>
      <c r="Q213" s="396"/>
      <c r="R213" s="396"/>
    </row>
    <row r="214" spans="1:18" x14ac:dyDescent="0.25">
      <c r="A214" s="396"/>
      <c r="B214" s="396"/>
      <c r="C214" s="396"/>
      <c r="D214" s="396"/>
      <c r="E214" s="396"/>
      <c r="F214" s="396"/>
      <c r="G214" s="396"/>
      <c r="H214" s="396"/>
      <c r="I214" s="396"/>
      <c r="J214" s="396"/>
      <c r="K214" s="396"/>
      <c r="L214" s="396"/>
      <c r="M214" s="396"/>
      <c r="N214" s="396"/>
      <c r="O214" s="396"/>
      <c r="P214" s="396"/>
      <c r="Q214" s="396"/>
      <c r="R214" s="396"/>
    </row>
    <row r="215" spans="1:18" x14ac:dyDescent="0.25">
      <c r="A215" s="396"/>
      <c r="B215" s="396"/>
      <c r="C215" s="396"/>
      <c r="D215" s="396"/>
      <c r="E215" s="396"/>
      <c r="F215" s="396"/>
      <c r="G215" s="396"/>
      <c r="H215" s="396"/>
      <c r="I215" s="396"/>
      <c r="J215" s="396"/>
      <c r="K215" s="396"/>
      <c r="L215" s="396"/>
      <c r="M215" s="396"/>
      <c r="N215" s="396"/>
      <c r="O215" s="396"/>
      <c r="P215" s="396"/>
      <c r="Q215" s="396"/>
      <c r="R215" s="396"/>
    </row>
    <row r="216" spans="1:18" x14ac:dyDescent="0.25">
      <c r="A216" s="396"/>
      <c r="B216" s="396"/>
      <c r="C216" s="396"/>
      <c r="D216" s="396"/>
      <c r="E216" s="396"/>
      <c r="F216" s="396"/>
      <c r="G216" s="396"/>
      <c r="H216" s="396"/>
      <c r="I216" s="396"/>
      <c r="J216" s="396"/>
      <c r="K216" s="396"/>
      <c r="L216" s="396"/>
      <c r="M216" s="396"/>
      <c r="N216" s="396"/>
      <c r="O216" s="396"/>
      <c r="P216" s="396"/>
      <c r="Q216" s="396"/>
      <c r="R216" s="396"/>
    </row>
    <row r="217" spans="1:18" x14ac:dyDescent="0.25">
      <c r="A217" s="396"/>
      <c r="B217" s="396"/>
      <c r="C217" s="396"/>
      <c r="D217" s="396"/>
      <c r="E217" s="396"/>
      <c r="F217" s="396"/>
      <c r="G217" s="396"/>
      <c r="H217" s="396"/>
      <c r="I217" s="396"/>
      <c r="J217" s="396"/>
      <c r="K217" s="396"/>
      <c r="L217" s="396"/>
      <c r="M217" s="396"/>
      <c r="N217" s="396"/>
      <c r="O217" s="396"/>
      <c r="P217" s="396"/>
      <c r="Q217" s="396"/>
      <c r="R217" s="396"/>
    </row>
    <row r="218" spans="1:18" x14ac:dyDescent="0.25">
      <c r="A218" s="396"/>
      <c r="B218" s="396"/>
      <c r="C218" s="396"/>
      <c r="D218" s="396"/>
      <c r="E218" s="396"/>
      <c r="F218" s="396"/>
      <c r="G218" s="396"/>
      <c r="H218" s="396"/>
      <c r="I218" s="396"/>
      <c r="J218" s="396"/>
      <c r="K218" s="396"/>
      <c r="L218" s="396"/>
      <c r="M218" s="396"/>
      <c r="N218" s="396"/>
      <c r="O218" s="396"/>
      <c r="P218" s="396"/>
      <c r="Q218" s="396"/>
      <c r="R218" s="396"/>
    </row>
    <row r="219" spans="1:18" x14ac:dyDescent="0.25">
      <c r="A219" s="396"/>
      <c r="B219" s="396"/>
      <c r="C219" s="396"/>
      <c r="D219" s="396"/>
      <c r="E219" s="396"/>
      <c r="F219" s="396"/>
      <c r="G219" s="396"/>
      <c r="H219" s="396"/>
      <c r="I219" s="396"/>
      <c r="J219" s="396"/>
      <c r="K219" s="396"/>
      <c r="L219" s="396"/>
      <c r="M219" s="396"/>
      <c r="N219" s="396"/>
      <c r="O219" s="396"/>
      <c r="P219" s="396"/>
      <c r="Q219" s="396"/>
      <c r="R219" s="396"/>
    </row>
    <row r="220" spans="1:18" x14ac:dyDescent="0.25">
      <c r="A220" s="396"/>
      <c r="B220" s="396"/>
      <c r="C220" s="396"/>
      <c r="D220" s="396"/>
      <c r="E220" s="396"/>
      <c r="F220" s="396"/>
      <c r="G220" s="396"/>
      <c r="H220" s="396"/>
      <c r="I220" s="396"/>
      <c r="J220" s="396"/>
      <c r="K220" s="396"/>
      <c r="L220" s="396"/>
      <c r="M220" s="396"/>
      <c r="N220" s="396"/>
      <c r="O220" s="396"/>
      <c r="P220" s="396"/>
      <c r="Q220" s="396"/>
      <c r="R220" s="396"/>
    </row>
    <row r="221" spans="1:18" x14ac:dyDescent="0.25">
      <c r="A221" s="396"/>
      <c r="B221" s="396"/>
      <c r="C221" s="396"/>
      <c r="D221" s="396"/>
      <c r="E221" s="396"/>
      <c r="F221" s="396"/>
      <c r="G221" s="396"/>
      <c r="H221" s="396"/>
      <c r="I221" s="396"/>
      <c r="J221" s="396"/>
      <c r="K221" s="396"/>
      <c r="L221" s="396"/>
      <c r="M221" s="396"/>
      <c r="N221" s="396"/>
      <c r="O221" s="396"/>
      <c r="P221" s="396"/>
      <c r="Q221" s="396"/>
      <c r="R221" s="396"/>
    </row>
    <row r="222" spans="1:18" x14ac:dyDescent="0.25">
      <c r="A222" s="396"/>
      <c r="B222" s="396"/>
      <c r="C222" s="396"/>
      <c r="D222" s="396"/>
      <c r="E222" s="396"/>
      <c r="F222" s="396"/>
      <c r="G222" s="396"/>
      <c r="H222" s="396"/>
      <c r="I222" s="396"/>
      <c r="J222" s="396"/>
      <c r="K222" s="396"/>
      <c r="L222" s="396"/>
      <c r="M222" s="396"/>
      <c r="N222" s="396"/>
      <c r="O222" s="396"/>
      <c r="P222" s="396"/>
      <c r="Q222" s="396"/>
      <c r="R222" s="396"/>
    </row>
    <row r="223" spans="1:18" x14ac:dyDescent="0.25">
      <c r="A223" s="396"/>
      <c r="B223" s="396"/>
      <c r="C223" s="396"/>
      <c r="D223" s="396"/>
      <c r="E223" s="396"/>
      <c r="F223" s="396"/>
      <c r="G223" s="396"/>
      <c r="H223" s="396"/>
      <c r="I223" s="396"/>
      <c r="J223" s="396"/>
      <c r="K223" s="396"/>
      <c r="L223" s="396"/>
      <c r="M223" s="396"/>
      <c r="N223" s="396"/>
      <c r="O223" s="396"/>
      <c r="P223" s="396"/>
      <c r="Q223" s="396"/>
      <c r="R223" s="396"/>
    </row>
  </sheetData>
  <mergeCells count="10">
    <mergeCell ref="E15:E16"/>
    <mergeCell ref="F61:I61"/>
    <mergeCell ref="F64:F65"/>
    <mergeCell ref="E86:E87"/>
    <mergeCell ref="B38:C38"/>
    <mergeCell ref="B21:C21"/>
    <mergeCell ref="B25:C25"/>
    <mergeCell ref="B19:C19"/>
    <mergeCell ref="B23:C23"/>
    <mergeCell ref="F86:F87"/>
  </mergeCells>
  <pageMargins left="0.7" right="0.7" top="0.75" bottom="0.75" header="0.3" footer="0.3"/>
  <pageSetup paperSize="9" orientation="portrait" r:id="rId1"/>
  <ignoredErrors>
    <ignoredError sqref="E11"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09922" r:id="rId4" name="Check Box 2">
              <controlPr defaultSize="0" autoFill="0" autoLine="0" autoPict="0">
                <anchor moveWithCells="1">
                  <from>
                    <xdr:col>1</xdr:col>
                    <xdr:colOff>0</xdr:colOff>
                    <xdr:row>15</xdr:row>
                    <xdr:rowOff>180975</xdr:rowOff>
                  </from>
                  <to>
                    <xdr:col>1</xdr:col>
                    <xdr:colOff>1371600</xdr:colOff>
                    <xdr:row>17</xdr:row>
                    <xdr:rowOff>38100</xdr:rowOff>
                  </to>
                </anchor>
              </controlPr>
            </control>
          </mc:Choice>
        </mc:AlternateContent>
        <mc:AlternateContent xmlns:mc="http://schemas.openxmlformats.org/markup-compatibility/2006">
          <mc:Choice Requires="x14">
            <control shapeId="209924" r:id="rId5" name="Check Box 4">
              <controlPr defaultSize="0" autoFill="0" autoLine="0" autoPict="0">
                <anchor moveWithCells="1">
                  <from>
                    <xdr:col>0</xdr:col>
                    <xdr:colOff>581025</xdr:colOff>
                    <xdr:row>40</xdr:row>
                    <xdr:rowOff>85725</xdr:rowOff>
                  </from>
                  <to>
                    <xdr:col>1</xdr:col>
                    <xdr:colOff>1343025</xdr:colOff>
                    <xdr:row>41</xdr:row>
                    <xdr:rowOff>142875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71</vt:i4>
      </vt:variant>
      <vt:variant>
        <vt:lpstr>Named Ranges</vt:lpstr>
      </vt:variant>
      <vt:variant>
        <vt:i4>36</vt:i4>
      </vt:variant>
    </vt:vector>
  </HeadingPairs>
  <TitlesOfParts>
    <vt:vector size="107" baseType="lpstr">
      <vt:lpstr>Title_Page</vt:lpstr>
      <vt:lpstr>Note_to_the_user</vt:lpstr>
      <vt:lpstr>Table of contents</vt:lpstr>
      <vt:lpstr>Inputs direct labour (3)</vt:lpstr>
      <vt:lpstr>Inputs direct labour</vt:lpstr>
      <vt:lpstr>Indirect labour inputs - all </vt:lpstr>
      <vt:lpstr>direct_labour</vt:lpstr>
      <vt:lpstr>graphs_labour</vt:lpstr>
      <vt:lpstr>Productivity_outline</vt:lpstr>
      <vt:lpstr>Admited_care</vt:lpstr>
      <vt:lpstr>Hospital new figures_9899_1112</vt:lpstr>
      <vt:lpstr>Outpatient</vt:lpstr>
      <vt:lpstr>Mental_health</vt:lpstr>
      <vt:lpstr>Community_Care</vt:lpstr>
      <vt:lpstr>A&amp;E</vt:lpstr>
      <vt:lpstr>Other NHS Activity</vt:lpstr>
      <vt:lpstr>Primary care (3)</vt:lpstr>
      <vt:lpstr>Primary care (2)</vt:lpstr>
      <vt:lpstr>Primary_care_and_Prescribing</vt:lpstr>
      <vt:lpstr>QA Primary Care</vt:lpstr>
      <vt:lpstr>Prescribing</vt:lpstr>
      <vt:lpstr>Output_growth</vt:lpstr>
      <vt:lpstr>Output growth (3)</vt:lpstr>
      <vt:lpstr>Labour_Inputs</vt:lpstr>
      <vt:lpstr>Indirect labour inputs - recent</vt:lpstr>
      <vt:lpstr>Inputs indirect expenditure</vt:lpstr>
      <vt:lpstr>Ind_inter_backfile</vt:lpstr>
      <vt:lpstr>Input Growth</vt:lpstr>
      <vt:lpstr>Capital_inputs </vt:lpstr>
      <vt:lpstr>Capital inputs - all</vt:lpstr>
      <vt:lpstr>capital_tables</vt:lpstr>
      <vt:lpstr>Direct labour Inputs - med</vt:lpstr>
      <vt:lpstr>Inputs direct labour (2)</vt:lpstr>
      <vt:lpstr>Prescribing_hidden</vt:lpstr>
      <vt:lpstr>Sheet14</vt:lpstr>
      <vt:lpstr>Total inputs</vt:lpstr>
      <vt:lpstr>Productivity (3)</vt:lpstr>
      <vt:lpstr>Total indirect inputs - all</vt:lpstr>
      <vt:lpstr>Total indirect inputs - recent</vt:lpstr>
      <vt:lpstr>Reference Costs Breakdown</vt:lpstr>
      <vt:lpstr>Reference Costs Output (4)</vt:lpstr>
      <vt:lpstr>Inputs index (2)</vt:lpstr>
      <vt:lpstr>HES output</vt:lpstr>
      <vt:lpstr>HES QA backend</vt:lpstr>
      <vt:lpstr>HES output (2)</vt:lpstr>
      <vt:lpstr>Sheet6</vt:lpstr>
      <vt:lpstr>graphs_HES</vt:lpstr>
      <vt:lpstr>graphs HES</vt:lpstr>
      <vt:lpstr>Indirect intermediates - al (2</vt:lpstr>
      <vt:lpstr>Indirect intermediates - all</vt:lpstr>
      <vt:lpstr>Intermediates</vt:lpstr>
      <vt:lpstr>graphs intermediates</vt:lpstr>
      <vt:lpstr>Sheet8</vt:lpstr>
      <vt:lpstr>Sheet10</vt:lpstr>
      <vt:lpstr>Sheet8 (2)</vt:lpstr>
      <vt:lpstr>Reference Costs Output</vt:lpstr>
      <vt:lpstr>Reference Costs Output (2)</vt:lpstr>
      <vt:lpstr>graphs GP</vt:lpstr>
      <vt:lpstr>Sheet1</vt:lpstr>
      <vt:lpstr>Primary Care QA</vt:lpstr>
      <vt:lpstr>Deflators</vt:lpstr>
      <vt:lpstr>Quality adjustment</vt:lpstr>
      <vt:lpstr>Reference Costs Output (3)</vt:lpstr>
      <vt:lpstr>Productivity (2)</vt:lpstr>
      <vt:lpstr>Input_growth</vt:lpstr>
      <vt:lpstr>Productivity_growth</vt:lpstr>
      <vt:lpstr>Publications</vt:lpstr>
      <vt:lpstr>Glossary</vt:lpstr>
      <vt:lpstr>Productivity (4)</vt:lpstr>
      <vt:lpstr>Productivity (5)</vt:lpstr>
      <vt:lpstr>Deflt</vt:lpstr>
      <vt:lpstr>authority</vt:lpstr>
      <vt:lpstr>authority2</vt:lpstr>
      <vt:lpstr>Capitalcosts</vt:lpstr>
      <vt:lpstr>ef_costs</vt:lpstr>
      <vt:lpstr>EXP</vt:lpstr>
      <vt:lpstr>Exp_terms</vt:lpstr>
      <vt:lpstr>expn</vt:lpstr>
      <vt:lpstr>GPview</vt:lpstr>
      <vt:lpstr>HES_setting</vt:lpstr>
      <vt:lpstr>hospital_activity</vt:lpstr>
      <vt:lpstr>index</vt:lpstr>
      <vt:lpstr>indices</vt:lpstr>
      <vt:lpstr>inter_prov</vt:lpstr>
      <vt:lpstr>mental_health</vt:lpstr>
      <vt:lpstr>new_ref_cetegories</vt:lpstr>
      <vt:lpstr>'Other NHS Activity'!Non_elective</vt:lpstr>
      <vt:lpstr>Non_elective</vt:lpstr>
      <vt:lpstr>pcts</vt:lpstr>
      <vt:lpstr>primary</vt:lpstr>
      <vt:lpstr>primary_care</vt:lpstr>
      <vt:lpstr>QA</vt:lpstr>
      <vt:lpstr>QAnew</vt:lpstr>
      <vt:lpstr>Ref_costs</vt:lpstr>
      <vt:lpstr>Refcosts</vt:lpstr>
      <vt:lpstr>Reference_costs</vt:lpstr>
      <vt:lpstr>relative</vt:lpstr>
      <vt:lpstr>Select_expenditure_type</vt:lpstr>
      <vt:lpstr>setting</vt:lpstr>
      <vt:lpstr>source_inter</vt:lpstr>
      <vt:lpstr>source_labour</vt:lpstr>
      <vt:lpstr>Input_growth!test1</vt:lpstr>
      <vt:lpstr>'Output growth (3)'!test1</vt:lpstr>
      <vt:lpstr>Output_growth!test1</vt:lpstr>
      <vt:lpstr>test1</vt:lpstr>
      <vt:lpstr>trusts</vt:lpstr>
      <vt:lpstr>view</vt:lpstr>
    </vt:vector>
  </TitlesOfParts>
  <Company>The University of York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Bojke</dc:creator>
  <cp:lastModifiedBy>Gill Forder</cp:lastModifiedBy>
  <cp:lastPrinted>2013-02-12T14:01:43Z</cp:lastPrinted>
  <dcterms:created xsi:type="dcterms:W3CDTF">2012-10-24T08:26:49Z</dcterms:created>
  <dcterms:modified xsi:type="dcterms:W3CDTF">2014-03-27T10:08:06Z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